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internal_projects\active\Meltome\Meltome_analyzed_data\OmicScouts\hepatocytes_lysate_PBS_R3\"/>
    </mc:Choice>
  </mc:AlternateContent>
  <bookViews>
    <workbookView xWindow="0" yWindow="0" windowWidth="25200" windowHeight="1138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Z3626" i="1" l="1"/>
  <c r="Z3625" i="1"/>
  <c r="Z3624" i="1"/>
  <c r="Z3623" i="1"/>
  <c r="Z3622" i="1"/>
  <c r="Z3621" i="1"/>
  <c r="Z3620" i="1"/>
  <c r="Z3619" i="1"/>
  <c r="Z3618" i="1"/>
  <c r="Z3617" i="1"/>
  <c r="Z3616" i="1"/>
  <c r="Z3615" i="1"/>
  <c r="Z3614" i="1"/>
  <c r="Z3613" i="1"/>
  <c r="Z3612" i="1"/>
  <c r="Z3611" i="1"/>
  <c r="Z3610" i="1"/>
  <c r="Z3609" i="1"/>
  <c r="Z3608" i="1"/>
  <c r="Z3607" i="1"/>
  <c r="Z3606" i="1"/>
  <c r="Z3605" i="1"/>
  <c r="Z3604" i="1"/>
  <c r="Z3603" i="1"/>
  <c r="Z3602" i="1"/>
  <c r="Z3601" i="1"/>
  <c r="Z3600" i="1"/>
  <c r="Z3599" i="1"/>
  <c r="Z3598" i="1"/>
  <c r="Z3597" i="1"/>
  <c r="Z3596" i="1"/>
  <c r="Z3595" i="1"/>
  <c r="Z3594" i="1"/>
  <c r="Z3593" i="1"/>
  <c r="Z3592" i="1"/>
  <c r="Z3591" i="1"/>
  <c r="Z3590" i="1"/>
  <c r="Z3589" i="1"/>
  <c r="Z3588" i="1"/>
  <c r="Z3587" i="1"/>
  <c r="Z3586" i="1"/>
  <c r="Z3585" i="1"/>
  <c r="Z3584" i="1"/>
  <c r="Z3583" i="1"/>
  <c r="Z3582" i="1"/>
  <c r="Z3581" i="1"/>
  <c r="Z3580" i="1"/>
  <c r="Z3579" i="1"/>
  <c r="Z3578" i="1"/>
  <c r="Z3577" i="1"/>
  <c r="Z3576" i="1"/>
  <c r="Z3575" i="1"/>
  <c r="Z3574" i="1"/>
  <c r="Z3573" i="1"/>
  <c r="Z3572" i="1"/>
  <c r="Z3571" i="1"/>
  <c r="Z3570" i="1"/>
  <c r="Z3569" i="1"/>
  <c r="Z3568" i="1"/>
  <c r="Z3567" i="1"/>
  <c r="Z3566" i="1"/>
  <c r="Z3565" i="1"/>
  <c r="Z3564" i="1"/>
  <c r="Z3563" i="1"/>
  <c r="Z3562" i="1"/>
  <c r="Z3561" i="1"/>
  <c r="Z3560" i="1"/>
  <c r="Z3559" i="1"/>
  <c r="Z3558" i="1"/>
  <c r="Z3557" i="1"/>
  <c r="Z3556" i="1"/>
  <c r="Z3555" i="1"/>
  <c r="Z3554" i="1"/>
  <c r="Z3553" i="1"/>
  <c r="Z3552" i="1"/>
  <c r="Z3551" i="1"/>
  <c r="Z3550" i="1"/>
  <c r="Z3549" i="1"/>
  <c r="Z3548" i="1"/>
  <c r="Z3547" i="1"/>
  <c r="Z3546" i="1"/>
  <c r="Z3545" i="1"/>
  <c r="Z3544" i="1"/>
  <c r="Z3543" i="1"/>
  <c r="Z3542" i="1"/>
  <c r="Z3541" i="1"/>
  <c r="Z3540" i="1"/>
  <c r="Z3539" i="1"/>
  <c r="Z3538" i="1"/>
  <c r="Z3537" i="1"/>
  <c r="Z3536" i="1"/>
  <c r="Z3535" i="1"/>
  <c r="Z3534" i="1"/>
  <c r="Z3533" i="1"/>
  <c r="Z3532" i="1"/>
  <c r="Z3531" i="1"/>
  <c r="Z3530" i="1"/>
  <c r="Z3529" i="1"/>
  <c r="Z3528" i="1"/>
  <c r="Z3527" i="1"/>
  <c r="Z3526" i="1"/>
  <c r="Z3525" i="1"/>
  <c r="Z3524" i="1"/>
  <c r="Z3523" i="1"/>
  <c r="Z3522" i="1"/>
  <c r="Z3521" i="1"/>
  <c r="Z3520" i="1"/>
  <c r="Z3519" i="1"/>
  <c r="Z3518" i="1"/>
  <c r="Z3517" i="1"/>
  <c r="Z3516" i="1"/>
  <c r="Z3515" i="1"/>
  <c r="Z3514" i="1"/>
  <c r="Z3513" i="1"/>
  <c r="Z3512" i="1"/>
  <c r="Z3511" i="1"/>
  <c r="Z3510" i="1"/>
  <c r="Z3509" i="1"/>
  <c r="Z3508" i="1"/>
  <c r="Z3507" i="1"/>
  <c r="Z3506" i="1"/>
  <c r="Z3505" i="1"/>
  <c r="Z3504" i="1"/>
  <c r="Z3503" i="1"/>
  <c r="Z3502" i="1"/>
  <c r="Z3501" i="1"/>
  <c r="Z3500" i="1"/>
  <c r="Z3499" i="1"/>
  <c r="Z3498" i="1"/>
  <c r="Z3497" i="1"/>
  <c r="Z3496" i="1"/>
  <c r="Z3495" i="1"/>
  <c r="Z3494" i="1"/>
  <c r="Z3493" i="1"/>
  <c r="Z3492" i="1"/>
  <c r="Z3491" i="1"/>
  <c r="Z3490" i="1"/>
  <c r="Z3489" i="1"/>
  <c r="Z3488" i="1"/>
  <c r="Z3487" i="1"/>
  <c r="Z3486" i="1"/>
  <c r="Z3485" i="1"/>
  <c r="Z3484" i="1"/>
  <c r="Z3483" i="1"/>
  <c r="Z3482" i="1"/>
  <c r="Z3481" i="1"/>
  <c r="Z3480" i="1"/>
  <c r="Z3479" i="1"/>
  <c r="Z3478" i="1"/>
  <c r="Z3477" i="1"/>
  <c r="Z3476" i="1"/>
  <c r="Z3475" i="1"/>
  <c r="Z3474" i="1"/>
  <c r="Z3473" i="1"/>
  <c r="Z3472" i="1"/>
  <c r="Z3471" i="1"/>
  <c r="Z3470" i="1"/>
  <c r="Z3469" i="1"/>
  <c r="Z3468" i="1"/>
  <c r="Z3467" i="1"/>
  <c r="Z3466" i="1"/>
  <c r="Z3465" i="1"/>
  <c r="Z3464" i="1"/>
  <c r="Z3463" i="1"/>
  <c r="Z3462" i="1"/>
  <c r="Z3461" i="1"/>
  <c r="Z3460" i="1"/>
  <c r="Z3459" i="1"/>
  <c r="Z3458" i="1"/>
  <c r="Z3457" i="1"/>
  <c r="Z3456" i="1"/>
  <c r="Z3455" i="1"/>
  <c r="Z3454" i="1"/>
  <c r="Z3453" i="1"/>
  <c r="Z3452" i="1"/>
  <c r="Z3451" i="1"/>
  <c r="Z3450" i="1"/>
  <c r="Z3449" i="1"/>
  <c r="Z3448" i="1"/>
  <c r="Z3447" i="1"/>
  <c r="Z3446" i="1"/>
  <c r="Z3445" i="1"/>
  <c r="Z3444" i="1"/>
  <c r="Z3443" i="1"/>
  <c r="Z3442" i="1"/>
  <c r="Z3441" i="1"/>
  <c r="Z3440" i="1"/>
  <c r="Z3439" i="1"/>
  <c r="Z3438" i="1"/>
  <c r="Z3437" i="1"/>
  <c r="Z3436" i="1"/>
  <c r="Z3435" i="1"/>
  <c r="Z3434" i="1"/>
  <c r="Z3433" i="1"/>
  <c r="Z3432" i="1"/>
  <c r="Z3431" i="1"/>
  <c r="Z3430" i="1"/>
  <c r="Z3429" i="1"/>
  <c r="Z3428" i="1"/>
  <c r="Z3427" i="1"/>
  <c r="Z3426" i="1"/>
  <c r="Z3425" i="1"/>
  <c r="Z3424" i="1"/>
  <c r="Z3423" i="1"/>
  <c r="Z3422" i="1"/>
  <c r="Z3421" i="1"/>
  <c r="Z3420" i="1"/>
  <c r="Z3419" i="1"/>
  <c r="Z3418" i="1"/>
  <c r="Z3417" i="1"/>
  <c r="Z3416" i="1"/>
  <c r="Z3415" i="1"/>
  <c r="Z3414" i="1"/>
  <c r="Z3413" i="1"/>
  <c r="Z3412" i="1"/>
  <c r="Z3411" i="1"/>
  <c r="Z3410" i="1"/>
  <c r="Z3409" i="1"/>
  <c r="Z3408" i="1"/>
  <c r="Z3407" i="1"/>
  <c r="Z3406" i="1"/>
  <c r="Z3405" i="1"/>
  <c r="Z3404" i="1"/>
  <c r="Z3403" i="1"/>
  <c r="Z3402" i="1"/>
  <c r="Z3401" i="1"/>
  <c r="Z3400" i="1"/>
  <c r="Z3399" i="1"/>
  <c r="Z3398" i="1"/>
  <c r="Z3397" i="1"/>
  <c r="Z3396" i="1"/>
  <c r="Z3395" i="1"/>
  <c r="Z3394" i="1"/>
  <c r="Z3393" i="1"/>
  <c r="Z3392" i="1"/>
  <c r="Z3391" i="1"/>
  <c r="Z3390" i="1"/>
  <c r="Z3389" i="1"/>
  <c r="Z3388" i="1"/>
  <c r="Z3387" i="1"/>
  <c r="Z3386" i="1"/>
  <c r="Z3385" i="1"/>
  <c r="Z3384" i="1"/>
  <c r="Z3383" i="1"/>
  <c r="Z3382" i="1"/>
  <c r="Z3381" i="1"/>
  <c r="Z3380" i="1"/>
  <c r="Z3379" i="1"/>
  <c r="Z3378" i="1"/>
  <c r="Z3377" i="1"/>
  <c r="Z3376" i="1"/>
  <c r="Z3375" i="1"/>
  <c r="Z3374" i="1"/>
  <c r="Z3373" i="1"/>
  <c r="Z3372" i="1"/>
  <c r="Z3371" i="1"/>
  <c r="Z3370" i="1"/>
  <c r="Z3369" i="1"/>
  <c r="Z3368" i="1"/>
  <c r="Z3367" i="1"/>
  <c r="Z3366" i="1"/>
  <c r="Z3365" i="1"/>
  <c r="Z3364" i="1"/>
  <c r="Z3363" i="1"/>
  <c r="Z3362" i="1"/>
  <c r="Z3361" i="1"/>
  <c r="Z3360" i="1"/>
  <c r="Z3359" i="1"/>
  <c r="Z3358" i="1"/>
  <c r="Z3357" i="1"/>
  <c r="Z3356" i="1"/>
  <c r="Z3355" i="1"/>
  <c r="Z3354" i="1"/>
  <c r="Z3353" i="1"/>
  <c r="Z3352" i="1"/>
  <c r="Z3351" i="1"/>
  <c r="Z3350" i="1"/>
  <c r="Z3349" i="1"/>
  <c r="Z3348" i="1"/>
  <c r="Z3347" i="1"/>
  <c r="Z3346" i="1"/>
  <c r="Z3345" i="1"/>
  <c r="Z3344" i="1"/>
  <c r="Z3343" i="1"/>
  <c r="Z3342" i="1"/>
  <c r="Z3341" i="1"/>
  <c r="Z3340" i="1"/>
  <c r="Z3339" i="1"/>
  <c r="Z3338" i="1"/>
  <c r="Z3337" i="1"/>
  <c r="Z3336" i="1"/>
  <c r="Z3335" i="1"/>
  <c r="Z3334" i="1"/>
  <c r="Z3333" i="1"/>
  <c r="Z3332" i="1"/>
  <c r="Z3331" i="1"/>
  <c r="Z3330" i="1"/>
  <c r="Z3329" i="1"/>
  <c r="Z3328" i="1"/>
  <c r="Z3327" i="1"/>
  <c r="Z3326" i="1"/>
  <c r="Z3325" i="1"/>
  <c r="Z3324" i="1"/>
  <c r="Z3323" i="1"/>
  <c r="Z3322" i="1"/>
  <c r="Z3321" i="1"/>
  <c r="Z3320" i="1"/>
  <c r="Z3319" i="1"/>
  <c r="Z3318" i="1"/>
  <c r="Z3317" i="1"/>
  <c r="Z3316" i="1"/>
  <c r="Z3315" i="1"/>
  <c r="Z3314" i="1"/>
  <c r="Z3313" i="1"/>
  <c r="Z3312" i="1"/>
  <c r="Z3311" i="1"/>
  <c r="Z3310" i="1"/>
  <c r="Z3309" i="1"/>
  <c r="Z3308" i="1"/>
  <c r="Z3307" i="1"/>
  <c r="Z3306" i="1"/>
  <c r="Z3305" i="1"/>
  <c r="Z3304" i="1"/>
  <c r="Z3303" i="1"/>
  <c r="Z3302" i="1"/>
  <c r="Z3301" i="1"/>
  <c r="Z3300" i="1"/>
  <c r="Z3299" i="1"/>
  <c r="Z3298" i="1"/>
  <c r="Z3297" i="1"/>
  <c r="Z3296" i="1"/>
  <c r="Z3295" i="1"/>
  <c r="Z3294" i="1"/>
  <c r="Z3293" i="1"/>
  <c r="Z3292" i="1"/>
  <c r="Z3291" i="1"/>
  <c r="Z3290" i="1"/>
  <c r="Z3289" i="1"/>
  <c r="Z3288" i="1"/>
  <c r="Z3287" i="1"/>
  <c r="Z3286" i="1"/>
  <c r="Z3285" i="1"/>
  <c r="Z3284" i="1"/>
  <c r="Z3283" i="1"/>
  <c r="Z3282" i="1"/>
  <c r="Z3281" i="1"/>
  <c r="Z3280" i="1"/>
  <c r="Z3279" i="1"/>
  <c r="Z3278" i="1"/>
  <c r="Z3277" i="1"/>
  <c r="Z3276" i="1"/>
  <c r="Z3275" i="1"/>
  <c r="Z3274" i="1"/>
  <c r="Z3273" i="1"/>
  <c r="Z3272" i="1"/>
  <c r="Z3271" i="1"/>
  <c r="Z3270" i="1"/>
  <c r="Z3269" i="1"/>
  <c r="Z3268" i="1"/>
  <c r="Z3267" i="1"/>
  <c r="Z3266" i="1"/>
  <c r="Z3265" i="1"/>
  <c r="Z3264" i="1"/>
  <c r="Z3263" i="1"/>
  <c r="Z3262" i="1"/>
  <c r="Z3261" i="1"/>
  <c r="Z3260" i="1"/>
  <c r="Z3259" i="1"/>
  <c r="Z3258" i="1"/>
  <c r="Z3257" i="1"/>
  <c r="Z3256" i="1"/>
  <c r="Z3255" i="1"/>
  <c r="Z3254" i="1"/>
  <c r="Z3253" i="1"/>
  <c r="Z3252" i="1"/>
  <c r="Z3251" i="1"/>
  <c r="Z3250" i="1"/>
  <c r="Z3249" i="1"/>
  <c r="Z3248" i="1"/>
  <c r="Z3247" i="1"/>
  <c r="Z3246" i="1"/>
  <c r="Z3245" i="1"/>
  <c r="Z3244" i="1"/>
  <c r="Z3243" i="1"/>
  <c r="Z3242" i="1"/>
  <c r="Z3241" i="1"/>
  <c r="Z3240" i="1"/>
  <c r="Z3239" i="1"/>
  <c r="Z3238" i="1"/>
  <c r="Z3237" i="1"/>
  <c r="Z3236" i="1"/>
  <c r="Z3235" i="1"/>
  <c r="Z3234" i="1"/>
  <c r="Z3233" i="1"/>
  <c r="Z3232" i="1"/>
  <c r="Z3231" i="1"/>
  <c r="Z3230" i="1"/>
  <c r="Z3229" i="1"/>
  <c r="Z3228" i="1"/>
  <c r="Z3227" i="1"/>
  <c r="Z3226" i="1"/>
  <c r="Z3225" i="1"/>
  <c r="Z3224" i="1"/>
  <c r="Z3223" i="1"/>
  <c r="Z3222" i="1"/>
  <c r="Z3221" i="1"/>
  <c r="Z3220" i="1"/>
  <c r="Z3219" i="1"/>
  <c r="Z3218" i="1"/>
  <c r="Z3217" i="1"/>
  <c r="Z3216" i="1"/>
  <c r="Z3215" i="1"/>
  <c r="Z3214" i="1"/>
  <c r="Z3213" i="1"/>
  <c r="Z3212" i="1"/>
  <c r="Z3211" i="1"/>
  <c r="Z3210" i="1"/>
  <c r="Z3209" i="1"/>
  <c r="Z3208" i="1"/>
  <c r="Z3207" i="1"/>
  <c r="Z3206" i="1"/>
  <c r="Z3205" i="1"/>
  <c r="Z3204" i="1"/>
  <c r="Z3203" i="1"/>
  <c r="Z3202" i="1"/>
  <c r="Z3201" i="1"/>
  <c r="Z3200" i="1"/>
  <c r="Z3199" i="1"/>
  <c r="Z3198" i="1"/>
  <c r="Z3197" i="1"/>
  <c r="Z3196" i="1"/>
  <c r="Z3195" i="1"/>
  <c r="Z3194" i="1"/>
  <c r="Z3193" i="1"/>
  <c r="Z3192" i="1"/>
  <c r="Z3191" i="1"/>
  <c r="Z3190" i="1"/>
  <c r="Z3189" i="1"/>
  <c r="Z3188" i="1"/>
  <c r="Z3187" i="1"/>
  <c r="Z3186" i="1"/>
  <c r="Z3185" i="1"/>
  <c r="Z3184" i="1"/>
  <c r="Z3183" i="1"/>
  <c r="Z3182" i="1"/>
  <c r="Z3181" i="1"/>
  <c r="Z3180" i="1"/>
  <c r="Z3179" i="1"/>
  <c r="Z3178" i="1"/>
  <c r="Z3177" i="1"/>
  <c r="Z3176" i="1"/>
  <c r="Z3175" i="1"/>
  <c r="Z3174" i="1"/>
  <c r="Z3173" i="1"/>
  <c r="Z3172" i="1"/>
  <c r="Z3171" i="1"/>
  <c r="Z3170" i="1"/>
  <c r="Z3169" i="1"/>
  <c r="Z3168" i="1"/>
  <c r="Z3167" i="1"/>
  <c r="Z3166" i="1"/>
  <c r="Z3165" i="1"/>
  <c r="Z3164" i="1"/>
  <c r="Z3163" i="1"/>
  <c r="Z3162" i="1"/>
  <c r="Z3161" i="1"/>
  <c r="Z3160" i="1"/>
  <c r="Z3159" i="1"/>
  <c r="Z3158" i="1"/>
  <c r="Z3157" i="1"/>
  <c r="Z3156" i="1"/>
  <c r="Z3155" i="1"/>
  <c r="Z3154" i="1"/>
  <c r="Z3153" i="1"/>
  <c r="Z3152" i="1"/>
  <c r="Z3151" i="1"/>
  <c r="Z3150" i="1"/>
  <c r="Z3149" i="1"/>
  <c r="Z3148" i="1"/>
  <c r="Z3147" i="1"/>
  <c r="Z3146" i="1"/>
  <c r="Z3145" i="1"/>
  <c r="Z3144" i="1"/>
  <c r="Z3143" i="1"/>
  <c r="Z3142" i="1"/>
  <c r="Z3141" i="1"/>
  <c r="Z3140" i="1"/>
  <c r="Z3139" i="1"/>
  <c r="Z3138" i="1"/>
  <c r="Z3137" i="1"/>
  <c r="Z3136" i="1"/>
  <c r="Z3135" i="1"/>
  <c r="Z3134" i="1"/>
  <c r="Z3133" i="1"/>
  <c r="Z3132" i="1"/>
  <c r="Z3131" i="1"/>
  <c r="Z3130" i="1"/>
  <c r="Z3129" i="1"/>
  <c r="Z3128" i="1"/>
  <c r="Z3127" i="1"/>
  <c r="Z3126" i="1"/>
  <c r="Z3125" i="1"/>
  <c r="Z3124" i="1"/>
  <c r="Z3123" i="1"/>
  <c r="Z3122" i="1"/>
  <c r="Z3121" i="1"/>
  <c r="Z3120" i="1"/>
  <c r="Z3119" i="1"/>
  <c r="Z3118" i="1"/>
  <c r="Z3117" i="1"/>
  <c r="Z3116" i="1"/>
  <c r="Z3115" i="1"/>
  <c r="Z3114" i="1"/>
  <c r="Z3113" i="1"/>
  <c r="Z3112" i="1"/>
  <c r="Z3111" i="1"/>
  <c r="Z3110" i="1"/>
  <c r="Z3109" i="1"/>
  <c r="Z3108" i="1"/>
  <c r="Z3107" i="1"/>
  <c r="Z3106" i="1"/>
  <c r="Z3105" i="1"/>
  <c r="Z3104" i="1"/>
  <c r="Z3103" i="1"/>
  <c r="Z3102" i="1"/>
  <c r="Z3101" i="1"/>
  <c r="Z3100" i="1"/>
  <c r="Z3099" i="1"/>
  <c r="Z3098" i="1"/>
  <c r="Z3097" i="1"/>
  <c r="Z3096" i="1"/>
  <c r="Z3095" i="1"/>
  <c r="Z3094" i="1"/>
  <c r="Z3093" i="1"/>
  <c r="Z3092" i="1"/>
  <c r="Z3091" i="1"/>
  <c r="Z3090" i="1"/>
  <c r="Z3089" i="1"/>
  <c r="Z3088" i="1"/>
  <c r="Z3087" i="1"/>
  <c r="Z3086" i="1"/>
  <c r="Z3085" i="1"/>
  <c r="Z3084" i="1"/>
  <c r="Z3083" i="1"/>
  <c r="Z3082" i="1"/>
  <c r="Z3081" i="1"/>
  <c r="Z3080" i="1"/>
  <c r="Z3079" i="1"/>
  <c r="Z3078" i="1"/>
  <c r="Z3077" i="1"/>
  <c r="Z3076" i="1"/>
  <c r="Z3075" i="1"/>
  <c r="Z3074" i="1"/>
  <c r="Z3073" i="1"/>
  <c r="Z3072" i="1"/>
  <c r="Z3071" i="1"/>
  <c r="Z3070" i="1"/>
  <c r="Z3069" i="1"/>
  <c r="Z3068" i="1"/>
  <c r="Z3067" i="1"/>
  <c r="Z3066" i="1"/>
  <c r="Z3065" i="1"/>
  <c r="Z3064" i="1"/>
  <c r="Z3063" i="1"/>
  <c r="Z3062" i="1"/>
  <c r="Z3061" i="1"/>
  <c r="Z3060" i="1"/>
  <c r="Z3059" i="1"/>
  <c r="Z3058" i="1"/>
  <c r="Z3057" i="1"/>
  <c r="Z3056" i="1"/>
  <c r="Z3055" i="1"/>
  <c r="Z3054" i="1"/>
  <c r="Z3053" i="1"/>
  <c r="Z3052" i="1"/>
  <c r="Z3051" i="1"/>
  <c r="Z3050" i="1"/>
  <c r="Z3049" i="1"/>
  <c r="Z3048" i="1"/>
  <c r="Z3047" i="1"/>
  <c r="Z3046" i="1"/>
  <c r="Z3045" i="1"/>
  <c r="Z3044" i="1"/>
  <c r="Z3043" i="1"/>
  <c r="Z3042" i="1"/>
  <c r="Z3041" i="1"/>
  <c r="Z3040" i="1"/>
  <c r="Z3039" i="1"/>
  <c r="Z3038" i="1"/>
  <c r="Z3037" i="1"/>
  <c r="Z3036" i="1"/>
  <c r="Z3035" i="1"/>
  <c r="Z3034" i="1"/>
  <c r="Z3033" i="1"/>
  <c r="Z3032" i="1"/>
  <c r="Z3031" i="1"/>
  <c r="Z3030" i="1"/>
  <c r="Z3029" i="1"/>
  <c r="Z3028" i="1"/>
  <c r="Z3027" i="1"/>
  <c r="Z3026" i="1"/>
  <c r="Z3025" i="1"/>
  <c r="Z3024" i="1"/>
  <c r="Z3023" i="1"/>
  <c r="Z3022" i="1"/>
  <c r="Z3021" i="1"/>
  <c r="Z3020" i="1"/>
  <c r="Z3019" i="1"/>
  <c r="Z3018" i="1"/>
  <c r="Z3017" i="1"/>
  <c r="Z3016" i="1"/>
  <c r="Z3015" i="1"/>
  <c r="Z3014" i="1"/>
  <c r="Z3013" i="1"/>
  <c r="Z3012" i="1"/>
  <c r="Z3011" i="1"/>
  <c r="Z3010" i="1"/>
  <c r="Z3009" i="1"/>
  <c r="Z3008" i="1"/>
  <c r="Z3007" i="1"/>
  <c r="Z3006" i="1"/>
  <c r="Z3005" i="1"/>
  <c r="Z3004" i="1"/>
  <c r="Z3003" i="1"/>
  <c r="Z3002" i="1"/>
  <c r="Z3001" i="1"/>
  <c r="Z3000" i="1"/>
  <c r="Z2999" i="1"/>
  <c r="Z2998" i="1"/>
  <c r="Z2997" i="1"/>
  <c r="Z2996" i="1"/>
  <c r="Z2995" i="1"/>
  <c r="Z2994" i="1"/>
  <c r="Z2993" i="1"/>
  <c r="Z2992" i="1"/>
  <c r="Z2991" i="1"/>
  <c r="Z2990" i="1"/>
  <c r="Z2989" i="1"/>
  <c r="Z2988" i="1"/>
  <c r="Z2987" i="1"/>
  <c r="Z2986" i="1"/>
  <c r="Z2985" i="1"/>
  <c r="Z2984" i="1"/>
  <c r="Z2983" i="1"/>
  <c r="Z2982" i="1"/>
  <c r="Z2981" i="1"/>
  <c r="Z2980" i="1"/>
  <c r="Z2979" i="1"/>
  <c r="Z2978" i="1"/>
  <c r="Z2977" i="1"/>
  <c r="Z2976" i="1"/>
  <c r="Z2975" i="1"/>
  <c r="Z2974" i="1"/>
  <c r="Z2973" i="1"/>
  <c r="Z2972" i="1"/>
  <c r="Z2971" i="1"/>
  <c r="Z2970" i="1"/>
  <c r="Z2969" i="1"/>
  <c r="Z2968" i="1"/>
  <c r="Z2967" i="1"/>
  <c r="Z2966" i="1"/>
  <c r="Z2965" i="1"/>
  <c r="Z2964" i="1"/>
  <c r="Z2963" i="1"/>
  <c r="Z2962" i="1"/>
  <c r="Z2961" i="1"/>
  <c r="Z2960" i="1"/>
  <c r="Z2959" i="1"/>
  <c r="Z2958" i="1"/>
  <c r="Z2957" i="1"/>
  <c r="Z2956" i="1"/>
  <c r="Z2955" i="1"/>
  <c r="Z2954" i="1"/>
  <c r="Z2953" i="1"/>
  <c r="Z2952" i="1"/>
  <c r="Z2951" i="1"/>
  <c r="Z2950" i="1"/>
  <c r="Z2949" i="1"/>
  <c r="Z2948" i="1"/>
  <c r="Z2947" i="1"/>
  <c r="Z2946" i="1"/>
  <c r="Z2945" i="1"/>
  <c r="Z2944" i="1"/>
  <c r="Z2943" i="1"/>
  <c r="Z2942" i="1"/>
  <c r="Z2941" i="1"/>
  <c r="Z2940" i="1"/>
  <c r="Z2939" i="1"/>
  <c r="Z2938" i="1"/>
  <c r="Z2937" i="1"/>
  <c r="Z2936" i="1"/>
  <c r="Z2935" i="1"/>
  <c r="Z2934" i="1"/>
  <c r="Z2933" i="1"/>
  <c r="Z2932" i="1"/>
  <c r="Z2931" i="1"/>
  <c r="Z2930" i="1"/>
  <c r="Z2929" i="1"/>
  <c r="Z2928" i="1"/>
  <c r="Z2927" i="1"/>
  <c r="Z2926" i="1"/>
  <c r="Z2925" i="1"/>
  <c r="Z2924" i="1"/>
  <c r="Z2923" i="1"/>
  <c r="Z2922" i="1"/>
  <c r="Z2921" i="1"/>
  <c r="Z2920" i="1"/>
  <c r="Z2919" i="1"/>
  <c r="Z2918" i="1"/>
  <c r="Z2917" i="1"/>
  <c r="Z2916" i="1"/>
  <c r="Z2915" i="1"/>
  <c r="Z2914" i="1"/>
  <c r="Z2913" i="1"/>
  <c r="Z2912" i="1"/>
  <c r="Z2911" i="1"/>
  <c r="Z2910" i="1"/>
  <c r="Z2909" i="1"/>
  <c r="Z2908" i="1"/>
  <c r="Z2907" i="1"/>
  <c r="Z2906" i="1"/>
  <c r="Z2905" i="1"/>
  <c r="Z2904" i="1"/>
  <c r="Z2903" i="1"/>
  <c r="Z2902" i="1"/>
  <c r="Z2901" i="1"/>
  <c r="Z2900" i="1"/>
  <c r="Z2899" i="1"/>
  <c r="Z2898" i="1"/>
  <c r="Z2897" i="1"/>
  <c r="Z2896" i="1"/>
  <c r="Z2895" i="1"/>
  <c r="Z2894" i="1"/>
  <c r="Z2893" i="1"/>
  <c r="Z2892" i="1"/>
  <c r="Z2891" i="1"/>
  <c r="Z2890" i="1"/>
  <c r="Z2889" i="1"/>
  <c r="Z2888" i="1"/>
  <c r="Z2887" i="1"/>
  <c r="Z2886" i="1"/>
  <c r="Z2885" i="1"/>
  <c r="Z2884" i="1"/>
  <c r="Z2883" i="1"/>
  <c r="Z2882" i="1"/>
  <c r="Z2881" i="1"/>
  <c r="Z2880" i="1"/>
  <c r="Z2879" i="1"/>
  <c r="Z2878" i="1"/>
  <c r="Z2877" i="1"/>
  <c r="Z2876" i="1"/>
  <c r="Z2875" i="1"/>
  <c r="Z2874" i="1"/>
  <c r="Z2873" i="1"/>
  <c r="Z2872" i="1"/>
  <c r="Z2871" i="1"/>
  <c r="Z2870" i="1"/>
  <c r="Z2869" i="1"/>
  <c r="Z2868" i="1"/>
  <c r="Z2867" i="1"/>
  <c r="Z2866" i="1"/>
  <c r="Z2865" i="1"/>
  <c r="Z2864" i="1"/>
  <c r="Z2863" i="1"/>
  <c r="Z2862" i="1"/>
  <c r="Z2861" i="1"/>
  <c r="Z2860" i="1"/>
  <c r="Z2859" i="1"/>
  <c r="Z2858" i="1"/>
  <c r="Z2857" i="1"/>
  <c r="Z2856" i="1"/>
  <c r="Z2855" i="1"/>
  <c r="Z2854" i="1"/>
  <c r="Z2853" i="1"/>
  <c r="Z2852" i="1"/>
  <c r="Z2851" i="1"/>
  <c r="Z2850" i="1"/>
  <c r="Z2849" i="1"/>
  <c r="Z2848" i="1"/>
  <c r="Z2847" i="1"/>
  <c r="Z2846" i="1"/>
  <c r="Z2845" i="1"/>
  <c r="Z2844" i="1"/>
  <c r="Z2843" i="1"/>
  <c r="Z2842" i="1"/>
  <c r="Z2841" i="1"/>
  <c r="Z2840" i="1"/>
  <c r="Z2839" i="1"/>
  <c r="Z2838" i="1"/>
  <c r="Z2837" i="1"/>
  <c r="Z2836" i="1"/>
  <c r="Z2835" i="1"/>
  <c r="Z2834" i="1"/>
  <c r="Z2833" i="1"/>
  <c r="Z2832" i="1"/>
  <c r="Z2831" i="1"/>
  <c r="Z2830" i="1"/>
  <c r="Z2829" i="1"/>
  <c r="Z2828" i="1"/>
  <c r="Z2827" i="1"/>
  <c r="Z2826" i="1"/>
  <c r="Z2825" i="1"/>
  <c r="Z2824" i="1"/>
  <c r="Z2823" i="1"/>
  <c r="Z2822" i="1"/>
  <c r="Z2821" i="1"/>
  <c r="Z2820" i="1"/>
  <c r="Z2819" i="1"/>
  <c r="Z2818" i="1"/>
  <c r="Z2817" i="1"/>
  <c r="Z2816" i="1"/>
  <c r="Z2815" i="1"/>
  <c r="Z2814" i="1"/>
  <c r="Z2813" i="1"/>
  <c r="Z2812" i="1"/>
  <c r="Z2811" i="1"/>
  <c r="Z2810" i="1"/>
  <c r="Z2809" i="1"/>
  <c r="Z2808" i="1"/>
  <c r="Z2807" i="1"/>
  <c r="Z2806" i="1"/>
  <c r="Z2805" i="1"/>
  <c r="Z2804" i="1"/>
  <c r="Z2803" i="1"/>
  <c r="Z2802" i="1"/>
  <c r="Z2801" i="1"/>
  <c r="Z2800" i="1"/>
  <c r="Z2799" i="1"/>
  <c r="Z2798" i="1"/>
  <c r="Z2797" i="1"/>
  <c r="Z2796" i="1"/>
  <c r="Z2795" i="1"/>
  <c r="Z2794" i="1"/>
  <c r="Z2793" i="1"/>
  <c r="Z2792" i="1"/>
  <c r="Z2791" i="1"/>
  <c r="Z2790" i="1"/>
  <c r="Z2789" i="1"/>
  <c r="Z2788" i="1"/>
  <c r="Z2787" i="1"/>
  <c r="Z2786" i="1"/>
  <c r="Z2785" i="1"/>
  <c r="Z2784" i="1"/>
  <c r="Z2783" i="1"/>
  <c r="Z2782" i="1"/>
  <c r="Z2781" i="1"/>
  <c r="Z2780" i="1"/>
  <c r="Z2779" i="1"/>
  <c r="Z2778" i="1"/>
  <c r="Z2777" i="1"/>
  <c r="Z2776" i="1"/>
  <c r="Z2775" i="1"/>
  <c r="Z2774" i="1"/>
  <c r="Z2773" i="1"/>
  <c r="Z2772" i="1"/>
  <c r="Z2771" i="1"/>
  <c r="Z2770" i="1"/>
  <c r="Z2769" i="1"/>
  <c r="Z2768" i="1"/>
  <c r="Z2767" i="1"/>
  <c r="Z2766" i="1"/>
  <c r="Z2765" i="1"/>
  <c r="Z2764" i="1"/>
  <c r="Z2763" i="1"/>
  <c r="Z2762" i="1"/>
  <c r="Z2761" i="1"/>
  <c r="Z2760" i="1"/>
  <c r="Z2759" i="1"/>
  <c r="Z2758" i="1"/>
  <c r="Z2757" i="1"/>
  <c r="Z2756" i="1"/>
  <c r="Z2755" i="1"/>
  <c r="Z2754" i="1"/>
  <c r="Z2753" i="1"/>
  <c r="Z2752" i="1"/>
  <c r="Z2751" i="1"/>
  <c r="Z2750" i="1"/>
  <c r="Z2749" i="1"/>
  <c r="Z2748" i="1"/>
  <c r="Z2747" i="1"/>
  <c r="Z2746" i="1"/>
  <c r="Z2745" i="1"/>
  <c r="Z2744" i="1"/>
  <c r="Z2743" i="1"/>
  <c r="Z2742" i="1"/>
  <c r="Z2741" i="1"/>
  <c r="Z2740" i="1"/>
  <c r="Z2739" i="1"/>
  <c r="Z2738" i="1"/>
  <c r="Z2737" i="1"/>
  <c r="Z2736" i="1"/>
  <c r="Z2735" i="1"/>
  <c r="Z2734" i="1"/>
  <c r="Z2733" i="1"/>
  <c r="Z2732" i="1"/>
  <c r="Z2731" i="1"/>
  <c r="Z2730" i="1"/>
  <c r="Z2729" i="1"/>
  <c r="Z2728" i="1"/>
  <c r="Z2727" i="1"/>
  <c r="Z2726" i="1"/>
  <c r="Z2725" i="1"/>
  <c r="Z2724" i="1"/>
  <c r="Z2723" i="1"/>
  <c r="Z2722" i="1"/>
  <c r="Z2721" i="1"/>
  <c r="Z2720" i="1"/>
  <c r="Z2719" i="1"/>
  <c r="Z2718" i="1"/>
  <c r="Z2717" i="1"/>
  <c r="Z2716" i="1"/>
  <c r="Z2715" i="1"/>
  <c r="Z2714" i="1"/>
  <c r="Z2713" i="1"/>
  <c r="Z2712" i="1"/>
  <c r="Z2711" i="1"/>
  <c r="Z2710" i="1"/>
  <c r="Z2709" i="1"/>
  <c r="Z2708" i="1"/>
  <c r="Z2707" i="1"/>
  <c r="Z2706" i="1"/>
  <c r="Z2705" i="1"/>
  <c r="Z2704" i="1"/>
  <c r="Z2703" i="1"/>
  <c r="Z2702" i="1"/>
  <c r="Z2701" i="1"/>
  <c r="Z2700" i="1"/>
  <c r="Z2699" i="1"/>
  <c r="Z2698" i="1"/>
  <c r="Z2697" i="1"/>
  <c r="Z2696" i="1"/>
  <c r="Z2695" i="1"/>
  <c r="Z2694" i="1"/>
  <c r="Z2693" i="1"/>
  <c r="Z2692" i="1"/>
  <c r="Z2691" i="1"/>
  <c r="Z2690" i="1"/>
  <c r="Z2689" i="1"/>
  <c r="Z2688" i="1"/>
  <c r="Z2687" i="1"/>
  <c r="Z2686" i="1"/>
  <c r="Z2685" i="1"/>
  <c r="Z2684" i="1"/>
  <c r="Z2683" i="1"/>
  <c r="Z2682" i="1"/>
  <c r="Z2681" i="1"/>
  <c r="Z2680" i="1"/>
  <c r="Z2679" i="1"/>
  <c r="Z2678" i="1"/>
  <c r="Z2677" i="1"/>
  <c r="Z2676" i="1"/>
  <c r="Z2675" i="1"/>
  <c r="Z2674" i="1"/>
  <c r="Z2673" i="1"/>
  <c r="Z2672" i="1"/>
  <c r="Z2671" i="1"/>
  <c r="Z2670" i="1"/>
  <c r="Z2669" i="1"/>
  <c r="Z2668" i="1"/>
  <c r="Z2667" i="1"/>
  <c r="Z2666" i="1"/>
  <c r="Z2665" i="1"/>
  <c r="Z2664" i="1"/>
  <c r="Z2663" i="1"/>
  <c r="Z2662" i="1"/>
  <c r="Z2661" i="1"/>
  <c r="Z2660" i="1"/>
  <c r="Z2659" i="1"/>
  <c r="Z2658" i="1"/>
  <c r="Z2657" i="1"/>
  <c r="Z2656" i="1"/>
  <c r="Z2655" i="1"/>
  <c r="Z2654" i="1"/>
  <c r="Z2653" i="1"/>
  <c r="Z2652" i="1"/>
  <c r="Z2651" i="1"/>
  <c r="Z2650" i="1"/>
  <c r="Z2649" i="1"/>
  <c r="Z2648" i="1"/>
  <c r="Z2647" i="1"/>
  <c r="Z2646" i="1"/>
  <c r="Z2645" i="1"/>
  <c r="Z2644" i="1"/>
  <c r="Z2643" i="1"/>
  <c r="Z2642" i="1"/>
  <c r="Z2641" i="1"/>
  <c r="Z2640" i="1"/>
  <c r="Z2639" i="1"/>
  <c r="Z2638" i="1"/>
  <c r="Z2637" i="1"/>
  <c r="Z2636" i="1"/>
  <c r="Z2635" i="1"/>
  <c r="Z2634" i="1"/>
  <c r="Z2633" i="1"/>
  <c r="Z2632" i="1"/>
  <c r="Z2631" i="1"/>
  <c r="Z2630" i="1"/>
  <c r="Z2629" i="1"/>
  <c r="Z2628" i="1"/>
  <c r="Z2627" i="1"/>
  <c r="Z2626" i="1"/>
  <c r="Z2625" i="1"/>
  <c r="Z2624" i="1"/>
  <c r="Z2623" i="1"/>
  <c r="Z2622" i="1"/>
  <c r="Z2621" i="1"/>
  <c r="Z2620" i="1"/>
  <c r="Z2619" i="1"/>
  <c r="Z2618" i="1"/>
  <c r="Z2617" i="1"/>
  <c r="Z2616" i="1"/>
  <c r="Z2615" i="1"/>
  <c r="Z2614" i="1"/>
  <c r="Z2613" i="1"/>
  <c r="Z2612" i="1"/>
  <c r="Z2611" i="1"/>
  <c r="Z2610" i="1"/>
  <c r="Z2609" i="1"/>
  <c r="Z2608" i="1"/>
  <c r="Z2607" i="1"/>
  <c r="Z2606" i="1"/>
  <c r="Z2605" i="1"/>
  <c r="Z2604" i="1"/>
  <c r="Z2603" i="1"/>
  <c r="Z2602" i="1"/>
  <c r="Z2601" i="1"/>
  <c r="Z2600" i="1"/>
  <c r="Z2599" i="1"/>
  <c r="Z2598" i="1"/>
  <c r="Z2597" i="1"/>
  <c r="Z2596" i="1"/>
  <c r="Z2595" i="1"/>
  <c r="Z2594" i="1"/>
  <c r="Z2593" i="1"/>
  <c r="Z2592" i="1"/>
  <c r="Z2591" i="1"/>
  <c r="Z2590" i="1"/>
  <c r="Z2589" i="1"/>
  <c r="Z2588" i="1"/>
  <c r="Z2587" i="1"/>
  <c r="Z2586" i="1"/>
  <c r="Z2585" i="1"/>
  <c r="Z2584" i="1"/>
  <c r="Z2583" i="1"/>
  <c r="Z2582" i="1"/>
  <c r="Z2581" i="1"/>
  <c r="Z2580" i="1"/>
  <c r="Z2579" i="1"/>
  <c r="Z2578" i="1"/>
  <c r="Z2577" i="1"/>
  <c r="Z2576" i="1"/>
  <c r="Z2575" i="1"/>
  <c r="Z2574" i="1"/>
  <c r="Z2573" i="1"/>
  <c r="Z2572" i="1"/>
  <c r="Z2571" i="1"/>
  <c r="Z2570" i="1"/>
  <c r="Z2569" i="1"/>
  <c r="Z2568" i="1"/>
  <c r="Z2567" i="1"/>
  <c r="Z2566" i="1"/>
  <c r="Z2565" i="1"/>
  <c r="Z2564" i="1"/>
  <c r="Z2563" i="1"/>
  <c r="Z2562" i="1"/>
  <c r="Z2561" i="1"/>
  <c r="Z2560" i="1"/>
  <c r="Z2559" i="1"/>
  <c r="Z2558" i="1"/>
  <c r="Z2557" i="1"/>
  <c r="Z2556" i="1"/>
  <c r="Z2555" i="1"/>
  <c r="Z2554" i="1"/>
  <c r="Z2553" i="1"/>
  <c r="Z2552" i="1"/>
  <c r="Z2551" i="1"/>
  <c r="Z2550" i="1"/>
  <c r="Z2549" i="1"/>
  <c r="Z2548" i="1"/>
  <c r="Z2547" i="1"/>
  <c r="Z2546" i="1"/>
  <c r="Z2545" i="1"/>
  <c r="Z2544" i="1"/>
  <c r="Z2543" i="1"/>
  <c r="Z2542" i="1"/>
  <c r="Z2541" i="1"/>
  <c r="Z2540" i="1"/>
  <c r="Z2539" i="1"/>
  <c r="Z2538" i="1"/>
  <c r="Z2537" i="1"/>
  <c r="Z2536" i="1"/>
  <c r="Z2535" i="1"/>
  <c r="Z2534" i="1"/>
  <c r="Z2533" i="1"/>
  <c r="Z2532" i="1"/>
  <c r="Z2531" i="1"/>
  <c r="Z2530" i="1"/>
  <c r="Z2529" i="1"/>
  <c r="Z2528" i="1"/>
  <c r="Z2527" i="1"/>
  <c r="Z2526" i="1"/>
  <c r="Z2525" i="1"/>
  <c r="Z2524" i="1"/>
  <c r="Z2523" i="1"/>
  <c r="Z2522" i="1"/>
  <c r="Z2521" i="1"/>
  <c r="Z2520" i="1"/>
  <c r="Z2519" i="1"/>
  <c r="Z2518" i="1"/>
  <c r="Z2517" i="1"/>
  <c r="Z2516" i="1"/>
  <c r="Z2515" i="1"/>
  <c r="Z2514" i="1"/>
  <c r="Z2513" i="1"/>
  <c r="Z2512" i="1"/>
  <c r="Z2511" i="1"/>
  <c r="Z2510" i="1"/>
  <c r="Z2509" i="1"/>
  <c r="Z2508" i="1"/>
  <c r="Z2507" i="1"/>
  <c r="Z2506" i="1"/>
  <c r="Z2505" i="1"/>
  <c r="Z2504" i="1"/>
  <c r="Z2503" i="1"/>
  <c r="Z2502" i="1"/>
  <c r="Z2501" i="1"/>
  <c r="Z2500" i="1"/>
  <c r="Z2499" i="1"/>
  <c r="Z2498" i="1"/>
  <c r="Z2497" i="1"/>
  <c r="Z2496" i="1"/>
  <c r="Z2495" i="1"/>
  <c r="Z2494" i="1"/>
  <c r="Z2493" i="1"/>
  <c r="Z2492" i="1"/>
  <c r="Z2491" i="1"/>
  <c r="Z2490" i="1"/>
  <c r="Z2489" i="1"/>
  <c r="Z2488" i="1"/>
  <c r="Z2487" i="1"/>
  <c r="Z2486" i="1"/>
  <c r="Z2485" i="1"/>
  <c r="Z2484" i="1"/>
  <c r="Z2483" i="1"/>
  <c r="Z2482" i="1"/>
  <c r="Z2481" i="1"/>
  <c r="Z2480" i="1"/>
  <c r="Z2479" i="1"/>
  <c r="Z2478" i="1"/>
  <c r="Z2477" i="1"/>
  <c r="Z2476" i="1"/>
  <c r="Z2475" i="1"/>
  <c r="Z2474" i="1"/>
  <c r="Z2473" i="1"/>
  <c r="Z2472" i="1"/>
  <c r="Z2471" i="1"/>
  <c r="Z2470" i="1"/>
  <c r="Z2469" i="1"/>
  <c r="Z2468" i="1"/>
  <c r="Z2467" i="1"/>
  <c r="Z2466" i="1"/>
  <c r="Z2465" i="1"/>
  <c r="Z2464" i="1"/>
  <c r="Z2463" i="1"/>
  <c r="Z2462" i="1"/>
  <c r="Z2461" i="1"/>
  <c r="Z2460" i="1"/>
  <c r="Z2459" i="1"/>
  <c r="Z2458" i="1"/>
  <c r="Z2457" i="1"/>
  <c r="Z2456" i="1"/>
  <c r="Z2455" i="1"/>
  <c r="Z2454" i="1"/>
  <c r="Z2453" i="1"/>
  <c r="Z2452" i="1"/>
  <c r="Z2451" i="1"/>
  <c r="Z2450" i="1"/>
  <c r="Z2449" i="1"/>
  <c r="Z2448" i="1"/>
  <c r="Z2447" i="1"/>
  <c r="Z2446" i="1"/>
  <c r="Z2445" i="1"/>
  <c r="Z2444" i="1"/>
  <c r="Z2443" i="1"/>
  <c r="Z2442" i="1"/>
  <c r="Z2441" i="1"/>
  <c r="Z2440" i="1"/>
  <c r="Z2439" i="1"/>
  <c r="Z2438" i="1"/>
  <c r="Z2437" i="1"/>
  <c r="Z2436" i="1"/>
  <c r="Z2435" i="1"/>
  <c r="Z2434" i="1"/>
  <c r="Z2433" i="1"/>
  <c r="Z2432" i="1"/>
  <c r="Z2431" i="1"/>
  <c r="Z2430" i="1"/>
  <c r="Z2429" i="1"/>
  <c r="Z2428" i="1"/>
  <c r="Z2427" i="1"/>
  <c r="Z2426" i="1"/>
  <c r="Z2425" i="1"/>
  <c r="Z2424" i="1"/>
  <c r="Z2423" i="1"/>
  <c r="Z2422" i="1"/>
  <c r="Z2421" i="1"/>
  <c r="Z2420" i="1"/>
  <c r="Z2419" i="1"/>
  <c r="Z2418" i="1"/>
  <c r="Z2417" i="1"/>
  <c r="Z2416" i="1"/>
  <c r="Z2415" i="1"/>
  <c r="Z2414" i="1"/>
  <c r="Z2413" i="1"/>
  <c r="Z2412" i="1"/>
  <c r="Z2411" i="1"/>
  <c r="Z2410" i="1"/>
  <c r="Z2409" i="1"/>
  <c r="Z2408" i="1"/>
  <c r="Z2407" i="1"/>
  <c r="Z2406" i="1"/>
  <c r="Z2405" i="1"/>
  <c r="Z2404" i="1"/>
  <c r="Z2403" i="1"/>
  <c r="Z2402" i="1"/>
  <c r="Z2401" i="1"/>
  <c r="Z2400" i="1"/>
  <c r="Z2399" i="1"/>
  <c r="Z2398" i="1"/>
  <c r="Z2397" i="1"/>
  <c r="Z2396" i="1"/>
  <c r="Z2395" i="1"/>
  <c r="Z2394" i="1"/>
  <c r="Z2393" i="1"/>
  <c r="Z2392" i="1"/>
  <c r="Z2391" i="1"/>
  <c r="Z2390" i="1"/>
  <c r="Z2389" i="1"/>
  <c r="Z2388" i="1"/>
  <c r="Z2387" i="1"/>
  <c r="Z2386" i="1"/>
  <c r="Z2385" i="1"/>
  <c r="Z2384" i="1"/>
  <c r="Z2383" i="1"/>
  <c r="Z2382" i="1"/>
  <c r="Z2381" i="1"/>
  <c r="Z2380" i="1"/>
  <c r="Z2379" i="1"/>
  <c r="Z2378" i="1"/>
  <c r="Z2377" i="1"/>
  <c r="Z2376" i="1"/>
  <c r="Z2375" i="1"/>
  <c r="Z2374" i="1"/>
  <c r="Z2373" i="1"/>
  <c r="Z2372" i="1"/>
  <c r="Z2371" i="1"/>
  <c r="Z2370" i="1"/>
  <c r="Z2369" i="1"/>
  <c r="Z2368" i="1"/>
  <c r="Z2367" i="1"/>
  <c r="Z2366" i="1"/>
  <c r="Z2365" i="1"/>
  <c r="Z2364" i="1"/>
  <c r="Z2363" i="1"/>
  <c r="Z2362" i="1"/>
  <c r="Z2361" i="1"/>
  <c r="Z2360" i="1"/>
  <c r="Z2359" i="1"/>
  <c r="Z2358" i="1"/>
  <c r="Z2357" i="1"/>
  <c r="Z2356" i="1"/>
  <c r="Z2355" i="1"/>
  <c r="Z2354" i="1"/>
  <c r="Z2353" i="1"/>
  <c r="Z2352" i="1"/>
  <c r="Z2351" i="1"/>
  <c r="Z2350" i="1"/>
  <c r="Z2349" i="1"/>
  <c r="Z2348" i="1"/>
  <c r="Z2347" i="1"/>
  <c r="Z2346" i="1"/>
  <c r="Z2345" i="1"/>
  <c r="Z2344" i="1"/>
  <c r="Z2343" i="1"/>
  <c r="Z2342" i="1"/>
  <c r="Z2341" i="1"/>
  <c r="Z2340" i="1"/>
  <c r="Z2339" i="1"/>
  <c r="Z2338" i="1"/>
  <c r="Z2337" i="1"/>
  <c r="Z2336" i="1"/>
  <c r="Z2335" i="1"/>
  <c r="Z2334" i="1"/>
  <c r="Z2333" i="1"/>
  <c r="Z2332" i="1"/>
  <c r="Z2331" i="1"/>
  <c r="Z2330" i="1"/>
  <c r="Z2329" i="1"/>
  <c r="Z2328" i="1"/>
  <c r="Z2327" i="1"/>
  <c r="Z2326" i="1"/>
  <c r="Z2325" i="1"/>
  <c r="Z2324" i="1"/>
  <c r="Z2323" i="1"/>
  <c r="Z2322" i="1"/>
  <c r="Z2321" i="1"/>
  <c r="Z2320" i="1"/>
  <c r="Z2319" i="1"/>
  <c r="Z2318" i="1"/>
  <c r="Z2317" i="1"/>
  <c r="Z2316" i="1"/>
  <c r="Z2315" i="1"/>
  <c r="Z2314" i="1"/>
  <c r="Z2313" i="1"/>
  <c r="Z2312" i="1"/>
  <c r="Z2311" i="1"/>
  <c r="Z2310" i="1"/>
  <c r="Z2309" i="1"/>
  <c r="Z2308" i="1"/>
  <c r="Z2307" i="1"/>
  <c r="Z2306" i="1"/>
  <c r="Z2305" i="1"/>
  <c r="Z2304" i="1"/>
  <c r="Z2303" i="1"/>
  <c r="Z2302" i="1"/>
  <c r="Z2301" i="1"/>
  <c r="Z2300" i="1"/>
  <c r="Z2299" i="1"/>
  <c r="Z2298" i="1"/>
  <c r="Z2297" i="1"/>
  <c r="Z2296" i="1"/>
  <c r="Z2295" i="1"/>
  <c r="Z2294" i="1"/>
  <c r="Z2293" i="1"/>
  <c r="Z2292" i="1"/>
  <c r="Z2291" i="1"/>
  <c r="Z2290" i="1"/>
  <c r="Z2289" i="1"/>
  <c r="Z2288" i="1"/>
  <c r="Z2287" i="1"/>
  <c r="Z2286" i="1"/>
  <c r="Z2285" i="1"/>
  <c r="Z2284" i="1"/>
  <c r="Z2283" i="1"/>
  <c r="Z2282" i="1"/>
  <c r="Z2281" i="1"/>
  <c r="Z2280" i="1"/>
  <c r="Z2279" i="1"/>
  <c r="Z2278" i="1"/>
  <c r="Z2277" i="1"/>
  <c r="Z2276" i="1"/>
  <c r="Z2275" i="1"/>
  <c r="Z2274" i="1"/>
  <c r="Z2273" i="1"/>
  <c r="Z2272" i="1"/>
  <c r="Z2271" i="1"/>
  <c r="Z2270" i="1"/>
  <c r="Z2269" i="1"/>
  <c r="Z2268" i="1"/>
  <c r="Z2267" i="1"/>
  <c r="Z2266" i="1"/>
  <c r="Z2265" i="1"/>
  <c r="Z2264" i="1"/>
  <c r="Z2263" i="1"/>
  <c r="Z2262" i="1"/>
  <c r="Z2261" i="1"/>
  <c r="Z2260" i="1"/>
  <c r="Z2259" i="1"/>
  <c r="Z2258" i="1"/>
  <c r="Z2257" i="1"/>
  <c r="Z2256" i="1"/>
  <c r="Z2255" i="1"/>
  <c r="Z2254" i="1"/>
  <c r="Z2253" i="1"/>
  <c r="Z2252" i="1"/>
  <c r="Z2251" i="1"/>
  <c r="Z2250" i="1"/>
  <c r="Z2249" i="1"/>
  <c r="Z2248" i="1"/>
  <c r="Z2247" i="1"/>
  <c r="Z2246" i="1"/>
  <c r="Z2245" i="1"/>
  <c r="Z2244" i="1"/>
  <c r="Z2243" i="1"/>
  <c r="Z2242" i="1"/>
  <c r="Z2241" i="1"/>
  <c r="Z2240" i="1"/>
  <c r="Z2239" i="1"/>
  <c r="Z2238" i="1"/>
  <c r="Z2237" i="1"/>
  <c r="Z2236" i="1"/>
  <c r="Z2235" i="1"/>
  <c r="Z2234" i="1"/>
  <c r="Z2233" i="1"/>
  <c r="Z2232" i="1"/>
  <c r="Z2231" i="1"/>
  <c r="Z2230" i="1"/>
  <c r="Z2229" i="1"/>
  <c r="Z2228" i="1"/>
  <c r="Z2227" i="1"/>
  <c r="Z2226" i="1"/>
  <c r="Z2225" i="1"/>
  <c r="Z2224" i="1"/>
  <c r="Z2223" i="1"/>
  <c r="Z2222" i="1"/>
  <c r="Z2221" i="1"/>
  <c r="Z2220" i="1"/>
  <c r="Z2219" i="1"/>
  <c r="Z2218" i="1"/>
  <c r="Z2217" i="1"/>
  <c r="Z2216" i="1"/>
  <c r="Z2215" i="1"/>
  <c r="Z2214" i="1"/>
  <c r="Z2213" i="1"/>
  <c r="Z2212" i="1"/>
  <c r="Z2211" i="1"/>
  <c r="Z2210" i="1"/>
  <c r="Z2209" i="1"/>
  <c r="Z2208" i="1"/>
  <c r="Z2207" i="1"/>
  <c r="Z2206" i="1"/>
  <c r="Z2205" i="1"/>
  <c r="Z2204" i="1"/>
  <c r="Z2203" i="1"/>
  <c r="Z2202" i="1"/>
  <c r="Z2201" i="1"/>
  <c r="Z2200" i="1"/>
  <c r="Z2199" i="1"/>
  <c r="Z2198" i="1"/>
  <c r="Z2197" i="1"/>
  <c r="Z2196" i="1"/>
  <c r="Z2195" i="1"/>
  <c r="Z2194" i="1"/>
  <c r="Z2193" i="1"/>
  <c r="Z2192" i="1"/>
  <c r="Z2191" i="1"/>
  <c r="Z2190" i="1"/>
  <c r="Z2189" i="1"/>
  <c r="Z2188" i="1"/>
  <c r="Z2187" i="1"/>
  <c r="Z2186" i="1"/>
  <c r="Z2185" i="1"/>
  <c r="Z2184" i="1"/>
  <c r="Z2183" i="1"/>
  <c r="Z2182" i="1"/>
  <c r="Z2181" i="1"/>
  <c r="Z2180" i="1"/>
  <c r="Z2179" i="1"/>
  <c r="Z2178" i="1"/>
  <c r="Z2177" i="1"/>
  <c r="Z2176" i="1"/>
  <c r="Z2175" i="1"/>
  <c r="Z2174" i="1"/>
  <c r="Z2173" i="1"/>
  <c r="Z2172" i="1"/>
  <c r="Z2171" i="1"/>
  <c r="Z2170" i="1"/>
  <c r="Z2169" i="1"/>
  <c r="Z2168" i="1"/>
  <c r="Z2167" i="1"/>
  <c r="Z2166" i="1"/>
  <c r="Z2165" i="1"/>
  <c r="Z2164" i="1"/>
  <c r="Z2163" i="1"/>
  <c r="Z2162" i="1"/>
  <c r="Z2161" i="1"/>
  <c r="Z2160" i="1"/>
  <c r="Z2159" i="1"/>
  <c r="Z2158" i="1"/>
  <c r="Z2157" i="1"/>
  <c r="Z2156" i="1"/>
  <c r="Z2155" i="1"/>
  <c r="Z2154" i="1"/>
  <c r="Z2153" i="1"/>
  <c r="Z2152" i="1"/>
  <c r="Z2151" i="1"/>
  <c r="Z2150" i="1"/>
  <c r="Z2149" i="1"/>
  <c r="Z2148" i="1"/>
  <c r="Z2147" i="1"/>
  <c r="Z2146" i="1"/>
  <c r="Z2145" i="1"/>
  <c r="Z2144" i="1"/>
  <c r="Z2143" i="1"/>
  <c r="Z2142" i="1"/>
  <c r="Z2141" i="1"/>
  <c r="Z2140" i="1"/>
  <c r="Z2139" i="1"/>
  <c r="Z2138" i="1"/>
  <c r="Z2137" i="1"/>
  <c r="Z2136" i="1"/>
  <c r="Z2135" i="1"/>
  <c r="Z2134" i="1"/>
  <c r="Z2133" i="1"/>
  <c r="Z2132" i="1"/>
  <c r="Z2131" i="1"/>
  <c r="Z2130" i="1"/>
  <c r="Z2129" i="1"/>
  <c r="Z2128" i="1"/>
  <c r="Z2127" i="1"/>
  <c r="Z2126" i="1"/>
  <c r="Z2125" i="1"/>
  <c r="Z2124" i="1"/>
  <c r="Z2123" i="1"/>
  <c r="Z2122" i="1"/>
  <c r="Z2121" i="1"/>
  <c r="Z2120" i="1"/>
  <c r="Z2119" i="1"/>
  <c r="Z2118" i="1"/>
  <c r="Z2117" i="1"/>
  <c r="Z2116" i="1"/>
  <c r="Z2115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2003" i="1"/>
  <c r="Z2002" i="1"/>
  <c r="Z2001" i="1"/>
  <c r="Z2000" i="1"/>
  <c r="Z1999" i="1"/>
  <c r="Z1998" i="1"/>
  <c r="Z1997" i="1"/>
  <c r="Z1996" i="1"/>
  <c r="Z1995" i="1"/>
  <c r="Z1994" i="1"/>
  <c r="Z1993" i="1"/>
  <c r="Z1992" i="1"/>
  <c r="Z1991" i="1"/>
  <c r="Z1990" i="1"/>
  <c r="Z1989" i="1"/>
  <c r="Z1988" i="1"/>
  <c r="Z1987" i="1"/>
  <c r="Z1986" i="1"/>
  <c r="Z1985" i="1"/>
  <c r="Z1984" i="1"/>
  <c r="Z1983" i="1"/>
  <c r="Z1982" i="1"/>
  <c r="Z1981" i="1"/>
  <c r="Z1980" i="1"/>
  <c r="Z1979" i="1"/>
  <c r="Z1978" i="1"/>
  <c r="Z1977" i="1"/>
  <c r="Z1976" i="1"/>
  <c r="Z1975" i="1"/>
  <c r="Z1974" i="1"/>
  <c r="Z1973" i="1"/>
  <c r="Z1972" i="1"/>
  <c r="Z1971" i="1"/>
  <c r="Z1970" i="1"/>
  <c r="Z1969" i="1"/>
  <c r="Z1968" i="1"/>
  <c r="Z1967" i="1"/>
  <c r="Z1966" i="1"/>
  <c r="Z1965" i="1"/>
  <c r="Z1964" i="1"/>
  <c r="Z1963" i="1"/>
  <c r="Z1962" i="1"/>
  <c r="Z1961" i="1"/>
  <c r="Z1960" i="1"/>
  <c r="Z1959" i="1"/>
  <c r="Z1958" i="1"/>
  <c r="Z1957" i="1"/>
  <c r="Z1956" i="1"/>
  <c r="Z1955" i="1"/>
  <c r="Z1954" i="1"/>
  <c r="Z1953" i="1"/>
  <c r="Z1952" i="1"/>
  <c r="Z1951" i="1"/>
  <c r="Z1950" i="1"/>
  <c r="Z1949" i="1"/>
  <c r="Z1948" i="1"/>
  <c r="Z1947" i="1"/>
  <c r="Z1946" i="1"/>
  <c r="Z1945" i="1"/>
  <c r="Z1944" i="1"/>
  <c r="Z1943" i="1"/>
  <c r="Z1942" i="1"/>
  <c r="Z1941" i="1"/>
  <c r="Z1940" i="1"/>
  <c r="Z1939" i="1"/>
  <c r="Z1938" i="1"/>
  <c r="Z1937" i="1"/>
  <c r="Z1936" i="1"/>
  <c r="Z1935" i="1"/>
  <c r="Z1934" i="1"/>
  <c r="Z1933" i="1"/>
  <c r="Z1932" i="1"/>
  <c r="Z1931" i="1"/>
  <c r="Z1930" i="1"/>
  <c r="Z1929" i="1"/>
  <c r="Z1928" i="1"/>
  <c r="Z1927" i="1"/>
  <c r="Z1926" i="1"/>
  <c r="Z1925" i="1"/>
  <c r="Z1924" i="1"/>
  <c r="Z1923" i="1"/>
  <c r="Z1922" i="1"/>
  <c r="Z1921" i="1"/>
  <c r="Z1920" i="1"/>
  <c r="Z1919" i="1"/>
  <c r="Z1918" i="1"/>
  <c r="Z1917" i="1"/>
  <c r="Z1916" i="1"/>
  <c r="Z1915" i="1"/>
  <c r="Z1914" i="1"/>
  <c r="Z1913" i="1"/>
  <c r="Z1912" i="1"/>
  <c r="Z1911" i="1"/>
  <c r="Z1910" i="1"/>
  <c r="Z1909" i="1"/>
  <c r="Z1908" i="1"/>
  <c r="Z1907" i="1"/>
  <c r="Z1906" i="1"/>
  <c r="Z1905" i="1"/>
  <c r="Z1904" i="1"/>
  <c r="Z1903" i="1"/>
  <c r="Z1902" i="1"/>
  <c r="Z1901" i="1"/>
  <c r="Z1900" i="1"/>
  <c r="Z1899" i="1"/>
  <c r="Z1898" i="1"/>
  <c r="Z1897" i="1"/>
  <c r="Z1896" i="1"/>
  <c r="Z1895" i="1"/>
  <c r="Z1894" i="1"/>
  <c r="Z1893" i="1"/>
  <c r="Z1892" i="1"/>
  <c r="Z1891" i="1"/>
  <c r="Z1890" i="1"/>
  <c r="Z1889" i="1"/>
  <c r="Z1888" i="1"/>
  <c r="Z1887" i="1"/>
  <c r="Z1886" i="1"/>
  <c r="Z1885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72" i="1"/>
  <c r="Z1871" i="1"/>
  <c r="Z1870" i="1"/>
  <c r="Z1869" i="1"/>
  <c r="Z1868" i="1"/>
  <c r="Z1867" i="1"/>
  <c r="Z1866" i="1"/>
  <c r="Z1865" i="1"/>
  <c r="Z1864" i="1"/>
  <c r="Z1863" i="1"/>
  <c r="Z1862" i="1"/>
  <c r="Z1861" i="1"/>
  <c r="Z1860" i="1"/>
  <c r="Z1859" i="1"/>
  <c r="Z1858" i="1"/>
  <c r="Z1857" i="1"/>
  <c r="Z1856" i="1"/>
  <c r="Z1855" i="1"/>
  <c r="Z1854" i="1"/>
  <c r="Z1853" i="1"/>
  <c r="Z1852" i="1"/>
  <c r="Z1851" i="1"/>
  <c r="Z1850" i="1"/>
  <c r="Z1849" i="1"/>
  <c r="Z1848" i="1"/>
  <c r="Z1847" i="1"/>
  <c r="Z1846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06" i="1"/>
  <c r="Z1805" i="1"/>
  <c r="Z1804" i="1"/>
  <c r="Z1803" i="1"/>
  <c r="Z1802" i="1"/>
  <c r="Z1801" i="1"/>
  <c r="Z1800" i="1"/>
  <c r="Z1799" i="1"/>
  <c r="Z1798" i="1"/>
  <c r="Z1797" i="1"/>
  <c r="Z1796" i="1"/>
  <c r="Z1795" i="1"/>
  <c r="Z1794" i="1"/>
  <c r="Z1793" i="1"/>
  <c r="Z1792" i="1"/>
  <c r="Z1791" i="1"/>
  <c r="Z1790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5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</calcChain>
</file>

<file path=xl/sharedStrings.xml><?xml version="1.0" encoding="utf-8"?>
<sst xmlns="http://schemas.openxmlformats.org/spreadsheetml/2006/main" count="29019" uniqueCount="18048">
  <si>
    <t>Protein_ID</t>
  </si>
  <si>
    <t>plot</t>
  </si>
  <si>
    <t>uniprot_ac</t>
  </si>
  <si>
    <t>auc</t>
  </si>
  <si>
    <t>plot_link</t>
  </si>
  <si>
    <t>gene_name</t>
  </si>
  <si>
    <t>A0AVT1_UBA6</t>
  </si>
  <si>
    <t>A0JNW5_UHRF1BP1L</t>
  </si>
  <si>
    <t>A0MZ66_KIAA1598</t>
  </si>
  <si>
    <t>A1L170_C1orf226</t>
  </si>
  <si>
    <t>A1L188_C17orf89</t>
  </si>
  <si>
    <t>A1Z1Q3-2_MACROD2</t>
  </si>
  <si>
    <t>A2VDF0-2_FUOM</t>
  </si>
  <si>
    <t>A4D126-2_ISPD</t>
  </si>
  <si>
    <t>A4D1P6-2_WDR91</t>
  </si>
  <si>
    <t>A4D1U4_LCHN</t>
  </si>
  <si>
    <t>A5YKK6-2_CNOT1</t>
  </si>
  <si>
    <t>A6ND91_ASPDH</t>
  </si>
  <si>
    <t>A6NDB9_PALM3</t>
  </si>
  <si>
    <t>A6NDG6_PGP</t>
  </si>
  <si>
    <t>A6NDJ8_</t>
  </si>
  <si>
    <t>A6NEL2_SOWAHB</t>
  </si>
  <si>
    <t>A6NHL2-2_TUBAL3</t>
  </si>
  <si>
    <t>A6NK44_GLOD5</t>
  </si>
  <si>
    <t>A6NKN8_PCP4L1</t>
  </si>
  <si>
    <t>A6NLP5_TTC36</t>
  </si>
  <si>
    <t>A8MSI8_LYRM9</t>
  </si>
  <si>
    <t>A8MXV4_NUDT19</t>
  </si>
  <si>
    <t>B1AK53_ESPN</t>
  </si>
  <si>
    <t>B7ZAP0_RABGAP1L</t>
  </si>
  <si>
    <t>B7ZBB8_PPP1R3G</t>
  </si>
  <si>
    <t>C4AMC7_WASH3P</t>
  </si>
  <si>
    <t>O00142_TK2</t>
  </si>
  <si>
    <t>O00151_PDLIM1</t>
  </si>
  <si>
    <t>O00154-4_ACOT7</t>
  </si>
  <si>
    <t>O00161-2_SNAP23</t>
  </si>
  <si>
    <t>O00170_AIP</t>
  </si>
  <si>
    <t>O00178_GTPBP1</t>
  </si>
  <si>
    <t>O00231_PSMD11</t>
  </si>
  <si>
    <t>O00232_PSMD12</t>
  </si>
  <si>
    <t>O00244_ATOX1</t>
  </si>
  <si>
    <t>O00267-2_SUPT5H</t>
  </si>
  <si>
    <t>O00273_DFFA</t>
  </si>
  <si>
    <t>O00299_CLIC1</t>
  </si>
  <si>
    <t>O00303_EIF3F</t>
  </si>
  <si>
    <t>O00401_WASL</t>
  </si>
  <si>
    <t>O00410_IPO5</t>
  </si>
  <si>
    <t>O00429-4_DNM1L</t>
  </si>
  <si>
    <t>O00459_PIK3R2</t>
  </si>
  <si>
    <t>O00462_MANBA</t>
  </si>
  <si>
    <t>O00471_EXOC5</t>
  </si>
  <si>
    <t>O00479_HMGN4</t>
  </si>
  <si>
    <t>O00487_PSMD14</t>
  </si>
  <si>
    <t>O00499-6_BIN1</t>
  </si>
  <si>
    <t>O00505_KPNA3</t>
  </si>
  <si>
    <t>O00515_LAD1</t>
  </si>
  <si>
    <t>O00534_VWA5A</t>
  </si>
  <si>
    <t>O00567_NOP56</t>
  </si>
  <si>
    <t>O00571_DDX3X</t>
  </si>
  <si>
    <t>O00625_PIR</t>
  </si>
  <si>
    <t>O00629_KPNA4</t>
  </si>
  <si>
    <t>O00635_TRIM38</t>
  </si>
  <si>
    <t>O00743_PPP6C</t>
  </si>
  <si>
    <t>O00748_CES2</t>
  </si>
  <si>
    <t>O00754_MAN2B1</t>
  </si>
  <si>
    <t>O00757_FBP2</t>
  </si>
  <si>
    <t>O00763_ACACB</t>
  </si>
  <si>
    <t>O00764_PDXK</t>
  </si>
  <si>
    <t>O14497_ARID1A</t>
  </si>
  <si>
    <t>O14545_TRAFD1</t>
  </si>
  <si>
    <t>O14561_NDUFAB1</t>
  </si>
  <si>
    <t>O14579_COPE</t>
  </si>
  <si>
    <t>O14686_MLL2</t>
  </si>
  <si>
    <t>O14732-2_IMPA2</t>
  </si>
  <si>
    <t>O14734_ACOT8</t>
  </si>
  <si>
    <t>O14737_PDCD5</t>
  </si>
  <si>
    <t>O14744_PRMT5</t>
  </si>
  <si>
    <t>O14745_SLC9A3R1</t>
  </si>
  <si>
    <t>O14756_HSD17B6</t>
  </si>
  <si>
    <t>O14772_FPGT</t>
  </si>
  <si>
    <t>O14773-2_TPP1</t>
  </si>
  <si>
    <t>O14776-2_TCERG1</t>
  </si>
  <si>
    <t>O14787-2_TNPO2</t>
  </si>
  <si>
    <t>O14818_PSMA7</t>
  </si>
  <si>
    <t>O14832_PHYH</t>
  </si>
  <si>
    <t>O14841_OPLAH</t>
  </si>
  <si>
    <t>O14879_IFIT3</t>
  </si>
  <si>
    <t>O14896_IRF6</t>
  </si>
  <si>
    <t>O14907_TAX1BP3</t>
  </si>
  <si>
    <t>O14908_GIPC1</t>
  </si>
  <si>
    <t>O14929_HAT1</t>
  </si>
  <si>
    <t>O14933_UBE2L6</t>
  </si>
  <si>
    <t>O14936-3_CASK</t>
  </si>
  <si>
    <t>O14964_HGS</t>
  </si>
  <si>
    <t>O14974_PPP1R12A</t>
  </si>
  <si>
    <t>O14975-2_SLC27A2</t>
  </si>
  <si>
    <t>O14979-3_HNRPDL</t>
  </si>
  <si>
    <t>O14980_XPO1</t>
  </si>
  <si>
    <t>O15020_SPTBN2</t>
  </si>
  <si>
    <t>O15021-2_MAST4</t>
  </si>
  <si>
    <t>O15067_PFAS</t>
  </si>
  <si>
    <t>O15084_ANKRD28</t>
  </si>
  <si>
    <t>O15143_ARPC1B</t>
  </si>
  <si>
    <t>O15144_ARPC2</t>
  </si>
  <si>
    <t>O15145_ARPC3</t>
  </si>
  <si>
    <t>O15212_PFDN6</t>
  </si>
  <si>
    <t>O15217_GSTA4</t>
  </si>
  <si>
    <t>O15229-3_KMO</t>
  </si>
  <si>
    <t>O15254_ACOX3</t>
  </si>
  <si>
    <t>O15294-3_OGT</t>
  </si>
  <si>
    <t>O15305_PMM2</t>
  </si>
  <si>
    <t>O15355_PPM1G</t>
  </si>
  <si>
    <t>O15357_INPPL1</t>
  </si>
  <si>
    <t>O15372_EIF3H</t>
  </si>
  <si>
    <t>O15379_HDAC3</t>
  </si>
  <si>
    <t>O15382_BCAT2</t>
  </si>
  <si>
    <t>O15397_IPO8</t>
  </si>
  <si>
    <t>O15400-2_STX7</t>
  </si>
  <si>
    <t>O15488-4_GYG2</t>
  </si>
  <si>
    <t>O15498_YKT6</t>
  </si>
  <si>
    <t>O15511_ARPC5</t>
  </si>
  <si>
    <t>O15541_RNF113A</t>
  </si>
  <si>
    <t>O43143_DHX15</t>
  </si>
  <si>
    <t>O43148_RNMT</t>
  </si>
  <si>
    <t>O43149_ZZEF1</t>
  </si>
  <si>
    <t>O43172-2_PRPF4</t>
  </si>
  <si>
    <t>O43175_PHGDH</t>
  </si>
  <si>
    <t>O43236-5_SEPT4</t>
  </si>
  <si>
    <t>O43237_DYNC1LI2</t>
  </si>
  <si>
    <t>O43242_PSMD3</t>
  </si>
  <si>
    <t>O43252_PAPSS1</t>
  </si>
  <si>
    <t>O43290_SART1</t>
  </si>
  <si>
    <t>O43312-4_MTSS1</t>
  </si>
  <si>
    <t>O43314-2_PPIP5K2</t>
  </si>
  <si>
    <t>O43318-2_MAP3K7</t>
  </si>
  <si>
    <t>O43324_EEF1E1</t>
  </si>
  <si>
    <t>O43325_LYRM1</t>
  </si>
  <si>
    <t>O43390_HNRNPR</t>
  </si>
  <si>
    <t>O43396_TXNL1</t>
  </si>
  <si>
    <t>O43399_TPD52L2</t>
  </si>
  <si>
    <t>O43414-3_ERI3</t>
  </si>
  <si>
    <t>O43432_EIF4G3</t>
  </si>
  <si>
    <t>O43464_HTRA2</t>
  </si>
  <si>
    <t>O43491-3_EPB41L2</t>
  </si>
  <si>
    <t>O43493-2_TGOLN2</t>
  </si>
  <si>
    <t>O43592_XPOT</t>
  </si>
  <si>
    <t>O43598_DNPH1</t>
  </si>
  <si>
    <t>O43615_TIMM44</t>
  </si>
  <si>
    <t>O43617-2_TRAPPC3</t>
  </si>
  <si>
    <t>O43633_CHMP2A</t>
  </si>
  <si>
    <t>O43670-2_ZNF207</t>
  </si>
  <si>
    <t>O43678_NDUFA2</t>
  </si>
  <si>
    <t>O43681_ASNA1</t>
  </si>
  <si>
    <t>O43704_SULT1B1</t>
  </si>
  <si>
    <t>O43707_ACTN4</t>
  </si>
  <si>
    <t>O43708_GSTZ1</t>
  </si>
  <si>
    <t>O43715_TRIAP1</t>
  </si>
  <si>
    <t>O43716_GATC</t>
  </si>
  <si>
    <t>O43719_HTATSF1</t>
  </si>
  <si>
    <t>O43741_PRKAB2</t>
  </si>
  <si>
    <t>O43747_AP1G1</t>
  </si>
  <si>
    <t>O43765_SGTA</t>
  </si>
  <si>
    <t>O43766-2_LIAS</t>
  </si>
  <si>
    <t>O43768-2_ENSA</t>
  </si>
  <si>
    <t>O43776_NARS</t>
  </si>
  <si>
    <t>O43795-2_MYO1B</t>
  </si>
  <si>
    <t>O43805_SSNA1</t>
  </si>
  <si>
    <t>O43809_NUDT21</t>
  </si>
  <si>
    <t>O43813_LANCL1</t>
  </si>
  <si>
    <t>O43815-2_STRN</t>
  </si>
  <si>
    <t>O43820-4_HYAL3</t>
  </si>
  <si>
    <t>O43837_IDH3B</t>
  </si>
  <si>
    <t>O43847_NRD1</t>
  </si>
  <si>
    <t>O43852_CALU</t>
  </si>
  <si>
    <t>O43865_AHCYL1</t>
  </si>
  <si>
    <t>O43903_GAS2</t>
  </si>
  <si>
    <t>O60216_RAD21</t>
  </si>
  <si>
    <t>O60218_AKR1B10</t>
  </si>
  <si>
    <t>O60220_TIMM8A</t>
  </si>
  <si>
    <t>O60231_DHX16</t>
  </si>
  <si>
    <t>O60240_PLIN1</t>
  </si>
  <si>
    <t>O60256_PRPSAP2</t>
  </si>
  <si>
    <t>O60260-5_PARK2</t>
  </si>
  <si>
    <t>O60271-4_SPAG9</t>
  </si>
  <si>
    <t>O60341_KDM1A</t>
  </si>
  <si>
    <t>O60343-2_TBC1D4</t>
  </si>
  <si>
    <t>O60443_DFNA5</t>
  </si>
  <si>
    <t>O60493_SNX3</t>
  </si>
  <si>
    <t>O60504-2_SORBS3</t>
  </si>
  <si>
    <t>O60506-2_SYNCRIP</t>
  </si>
  <si>
    <t>O60547-2_GMDS</t>
  </si>
  <si>
    <t>O60551_NMT2</t>
  </si>
  <si>
    <t>O60613_SEP15</t>
  </si>
  <si>
    <t>O60645-3_EXOC3</t>
  </si>
  <si>
    <t>O60664-4_PLIN3</t>
  </si>
  <si>
    <t>O60701_UGDH</t>
  </si>
  <si>
    <t>O60716-5_CTNND1</t>
  </si>
  <si>
    <t>O60749_SNX2</t>
  </si>
  <si>
    <t>O60763_USO1</t>
  </si>
  <si>
    <t>O60826_CCDC22</t>
  </si>
  <si>
    <t>O60828-2_PQBP1</t>
  </si>
  <si>
    <t>O60832_DKC1</t>
  </si>
  <si>
    <t>O60841_EIF5B</t>
  </si>
  <si>
    <t>O60869_EDF1</t>
  </si>
  <si>
    <t>O60884_DNAJA2</t>
  </si>
  <si>
    <t>O60885_BRD4</t>
  </si>
  <si>
    <t>O60925_PFDN1</t>
  </si>
  <si>
    <t>O60927_PPP1R11</t>
  </si>
  <si>
    <t>O60934_NBN</t>
  </si>
  <si>
    <t>O60942-3_RNGTT</t>
  </si>
  <si>
    <t>O75081-2_CBFA2T3</t>
  </si>
  <si>
    <t>O75083_WDR1</t>
  </si>
  <si>
    <t>O75113_N4BP1</t>
  </si>
  <si>
    <t>O75116_ROCK2</t>
  </si>
  <si>
    <t>O75131_CPNE3</t>
  </si>
  <si>
    <t>O75146_HIP1R</t>
  </si>
  <si>
    <t>O75150_RNF40</t>
  </si>
  <si>
    <t>O75155-2_CAND2</t>
  </si>
  <si>
    <t>O75165_DNAJC13</t>
  </si>
  <si>
    <t>O75170-4_PPP6R2</t>
  </si>
  <si>
    <t>O75175_CNOT3</t>
  </si>
  <si>
    <t>O75177_SS18L1</t>
  </si>
  <si>
    <t>O75185_ATP2C2</t>
  </si>
  <si>
    <t>O75191_XYLB</t>
  </si>
  <si>
    <t>O75208_COQ9</t>
  </si>
  <si>
    <t>O75223_GGCT</t>
  </si>
  <si>
    <t>O75323_GBAS</t>
  </si>
  <si>
    <t>O75340_PDCD6</t>
  </si>
  <si>
    <t>O75347_TBCA</t>
  </si>
  <si>
    <t>O75348_ATP6V1G1</t>
  </si>
  <si>
    <t>O75351_VPS4B</t>
  </si>
  <si>
    <t>O75356_ENTPD5</t>
  </si>
  <si>
    <t>O75368_SH3BGRL</t>
  </si>
  <si>
    <t>O75369-8_FLNB</t>
  </si>
  <si>
    <t>O75376_NCOR1</t>
  </si>
  <si>
    <t>O75380_NDUFS6</t>
  </si>
  <si>
    <t>O75396_SEC22B</t>
  </si>
  <si>
    <t>O75400-2_PRPF40A</t>
  </si>
  <si>
    <t>O75414-2_NME6</t>
  </si>
  <si>
    <t>O75436_VPS26A</t>
  </si>
  <si>
    <t>O75439_PMPCB</t>
  </si>
  <si>
    <t>O75452_RDH16</t>
  </si>
  <si>
    <t>O75475_PSIP1</t>
  </si>
  <si>
    <t>O75503_CLN5</t>
  </si>
  <si>
    <t>O75521-2_ECI2</t>
  </si>
  <si>
    <t>O75531_BANF1</t>
  </si>
  <si>
    <t>O75533_SF3B1</t>
  </si>
  <si>
    <t>O75534_CSDE1</t>
  </si>
  <si>
    <t>O75570_MTRF1</t>
  </si>
  <si>
    <t>O75600_GCAT</t>
  </si>
  <si>
    <t>O75608-2_LYPLA1</t>
  </si>
  <si>
    <t>O75629_CREG1</t>
  </si>
  <si>
    <t>O75643_SNRNP200</t>
  </si>
  <si>
    <t>O75663_TIPRL</t>
  </si>
  <si>
    <t>O75688_PPM1B</t>
  </si>
  <si>
    <t>O75695_RP2</t>
  </si>
  <si>
    <t>O75764_TCEA3</t>
  </si>
  <si>
    <t>O75821_EIF3G</t>
  </si>
  <si>
    <t>O75822_EIF3J</t>
  </si>
  <si>
    <t>O75874_IDH1</t>
  </si>
  <si>
    <t>O75884_RBBP9</t>
  </si>
  <si>
    <t>O75886_STAM2</t>
  </si>
  <si>
    <t>O75891_ALDH1L1</t>
  </si>
  <si>
    <t>O75896_TUSC2</t>
  </si>
  <si>
    <t>O75934_BCAS2</t>
  </si>
  <si>
    <t>O75935-3_DCTN3</t>
  </si>
  <si>
    <t>O75936_BBOX1</t>
  </si>
  <si>
    <t>O75937_DNAJC8</t>
  </si>
  <si>
    <t>O75940_SMNDC1</t>
  </si>
  <si>
    <t>O75970-3_MPDZ</t>
  </si>
  <si>
    <t>O75976_CPD</t>
  </si>
  <si>
    <t>O76003_GLRX3</t>
  </si>
  <si>
    <t>O76024_WFS1</t>
  </si>
  <si>
    <t>O76031_CLPX</t>
  </si>
  <si>
    <t>O76054_SEC14L2</t>
  </si>
  <si>
    <t>O76071_CIAO1</t>
  </si>
  <si>
    <t>O76094_SRP72</t>
  </si>
  <si>
    <t>O94760_DDAH1</t>
  </si>
  <si>
    <t>O94776_MTA2</t>
  </si>
  <si>
    <t>O94788-4_ALDH1A2</t>
  </si>
  <si>
    <t>O94804_STK10</t>
  </si>
  <si>
    <t>O94811_TPPP</t>
  </si>
  <si>
    <t>O94819_KBTBD11</t>
  </si>
  <si>
    <t>O94826_TOMM70A</t>
  </si>
  <si>
    <t>O94851-5_MICAL2</t>
  </si>
  <si>
    <t>O94855_SEC24D</t>
  </si>
  <si>
    <t>O94874_UFL1</t>
  </si>
  <si>
    <t>O94875-12_SORBS2</t>
  </si>
  <si>
    <t>O94887_FARP2</t>
  </si>
  <si>
    <t>O94903_PROSC</t>
  </si>
  <si>
    <t>O94929-2_ABLIM3</t>
  </si>
  <si>
    <t>O94973_AP2A2</t>
  </si>
  <si>
    <t>O94979-3_SEC31A</t>
  </si>
  <si>
    <t>O94992_HEXIM1</t>
  </si>
  <si>
    <t>O95081_AGFG2</t>
  </si>
  <si>
    <t>O95104-3_SCAF4</t>
  </si>
  <si>
    <t>O95154_AKR7A3</t>
  </si>
  <si>
    <t>O95155-3_UBE4B</t>
  </si>
  <si>
    <t>O95163_IKBKAP</t>
  </si>
  <si>
    <t>O95202_LETM1</t>
  </si>
  <si>
    <t>O95210_STBD1</t>
  </si>
  <si>
    <t>O95218-2_ZRANB2</t>
  </si>
  <si>
    <t>O95219_SNX4</t>
  </si>
  <si>
    <t>O95232_LUC7L3</t>
  </si>
  <si>
    <t>O95251-2_KAT7</t>
  </si>
  <si>
    <t>O95278-7_EPM2A</t>
  </si>
  <si>
    <t>O95292_VAPB</t>
  </si>
  <si>
    <t>O95295_SNAPIN</t>
  </si>
  <si>
    <t>O95336_PGLS</t>
  </si>
  <si>
    <t>O95340_PAPSS2</t>
  </si>
  <si>
    <t>O95352_ATG7</t>
  </si>
  <si>
    <t>O95363_FARS2</t>
  </si>
  <si>
    <t>O95372_LYPLA2</t>
  </si>
  <si>
    <t>O95373_IPO7</t>
  </si>
  <si>
    <t>O95376_ARIH2</t>
  </si>
  <si>
    <t>O95394_PGM3</t>
  </si>
  <si>
    <t>O95396_MOCS3</t>
  </si>
  <si>
    <t>O95399_UTS2</t>
  </si>
  <si>
    <t>O95425-2_SVIL</t>
  </si>
  <si>
    <t>O95429-2_BAG4</t>
  </si>
  <si>
    <t>O95433_AHSA1</t>
  </si>
  <si>
    <t>O95456-2_PSMG1</t>
  </si>
  <si>
    <t>O95479_H6PD</t>
  </si>
  <si>
    <t>O95486_SEC24A</t>
  </si>
  <si>
    <t>O95487-2_SEC24B</t>
  </si>
  <si>
    <t>O95497_VNN1</t>
  </si>
  <si>
    <t>O95544_NADK</t>
  </si>
  <si>
    <t>O95571_ETHE1</t>
  </si>
  <si>
    <t>O95630_STAMBP</t>
  </si>
  <si>
    <t>O95671-2_ASMTL</t>
  </si>
  <si>
    <t>O95721_SNAP29</t>
  </si>
  <si>
    <t>O95747_OXSR1</t>
  </si>
  <si>
    <t>O95757_HSPA4L</t>
  </si>
  <si>
    <t>O95777_NAA38</t>
  </si>
  <si>
    <t>O95782-2_AP2A1</t>
  </si>
  <si>
    <t>O95810_SDPR</t>
  </si>
  <si>
    <t>O95816_BAG2</t>
  </si>
  <si>
    <t>O95817_BAG3</t>
  </si>
  <si>
    <t>O95822_MLYCD</t>
  </si>
  <si>
    <t>O95825_CRYZL1</t>
  </si>
  <si>
    <t>O95831-3_AIFM1</t>
  </si>
  <si>
    <t>O95834_EML2</t>
  </si>
  <si>
    <t>O95865_DDAH2</t>
  </si>
  <si>
    <t>O95881_TXNDC12</t>
  </si>
  <si>
    <t>O95954_FTCD</t>
  </si>
  <si>
    <t>O95989_NUDT3</t>
  </si>
  <si>
    <t>O96007_MOCS2</t>
  </si>
  <si>
    <t>O96033_MOCS2</t>
  </si>
  <si>
    <t>P00325_ADH1B</t>
  </si>
  <si>
    <t>P00326_ADH1C</t>
  </si>
  <si>
    <t>P00338_LDHA</t>
  </si>
  <si>
    <t>P00352_ALDH1A1</t>
  </si>
  <si>
    <t>P00387-2_CYB5R3</t>
  </si>
  <si>
    <t>P00390-2_GSR</t>
  </si>
  <si>
    <t>P00390-5_GSR</t>
  </si>
  <si>
    <t>P00439_PAH</t>
  </si>
  <si>
    <t>P00450_CP</t>
  </si>
  <si>
    <t>P00480_OTC</t>
  </si>
  <si>
    <t>P00491_PNP</t>
  </si>
  <si>
    <t>P00492_HPRT1</t>
  </si>
  <si>
    <t>P00505_GOT2</t>
  </si>
  <si>
    <t>P00558_PGK1</t>
  </si>
  <si>
    <t>P00568_AK1</t>
  </si>
  <si>
    <t>P00734_F2</t>
  </si>
  <si>
    <t>P00736_C1R</t>
  </si>
  <si>
    <t>P00738_HP</t>
  </si>
  <si>
    <t>P00740_F9</t>
  </si>
  <si>
    <t>P00747_PLG</t>
  </si>
  <si>
    <t>P00966_ASS1</t>
  </si>
  <si>
    <t>P01009_SERPINA1</t>
  </si>
  <si>
    <t>P01011_SERPINA3</t>
  </si>
  <si>
    <t>P01019_AGT</t>
  </si>
  <si>
    <t>P01023_A2M</t>
  </si>
  <si>
    <t>P01024_C3</t>
  </si>
  <si>
    <t>P01034_CST3</t>
  </si>
  <si>
    <t>P01040_CSTA</t>
  </si>
  <si>
    <t>P01042-2_KNG1</t>
  </si>
  <si>
    <t>P01111_NRAS</t>
  </si>
  <si>
    <t>P01116-2_KRAS</t>
  </si>
  <si>
    <t>P01598_</t>
  </si>
  <si>
    <t>P01763_</t>
  </si>
  <si>
    <t>P01765_</t>
  </si>
  <si>
    <t>P01834_IGKC</t>
  </si>
  <si>
    <t>P01857_IGHG1</t>
  </si>
  <si>
    <t>P01860_IGHG3</t>
  </si>
  <si>
    <t>P01871_IGHM</t>
  </si>
  <si>
    <t>P01876_IGHA1</t>
  </si>
  <si>
    <t>P01877_IGHA2</t>
  </si>
  <si>
    <t>P02462-2_COL4A1</t>
  </si>
  <si>
    <t>P02533_KRT14</t>
  </si>
  <si>
    <t>P02538_KRT6A</t>
  </si>
  <si>
    <t>P02545_LMNA</t>
  </si>
  <si>
    <t>P02647_APOA1</t>
  </si>
  <si>
    <t>P02649_APOE</t>
  </si>
  <si>
    <t>P02652_APOA2</t>
  </si>
  <si>
    <t>P02656_APOC3</t>
  </si>
  <si>
    <t>P02671-2_FGA</t>
  </si>
  <si>
    <t>P02675_FGB</t>
  </si>
  <si>
    <t>P02679-2_FGG</t>
  </si>
  <si>
    <t>P02743_APCS</t>
  </si>
  <si>
    <t>P02748_C9</t>
  </si>
  <si>
    <t>P02749_APOH</t>
  </si>
  <si>
    <t>P02750_LRG1</t>
  </si>
  <si>
    <t>P02760_AMBP</t>
  </si>
  <si>
    <t>P02763_ORM1</t>
  </si>
  <si>
    <t>P02765_AHSG</t>
  </si>
  <si>
    <t>P02766_TTR</t>
  </si>
  <si>
    <t>P02771_AFP</t>
  </si>
  <si>
    <t>P02774_GC</t>
  </si>
  <si>
    <t>P02790_HPX</t>
  </si>
  <si>
    <t>P02792_FTL</t>
  </si>
  <si>
    <t>P02794_FTH1</t>
  </si>
  <si>
    <t>P02795_MT2A</t>
  </si>
  <si>
    <t>P03950_ANG</t>
  </si>
  <si>
    <t>P04003_C4BPA</t>
  </si>
  <si>
    <t>P04004_VTN</t>
  </si>
  <si>
    <t>P04066_FUCA1</t>
  </si>
  <si>
    <t>P04080_CSTB</t>
  </si>
  <si>
    <t>P04083_ANXA1</t>
  </si>
  <si>
    <t>P04114_APOB</t>
  </si>
  <si>
    <t>P04150-7_NR3C1</t>
  </si>
  <si>
    <t>P04179_SOD2</t>
  </si>
  <si>
    <t>P04181_OAT</t>
  </si>
  <si>
    <t>P04196_HRG</t>
  </si>
  <si>
    <t>P04206_</t>
  </si>
  <si>
    <t>P04217_A1BG</t>
  </si>
  <si>
    <t>P04259_KRT6B</t>
  </si>
  <si>
    <t>P04264_KRT1</t>
  </si>
  <si>
    <t>P04406-2_GAPDH</t>
  </si>
  <si>
    <t>P04406_GAPDH</t>
  </si>
  <si>
    <t>P04424_ASL</t>
  </si>
  <si>
    <t>P04632_CAPNS1</t>
  </si>
  <si>
    <t>P04731_MT1A</t>
  </si>
  <si>
    <t>P04732_MT1E</t>
  </si>
  <si>
    <t>P04733_MT1F</t>
  </si>
  <si>
    <t>P04792_HSPB1</t>
  </si>
  <si>
    <t>P05023-3_ATP1A1</t>
  </si>
  <si>
    <t>P05062_ALDOB</t>
  </si>
  <si>
    <t>P05089_ARG1</t>
  </si>
  <si>
    <t>P05090_APOD</t>
  </si>
  <si>
    <t>P05091_ALDH2</t>
  </si>
  <si>
    <t>P05109_S100A8</t>
  </si>
  <si>
    <t>P05114_HMGN1</t>
  </si>
  <si>
    <t>P05155_SERPING1</t>
  </si>
  <si>
    <t>P05161_ISG15</t>
  </si>
  <si>
    <t>P05164-2_MPO</t>
  </si>
  <si>
    <t>P05165_PCCA</t>
  </si>
  <si>
    <t>P05166_PCCB</t>
  </si>
  <si>
    <t>P05181_CYP2E1</t>
  </si>
  <si>
    <t>P05186-2_ALPL</t>
  </si>
  <si>
    <t>P05198_EIF2S1</t>
  </si>
  <si>
    <t>P05204_HMGN2</t>
  </si>
  <si>
    <t>P05387_RPLP2</t>
  </si>
  <si>
    <t>P05455_SSB</t>
  </si>
  <si>
    <t>P05543_SERPINA7</t>
  </si>
  <si>
    <t>P05546_SERPIND1</t>
  </si>
  <si>
    <t>P05556_ITGB1</t>
  </si>
  <si>
    <t>P05783_KRT18</t>
  </si>
  <si>
    <t>P05787_KRT8</t>
  </si>
  <si>
    <t>P05976-2_MYL1</t>
  </si>
  <si>
    <t>P06132_UROD</t>
  </si>
  <si>
    <t>P06280_GLA</t>
  </si>
  <si>
    <t>P06576_ATP5B</t>
  </si>
  <si>
    <t>P06681_C2</t>
  </si>
  <si>
    <t>P06702_S100A9</t>
  </si>
  <si>
    <t>P06727_APOA4</t>
  </si>
  <si>
    <t>P06730_EIF4E</t>
  </si>
  <si>
    <t>P06733_ENO1</t>
  </si>
  <si>
    <t>P06737-2_PYGL</t>
  </si>
  <si>
    <t>P06744_GPI</t>
  </si>
  <si>
    <t>P06748_NPM1</t>
  </si>
  <si>
    <t>P06753-2_TPM3</t>
  </si>
  <si>
    <t>P06753-5_TPM3</t>
  </si>
  <si>
    <t>P07099_EPHX1</t>
  </si>
  <si>
    <t>P07108_DBI</t>
  </si>
  <si>
    <t>P07148_FABP1</t>
  </si>
  <si>
    <t>P07195_LDHB</t>
  </si>
  <si>
    <t>P07203_GPX1</t>
  </si>
  <si>
    <t>P07237_P4HB</t>
  </si>
  <si>
    <t>P07305-2_H1F0</t>
  </si>
  <si>
    <t>P07311_ACYP1</t>
  </si>
  <si>
    <t>P07327_ADH1A</t>
  </si>
  <si>
    <t>P07357_C8A</t>
  </si>
  <si>
    <t>P07384_CAPN1</t>
  </si>
  <si>
    <t>P07438_MT1B</t>
  </si>
  <si>
    <t>P07602_PSAP</t>
  </si>
  <si>
    <t>P07686_HEXB</t>
  </si>
  <si>
    <t>P07711_CTSL1</t>
  </si>
  <si>
    <t>P07737_PFN1</t>
  </si>
  <si>
    <t>P07738_BPGM</t>
  </si>
  <si>
    <t>P07741_APRT</t>
  </si>
  <si>
    <t>P07814_EPRS</t>
  </si>
  <si>
    <t>P07858_CTSB</t>
  </si>
  <si>
    <t>P07900_HSP90AA1</t>
  </si>
  <si>
    <t>P07902_GALT</t>
  </si>
  <si>
    <t>P07947_YES1</t>
  </si>
  <si>
    <t>P07954-2_FH</t>
  </si>
  <si>
    <t>P07996_THBS1</t>
  </si>
  <si>
    <t>P08107_HSPA1A</t>
  </si>
  <si>
    <t>P08133-2_ANXA6</t>
  </si>
  <si>
    <t>P08185_SERPINA6</t>
  </si>
  <si>
    <t>P08236_GUSB</t>
  </si>
  <si>
    <t>P08238_HSP90AB1</t>
  </si>
  <si>
    <t>P08240-2_SRPR</t>
  </si>
  <si>
    <t>P08319_ADH4</t>
  </si>
  <si>
    <t>P08519_LPA</t>
  </si>
  <si>
    <t>P08559-3_PDHA1</t>
  </si>
  <si>
    <t>P08579_SNRPB2</t>
  </si>
  <si>
    <t>P08603_CFH</t>
  </si>
  <si>
    <t>P08621-2_SNRNP70</t>
  </si>
  <si>
    <t>P08651-2_NFIC</t>
  </si>
  <si>
    <t>P08670_VIM</t>
  </si>
  <si>
    <t>P08697_SERPINF2</t>
  </si>
  <si>
    <t>P08727_KRT19</t>
  </si>
  <si>
    <t>P08729_KRT7</t>
  </si>
  <si>
    <t>P08779_KRT16</t>
  </si>
  <si>
    <t>P09110_ACAA1</t>
  </si>
  <si>
    <t>P09132_SRP19</t>
  </si>
  <si>
    <t>P09210_GSTA2</t>
  </si>
  <si>
    <t>P09234_SNRPC</t>
  </si>
  <si>
    <t>P09327_VIL1</t>
  </si>
  <si>
    <t>P09382_LGALS1</t>
  </si>
  <si>
    <t>P09417_QDPR</t>
  </si>
  <si>
    <t>P09429_HMGB1</t>
  </si>
  <si>
    <t>P09467_FBP1</t>
  </si>
  <si>
    <t>P09493-3_TPM1</t>
  </si>
  <si>
    <t>P09496-2_CLTA</t>
  </si>
  <si>
    <t>P09497-2_CLTB</t>
  </si>
  <si>
    <t>P09525_ANXA4</t>
  </si>
  <si>
    <t>P09543-2_CNP</t>
  </si>
  <si>
    <t>P09601_HMOX1</t>
  </si>
  <si>
    <t>P09622_DLD</t>
  </si>
  <si>
    <t>P09651-3_HNRNPA1</t>
  </si>
  <si>
    <t>P09661_SNRPA1</t>
  </si>
  <si>
    <t>P09668_CTSH</t>
  </si>
  <si>
    <t>P09871_C1S</t>
  </si>
  <si>
    <t>P09874_PARP1</t>
  </si>
  <si>
    <t>P09913_IFIT2</t>
  </si>
  <si>
    <t>P09960_LTA4H</t>
  </si>
  <si>
    <t>P09972_ALDOC</t>
  </si>
  <si>
    <t>P0C024_NUDT7</t>
  </si>
  <si>
    <t>P0C0L5_C4B</t>
  </si>
  <si>
    <t>P0CG05_IGLC2</t>
  </si>
  <si>
    <t>P0CW22_RPS17L</t>
  </si>
  <si>
    <t>P0DJI8_SAA1</t>
  </si>
  <si>
    <t>P10109_FDX1</t>
  </si>
  <si>
    <t>P10153_RNASE2</t>
  </si>
  <si>
    <t>P10155-3_TROVE2</t>
  </si>
  <si>
    <t>P10253_GAA</t>
  </si>
  <si>
    <t>P10398_ARAF</t>
  </si>
  <si>
    <t>P10412_HIST1H1E</t>
  </si>
  <si>
    <t>P10515_DLAT</t>
  </si>
  <si>
    <t>P10586-2_PTPRF</t>
  </si>
  <si>
    <t>P10606_COX5B</t>
  </si>
  <si>
    <t>P10619_CTSA</t>
  </si>
  <si>
    <t>P10632-2_CYP2C8</t>
  </si>
  <si>
    <t>P10644_PRKAR1A</t>
  </si>
  <si>
    <t>P10746_UROS</t>
  </si>
  <si>
    <t>P10768_ESD</t>
  </si>
  <si>
    <t>P10809_HSPD1</t>
  </si>
  <si>
    <t>P10909-4_CLU</t>
  </si>
  <si>
    <t>P11021_HSPA5</t>
  </si>
  <si>
    <t>P11047_LAMC1</t>
  </si>
  <si>
    <t>P11142_HSPA8</t>
  </si>
  <si>
    <t>P11171-4_EPB41</t>
  </si>
  <si>
    <t>P11172_UMPS</t>
  </si>
  <si>
    <t>P11177-3_PDHB</t>
  </si>
  <si>
    <t>P11182_DBT</t>
  </si>
  <si>
    <t>P11216_PYGB</t>
  </si>
  <si>
    <t>P11226_MBL2</t>
  </si>
  <si>
    <t>P11245_NAT2</t>
  </si>
  <si>
    <t>P11274-2_BCR</t>
  </si>
  <si>
    <t>P11277-3_SPTB</t>
  </si>
  <si>
    <t>P11310_ACADM</t>
  </si>
  <si>
    <t>P11413_G6PD</t>
  </si>
  <si>
    <t>P11441_UBL4A</t>
  </si>
  <si>
    <t>P11498_PC</t>
  </si>
  <si>
    <t>P11509_CYP2A6</t>
  </si>
  <si>
    <t>P11532-3_DMD</t>
  </si>
  <si>
    <t>P11532-5_DMD</t>
  </si>
  <si>
    <t>P11586_MTHFD1</t>
  </si>
  <si>
    <t>P11712_CYP2C9</t>
  </si>
  <si>
    <t>P11766_ADH5</t>
  </si>
  <si>
    <t>P11908_PRPS2</t>
  </si>
  <si>
    <t>P11940-2_PABPC1</t>
  </si>
  <si>
    <t>P12004_PCNA</t>
  </si>
  <si>
    <t>P12270_TPR</t>
  </si>
  <si>
    <t>P12694_BCKDHA</t>
  </si>
  <si>
    <t>P12724_RNASE3</t>
  </si>
  <si>
    <t>P12814_ACTN1</t>
  </si>
  <si>
    <t>P12955_PEPD</t>
  </si>
  <si>
    <t>P12956_XRCC6</t>
  </si>
  <si>
    <t>P13010_XRCC5</t>
  </si>
  <si>
    <t>P13073_COX4I1</t>
  </si>
  <si>
    <t>P13196_ALAS1</t>
  </si>
  <si>
    <t>P13284_IFI30</t>
  </si>
  <si>
    <t>P13489_RNH1</t>
  </si>
  <si>
    <t>P13639_EEF2</t>
  </si>
  <si>
    <t>P13640-2_MT1G</t>
  </si>
  <si>
    <t>P13647_KRT5</t>
  </si>
  <si>
    <t>P13667_PDIA4</t>
  </si>
  <si>
    <t>P13671_C6</t>
  </si>
  <si>
    <t>P13674_P4HA1</t>
  </si>
  <si>
    <t>P13693_TPT1</t>
  </si>
  <si>
    <t>P13796_LCP1</t>
  </si>
  <si>
    <t>P13797_PLS3</t>
  </si>
  <si>
    <t>P13798_APEH</t>
  </si>
  <si>
    <t>P13804_ETFA</t>
  </si>
  <si>
    <t>P13861_PRKAR2A</t>
  </si>
  <si>
    <t>P13929_ENO3</t>
  </si>
  <si>
    <t>P14174_MIF</t>
  </si>
  <si>
    <t>P14314-2_PRKCSH</t>
  </si>
  <si>
    <t>P14317_HCLS1</t>
  </si>
  <si>
    <t>P14324-2_FDPS</t>
  </si>
  <si>
    <t>P14543_NID1</t>
  </si>
  <si>
    <t>P14550_AKR1A1</t>
  </si>
  <si>
    <t>P14618_PKM</t>
  </si>
  <si>
    <t>P14621_ACYP2</t>
  </si>
  <si>
    <t>P14625_HSP90B1</t>
  </si>
  <si>
    <t>P14735_IDE</t>
  </si>
  <si>
    <t>P14854_COX6B1</t>
  </si>
  <si>
    <t>P14866_HNRNPL</t>
  </si>
  <si>
    <t>P14868_DARS</t>
  </si>
  <si>
    <t>P14920_DAO</t>
  </si>
  <si>
    <t>P14923_JUP</t>
  </si>
  <si>
    <t>P15104_GLUL</t>
  </si>
  <si>
    <t>P15121_AKR1B1</t>
  </si>
  <si>
    <t>P15144_ANPEP</t>
  </si>
  <si>
    <t>P15170-2_GSPT1</t>
  </si>
  <si>
    <t>P15289-2_ARSA</t>
  </si>
  <si>
    <t>P15289_ARSA</t>
  </si>
  <si>
    <t>P15311_EZR</t>
  </si>
  <si>
    <t>P15374_UCHL3</t>
  </si>
  <si>
    <t>P15428_HPGD</t>
  </si>
  <si>
    <t>P15529-16_CD46</t>
  </si>
  <si>
    <t>P15531_NME1</t>
  </si>
  <si>
    <t>P15735-2_PHKG2</t>
  </si>
  <si>
    <t>P15848_ARSB</t>
  </si>
  <si>
    <t>P15924_DSP</t>
  </si>
  <si>
    <t>P15927_RPA2</t>
  </si>
  <si>
    <t>P16118_PFKFB1</t>
  </si>
  <si>
    <t>P16152_CBR1</t>
  </si>
  <si>
    <t>P16219_ACADS</t>
  </si>
  <si>
    <t>P16278-3_GLB1</t>
  </si>
  <si>
    <t>P16298-3_PPP3CB</t>
  </si>
  <si>
    <t>P16333_NCK1</t>
  </si>
  <si>
    <t>P16383-2_GCFC2</t>
  </si>
  <si>
    <t>P16435_POR</t>
  </si>
  <si>
    <t>P16455_MGMT</t>
  </si>
  <si>
    <t>P16885_PLCG2</t>
  </si>
  <si>
    <t>P16930_FAH</t>
  </si>
  <si>
    <t>P16949_STMN1</t>
  </si>
  <si>
    <t>P16989-2_YBX3</t>
  </si>
  <si>
    <t>P17029_ZKSCAN1</t>
  </si>
  <si>
    <t>P17050_NAGA</t>
  </si>
  <si>
    <t>P17066_HSPA6</t>
  </si>
  <si>
    <t>P17174_GOT1</t>
  </si>
  <si>
    <t>P17516_AKR1C4</t>
  </si>
  <si>
    <t>P17612_PRKACA</t>
  </si>
  <si>
    <t>P17655_CAPN2</t>
  </si>
  <si>
    <t>P17735_TAT</t>
  </si>
  <si>
    <t>P17812_CTPS1</t>
  </si>
  <si>
    <t>P17858_PFKL</t>
  </si>
  <si>
    <t>P17900_GM2A</t>
  </si>
  <si>
    <t>P17931_LGALS3</t>
  </si>
  <si>
    <t>P17987_TCP1</t>
  </si>
  <si>
    <t>P18065_IGFBP2</t>
  </si>
  <si>
    <t>P18206-2_VCL</t>
  </si>
  <si>
    <t>P18283_GPX2</t>
  </si>
  <si>
    <t>P18510-4_IL1RN</t>
  </si>
  <si>
    <t>P18583-2_SON</t>
  </si>
  <si>
    <t>P18621-2_RPL17</t>
  </si>
  <si>
    <t>P18669_PGAM1</t>
  </si>
  <si>
    <t>P18859_ATP5J</t>
  </si>
  <si>
    <t>P19105_MYL12A</t>
  </si>
  <si>
    <t>P19174_PLCG1</t>
  </si>
  <si>
    <t>P19338_NCL</t>
  </si>
  <si>
    <t>P19388_POLR2E</t>
  </si>
  <si>
    <t>P19404_NDUFV2</t>
  </si>
  <si>
    <t>P19525-2_EIF2AK2</t>
  </si>
  <si>
    <t>P19623_SRM</t>
  </si>
  <si>
    <t>P19652_ORM2</t>
  </si>
  <si>
    <t>P19784_CSNK2A2</t>
  </si>
  <si>
    <t>P19827_ITIH1</t>
  </si>
  <si>
    <t>P19838_NFKB1</t>
  </si>
  <si>
    <t>P19971_TYMP</t>
  </si>
  <si>
    <t>P20042_EIF2S2</t>
  </si>
  <si>
    <t>P20132_SDS</t>
  </si>
  <si>
    <t>P20290_BTF3</t>
  </si>
  <si>
    <t>P20338_RAB4A</t>
  </si>
  <si>
    <t>P20340-2_RAB6A</t>
  </si>
  <si>
    <t>P20591_MX1</t>
  </si>
  <si>
    <t>P20618_PSMB1</t>
  </si>
  <si>
    <t>P20674_COX5A</t>
  </si>
  <si>
    <t>P20700_LMNB1</t>
  </si>
  <si>
    <t>P20711-3_DDC</t>
  </si>
  <si>
    <t>P20742_PZP</t>
  </si>
  <si>
    <t>P20810-5_CAST</t>
  </si>
  <si>
    <t>P20930_FLG</t>
  </si>
  <si>
    <t>P20933_AGA</t>
  </si>
  <si>
    <t>P20962_PTMS</t>
  </si>
  <si>
    <t>P21266_GSTM3</t>
  </si>
  <si>
    <t>P21281_ATP6V1B2</t>
  </si>
  <si>
    <t>P21283_ATP6V1C1</t>
  </si>
  <si>
    <t>P21291_CSRP1</t>
  </si>
  <si>
    <t>P21397-2_MAOA</t>
  </si>
  <si>
    <t>P21399_ACO1</t>
  </si>
  <si>
    <t>P21549_AGXT</t>
  </si>
  <si>
    <t>P21695-2_GPD1</t>
  </si>
  <si>
    <t>P21912_SDHB</t>
  </si>
  <si>
    <t>P21964-2_COMT</t>
  </si>
  <si>
    <t>P22033_MUT</t>
  </si>
  <si>
    <t>P22059_OSBP</t>
  </si>
  <si>
    <t>P22061_PCMT1</t>
  </si>
  <si>
    <t>P22102_GART</t>
  </si>
  <si>
    <t>P22234_PAICS</t>
  </si>
  <si>
    <t>P22307-2_SCP2</t>
  </si>
  <si>
    <t>P22307_SCP2</t>
  </si>
  <si>
    <t>P22314_UBA1</t>
  </si>
  <si>
    <t>P22392-2_NME2</t>
  </si>
  <si>
    <t>P22570_FDXR</t>
  </si>
  <si>
    <t>P22626_HNRNPA2B1</t>
  </si>
  <si>
    <t>P22670_RFX1</t>
  </si>
  <si>
    <t>P22694-4_PRKACB</t>
  </si>
  <si>
    <t>P22830_FECH</t>
  </si>
  <si>
    <t>P23141-3_CES1</t>
  </si>
  <si>
    <t>P23142-3_FBLN1</t>
  </si>
  <si>
    <t>P23193_TCEA1</t>
  </si>
  <si>
    <t>P23246_SFPQ</t>
  </si>
  <si>
    <t>P23284_PPIB</t>
  </si>
  <si>
    <t>P23368_ME2</t>
  </si>
  <si>
    <t>P23378_GLDC</t>
  </si>
  <si>
    <t>P23381_WARS</t>
  </si>
  <si>
    <t>P23396_RPS3</t>
  </si>
  <si>
    <t>P23409_MYF6</t>
  </si>
  <si>
    <t>P23434_GCSH</t>
  </si>
  <si>
    <t>P23497_SP100</t>
  </si>
  <si>
    <t>P23508_MCC</t>
  </si>
  <si>
    <t>P23526_AHCY</t>
  </si>
  <si>
    <t>P23528_CFL1</t>
  </si>
  <si>
    <t>P23588_EIF4B</t>
  </si>
  <si>
    <t>P23786_CPT2</t>
  </si>
  <si>
    <t>P23919_DTYMK</t>
  </si>
  <si>
    <t>P23921_RRM1</t>
  </si>
  <si>
    <t>P24298_GPT</t>
  </si>
  <si>
    <t>P24534_EEF1B2</t>
  </si>
  <si>
    <t>P24666-2_ACP1</t>
  </si>
  <si>
    <t>P24666_ACP1</t>
  </si>
  <si>
    <t>P24752_ACAT1</t>
  </si>
  <si>
    <t>P24928_POLR2A</t>
  </si>
  <si>
    <t>P24941_CDK2</t>
  </si>
  <si>
    <t>P25054-2_APC</t>
  </si>
  <si>
    <t>P25311_AZGP1</t>
  </si>
  <si>
    <t>P25398_RPS12</t>
  </si>
  <si>
    <t>P25685_DNAJB1</t>
  </si>
  <si>
    <t>P25705_ATP5A1</t>
  </si>
  <si>
    <t>P25774_CTSS</t>
  </si>
  <si>
    <t>P25786_PSMA1</t>
  </si>
  <si>
    <t>P25787_PSMA2</t>
  </si>
  <si>
    <t>P25788-2_PSMA3</t>
  </si>
  <si>
    <t>P25789_PSMA4</t>
  </si>
  <si>
    <t>P26038_MSN</t>
  </si>
  <si>
    <t>P26196_DDX6</t>
  </si>
  <si>
    <t>P26358_DNMT1</t>
  </si>
  <si>
    <t>P26368-2_U2AF2</t>
  </si>
  <si>
    <t>P26373_RPL13</t>
  </si>
  <si>
    <t>P26440_IVD</t>
  </si>
  <si>
    <t>P26447_S100A4</t>
  </si>
  <si>
    <t>P26583_HMGB2</t>
  </si>
  <si>
    <t>P26599_PTBP1</t>
  </si>
  <si>
    <t>P26639_TARS</t>
  </si>
  <si>
    <t>P26640_VARS</t>
  </si>
  <si>
    <t>P26641_EEF1G</t>
  </si>
  <si>
    <t>P26885_FKBP2</t>
  </si>
  <si>
    <t>P27144_AK4</t>
  </si>
  <si>
    <t>P27348_YWHAQ</t>
  </si>
  <si>
    <t>P27487_DPP4</t>
  </si>
  <si>
    <t>P27694_RPA1</t>
  </si>
  <si>
    <t>P27695_APEX1</t>
  </si>
  <si>
    <t>P27797_CALR</t>
  </si>
  <si>
    <t>P27816-6_MAP4</t>
  </si>
  <si>
    <t>P27986_PIK3R1</t>
  </si>
  <si>
    <t>P28062-2_PSMB8</t>
  </si>
  <si>
    <t>P28066_PSMA5</t>
  </si>
  <si>
    <t>P28070_PSMB4</t>
  </si>
  <si>
    <t>P28072_PSMB6</t>
  </si>
  <si>
    <t>P28074_PSMB5</t>
  </si>
  <si>
    <t>P28289_TMOD1</t>
  </si>
  <si>
    <t>P28330_ACADL</t>
  </si>
  <si>
    <t>P28331_NDUFS1</t>
  </si>
  <si>
    <t>P28332_ADH6</t>
  </si>
  <si>
    <t>P28340_POLD1</t>
  </si>
  <si>
    <t>P28482_MAPK1</t>
  </si>
  <si>
    <t>P28799_GRN</t>
  </si>
  <si>
    <t>P28838_LAP3</t>
  </si>
  <si>
    <t>P29083_GTF2E1</t>
  </si>
  <si>
    <t>P29144_TPP2</t>
  </si>
  <si>
    <t>P29350_PTPN6</t>
  </si>
  <si>
    <t>P29353-7_SHC1</t>
  </si>
  <si>
    <t>P29401_TKT</t>
  </si>
  <si>
    <t>P29590_PML</t>
  </si>
  <si>
    <t>P29966_MARCKS</t>
  </si>
  <si>
    <t>P30038_ALDH4A1</t>
  </si>
  <si>
    <t>P30039_PBLD</t>
  </si>
  <si>
    <t>P30040_ERP29</t>
  </si>
  <si>
    <t>P30041_PRDX6</t>
  </si>
  <si>
    <t>P30042_C21orf33</t>
  </si>
  <si>
    <t>P30043_BLVRB</t>
  </si>
  <si>
    <t>P30044-2_PRDX5</t>
  </si>
  <si>
    <t>P30046_DDT</t>
  </si>
  <si>
    <t>P30047_GCHFR</t>
  </si>
  <si>
    <t>P30049_ATP5D</t>
  </si>
  <si>
    <t>P30050_RPL12</t>
  </si>
  <si>
    <t>P30084_ECHS1</t>
  </si>
  <si>
    <t>P30085_CMPK1</t>
  </si>
  <si>
    <t>P30086_PEBP1</t>
  </si>
  <si>
    <t>P30153_PPP2R1A</t>
  </si>
  <si>
    <t>P30154-4_PPP2R1B</t>
  </si>
  <si>
    <t>P30405_PPIF</t>
  </si>
  <si>
    <t>P30414_NKTR</t>
  </si>
  <si>
    <t>P30419_NMT1</t>
  </si>
  <si>
    <t>P30520_ADSS</t>
  </si>
  <si>
    <t>P30533_LRPAP1</t>
  </si>
  <si>
    <t>P30566_ADSL</t>
  </si>
  <si>
    <t>P30613-2_PKLR</t>
  </si>
  <si>
    <t>P30622-2_CLIP1</t>
  </si>
  <si>
    <t>P30711_GSTT1</t>
  </si>
  <si>
    <t>P30740_SERPINB1</t>
  </si>
  <si>
    <t>P30793_GCH1</t>
  </si>
  <si>
    <t>P30837_ALDH1B1</t>
  </si>
  <si>
    <t>P31040_SDHA</t>
  </si>
  <si>
    <t>P31146_CORO1A</t>
  </si>
  <si>
    <t>P31150_GDI1</t>
  </si>
  <si>
    <t>P31153_MAT2A</t>
  </si>
  <si>
    <t>P31321_PRKAR1B</t>
  </si>
  <si>
    <t>P31327_CPS1</t>
  </si>
  <si>
    <t>P31689_DNAJA1</t>
  </si>
  <si>
    <t>P31749_AKT1</t>
  </si>
  <si>
    <t>P31751_AKT2</t>
  </si>
  <si>
    <t>P31930_UQCRC1</t>
  </si>
  <si>
    <t>P31937_HIBADH</t>
  </si>
  <si>
    <t>P31939_ATIC</t>
  </si>
  <si>
    <t>P31942-2_HNRNPH3</t>
  </si>
  <si>
    <t>P31944_CASP14</t>
  </si>
  <si>
    <t>P31946-2_YWHAB</t>
  </si>
  <si>
    <t>P31947-2_SFN</t>
  </si>
  <si>
    <t>P31948_STIP1</t>
  </si>
  <si>
    <t>P31949_S100A11</t>
  </si>
  <si>
    <t>P32119_PRDX2</t>
  </si>
  <si>
    <t>P32189-1_GK</t>
  </si>
  <si>
    <t>P32320_CDA</t>
  </si>
  <si>
    <t>P32321_DCTD</t>
  </si>
  <si>
    <t>P32455_GBP1</t>
  </si>
  <si>
    <t>P32456_GBP2</t>
  </si>
  <si>
    <t>P32519-2_ELF1</t>
  </si>
  <si>
    <t>P32754-2_HPD</t>
  </si>
  <si>
    <t>P32754_HPD</t>
  </si>
  <si>
    <t>P32929_CTH</t>
  </si>
  <si>
    <t>P33121_ACSL1</t>
  </si>
  <si>
    <t>P33176_KIF5B</t>
  </si>
  <si>
    <t>P33240-2_CSTF2</t>
  </si>
  <si>
    <t>P33241_LSP1</t>
  </si>
  <si>
    <t>P33316_DUT</t>
  </si>
  <si>
    <t>P33991_MCM4</t>
  </si>
  <si>
    <t>P33992_MCM5</t>
  </si>
  <si>
    <t>P33993_MCM7</t>
  </si>
  <si>
    <t>P34059_GALNS</t>
  </si>
  <si>
    <t>P34096_RNASE4</t>
  </si>
  <si>
    <t>P34896-2_SHMT1</t>
  </si>
  <si>
    <t>P34897-3_SHMT2</t>
  </si>
  <si>
    <t>P34913_EPHX2</t>
  </si>
  <si>
    <t>P34932_HSPA4</t>
  </si>
  <si>
    <t>P35030-2_PRSS3</t>
  </si>
  <si>
    <t>P35218_CA5A</t>
  </si>
  <si>
    <t>P35221_CTNNA1</t>
  </si>
  <si>
    <t>P35237_SERPINB6</t>
  </si>
  <si>
    <t>P35241_RDX</t>
  </si>
  <si>
    <t>P35251-2_RFC1</t>
  </si>
  <si>
    <t>P35268_RPL22</t>
  </si>
  <si>
    <t>P35270_SPR</t>
  </si>
  <si>
    <t>P35520_CBS</t>
  </si>
  <si>
    <t>P35558_PCK1</t>
  </si>
  <si>
    <t>P35568_IRS1</t>
  </si>
  <si>
    <t>P35573_AGL</t>
  </si>
  <si>
    <t>P35579_MYH9</t>
  </si>
  <si>
    <t>P35580_MYH10</t>
  </si>
  <si>
    <t>P35606_COPB2</t>
  </si>
  <si>
    <t>P35611-2_ADD1</t>
  </si>
  <si>
    <t>P35637-2_FUS</t>
  </si>
  <si>
    <t>P35658-2_NUP214</t>
  </si>
  <si>
    <t>P35659_DEK</t>
  </si>
  <si>
    <t>P35754_GLRX</t>
  </si>
  <si>
    <t>P35813_PPM1A</t>
  </si>
  <si>
    <t>P35858_IGFALS</t>
  </si>
  <si>
    <t>P35914_HMGCL</t>
  </si>
  <si>
    <t>P35998_PSMC2</t>
  </si>
  <si>
    <t>P36405_ARL3</t>
  </si>
  <si>
    <t>P36507_MAP2K2</t>
  </si>
  <si>
    <t>P36543_ATP6V1E1</t>
  </si>
  <si>
    <t>P36551_CPOX</t>
  </si>
  <si>
    <t>P36871_PGM1</t>
  </si>
  <si>
    <t>P36873_PPP1CC</t>
  </si>
  <si>
    <t>P36915_GNL1</t>
  </si>
  <si>
    <t>P36955_SERPINF1</t>
  </si>
  <si>
    <t>P36957_DLST</t>
  </si>
  <si>
    <t>P36959_GMPR</t>
  </si>
  <si>
    <t>P36969-2_GPX4</t>
  </si>
  <si>
    <t>P36980-2_CFHR2</t>
  </si>
  <si>
    <t>P37108_SRP14</t>
  </si>
  <si>
    <t>P37198_NUP62</t>
  </si>
  <si>
    <t>P37235_HPCAL1</t>
  </si>
  <si>
    <t>P37802_TAGLN2</t>
  </si>
  <si>
    <t>P37837_TALDO1</t>
  </si>
  <si>
    <t>P38117_ETFB</t>
  </si>
  <si>
    <t>P38159_RBMX</t>
  </si>
  <si>
    <t>P38432_COIL</t>
  </si>
  <si>
    <t>P38570_ITGAE</t>
  </si>
  <si>
    <t>P38646_HSPA9</t>
  </si>
  <si>
    <t>P38919_EIF4A3</t>
  </si>
  <si>
    <t>P39019_RPS19</t>
  </si>
  <si>
    <t>P39060-2_COL18A1</t>
  </si>
  <si>
    <t>P39748_FEN1</t>
  </si>
  <si>
    <t>P40222_TXLNA</t>
  </si>
  <si>
    <t>P40227_CCT6A</t>
  </si>
  <si>
    <t>P40261_NNMT</t>
  </si>
  <si>
    <t>P40306_PSMB10</t>
  </si>
  <si>
    <t>P40394_ADH7</t>
  </si>
  <si>
    <t>P40763-2_STAT3</t>
  </si>
  <si>
    <t>P40763_STAT3</t>
  </si>
  <si>
    <t>P40818_USP8</t>
  </si>
  <si>
    <t>P40925_MDH1</t>
  </si>
  <si>
    <t>P40926_MDH2</t>
  </si>
  <si>
    <t>P40939_HADHA</t>
  </si>
  <si>
    <t>P41091_EIF2S3</t>
  </si>
  <si>
    <t>P41208_CETN2</t>
  </si>
  <si>
    <t>P41226_UBA7</t>
  </si>
  <si>
    <t>P41227-2_NAA10</t>
  </si>
  <si>
    <t>P41236_PPP1R2</t>
  </si>
  <si>
    <t>P41240_CSK</t>
  </si>
  <si>
    <t>P41250_GARS</t>
  </si>
  <si>
    <t>P41252_IARS</t>
  </si>
  <si>
    <t>P41567_EIF1</t>
  </si>
  <si>
    <t>P41743_PRKCI</t>
  </si>
  <si>
    <t>P42025_ACTR1B</t>
  </si>
  <si>
    <t>P42126-2_ECI1</t>
  </si>
  <si>
    <t>P42166_TMPO</t>
  </si>
  <si>
    <t>P42224-2_STAT1</t>
  </si>
  <si>
    <t>P42226-3_STAT6</t>
  </si>
  <si>
    <t>P42285_SKIV2L2</t>
  </si>
  <si>
    <t>P42330_AKR1C3</t>
  </si>
  <si>
    <t>P42336_PIK3CA</t>
  </si>
  <si>
    <t>P42338_PIK3CB</t>
  </si>
  <si>
    <t>P42345_MTOR</t>
  </si>
  <si>
    <t>P42357_HAL</t>
  </si>
  <si>
    <t>P42566_EPS15</t>
  </si>
  <si>
    <t>P42574_CASP3</t>
  </si>
  <si>
    <t>P42704_LRPPRC</t>
  </si>
  <si>
    <t>P42765_ACAA2</t>
  </si>
  <si>
    <t>P42773_CDKN2C</t>
  </si>
  <si>
    <t>P42785_PRCP</t>
  </si>
  <si>
    <t>P42858_HTT</t>
  </si>
  <si>
    <t>P43034_PAFAH1B1</t>
  </si>
  <si>
    <t>P43155-2_CRAT</t>
  </si>
  <si>
    <t>P43243_MATR3</t>
  </si>
  <si>
    <t>P43246_MSH2</t>
  </si>
  <si>
    <t>P43487_RANBP1</t>
  </si>
  <si>
    <t>P43490_NAMPT</t>
  </si>
  <si>
    <t>P43652_AFM</t>
  </si>
  <si>
    <t>P43686_PSMC4</t>
  </si>
  <si>
    <t>P43897_TSFM</t>
  </si>
  <si>
    <t>P45381_ASPA</t>
  </si>
  <si>
    <t>P45954_ACADSB</t>
  </si>
  <si>
    <t>P45974-2_USP5</t>
  </si>
  <si>
    <t>P45984-2_MAPK9</t>
  </si>
  <si>
    <t>P45985_MAP2K4</t>
  </si>
  <si>
    <t>P46013-2_MKI67</t>
  </si>
  <si>
    <t>P46019_PHKA2</t>
  </si>
  <si>
    <t>P46060_RANGAP1</t>
  </si>
  <si>
    <t>P46063_RECQL</t>
  </si>
  <si>
    <t>P46087-2_NOP2</t>
  </si>
  <si>
    <t>P46100-2_ATRX</t>
  </si>
  <si>
    <t>P46108_CRK</t>
  </si>
  <si>
    <t>P46109_CRKL</t>
  </si>
  <si>
    <t>P46199_MTIF2</t>
  </si>
  <si>
    <t>P46527_CDKN1B</t>
  </si>
  <si>
    <t>P46736-2_BRCC3</t>
  </si>
  <si>
    <t>P46777_RPL5</t>
  </si>
  <si>
    <t>P46781_RPS9</t>
  </si>
  <si>
    <t>P46783_RPS10</t>
  </si>
  <si>
    <t>P46926_GNPDA1</t>
  </si>
  <si>
    <t>P46934-4_NEDD4</t>
  </si>
  <si>
    <t>P46937_YAP1</t>
  </si>
  <si>
    <t>P46939_UTRN</t>
  </si>
  <si>
    <t>P46940_IQGAP1</t>
  </si>
  <si>
    <t>P46952_HAAO</t>
  </si>
  <si>
    <t>P46976-2_GYG1</t>
  </si>
  <si>
    <t>P47224_RABIF</t>
  </si>
  <si>
    <t>P47755_CAPZA2</t>
  </si>
  <si>
    <t>P47813_EIF1AX</t>
  </si>
  <si>
    <t>P47897_QARS</t>
  </si>
  <si>
    <t>P47985_UQCRFS1</t>
  </si>
  <si>
    <t>P47989_XDH</t>
  </si>
  <si>
    <t>P48059_LIMS1</t>
  </si>
  <si>
    <t>P48147_PREP</t>
  </si>
  <si>
    <t>P48163_ME1</t>
  </si>
  <si>
    <t>P48200_IREB2</t>
  </si>
  <si>
    <t>P48444_ARCN1</t>
  </si>
  <si>
    <t>P48449-3_LSS</t>
  </si>
  <si>
    <t>P48506_GCLC</t>
  </si>
  <si>
    <t>P48507_GCLM</t>
  </si>
  <si>
    <t>P48553_TRAPPC10</t>
  </si>
  <si>
    <t>P48634_PRRC2A</t>
  </si>
  <si>
    <t>P48637_GSS</t>
  </si>
  <si>
    <t>P48643_CCT5</t>
  </si>
  <si>
    <t>P48668_KRT6C</t>
  </si>
  <si>
    <t>P48728_AMT</t>
  </si>
  <si>
    <t>P48735_IDH2</t>
  </si>
  <si>
    <t>P48739_PITPNB</t>
  </si>
  <si>
    <t>P49006_MARCKSL1</t>
  </si>
  <si>
    <t>P49137_MAPKAPK2</t>
  </si>
  <si>
    <t>P49189_ALDH9A1</t>
  </si>
  <si>
    <t>P49247_RPIA</t>
  </si>
  <si>
    <t>P49321_NASP</t>
  </si>
  <si>
    <t>P49326_FMO5</t>
  </si>
  <si>
    <t>P49327_FASN</t>
  </si>
  <si>
    <t>P49354_FNTA</t>
  </si>
  <si>
    <t>P49366_DHPS</t>
  </si>
  <si>
    <t>P49368_CCT3</t>
  </si>
  <si>
    <t>P49407-2_ARRB1</t>
  </si>
  <si>
    <t>P49411_TUFM</t>
  </si>
  <si>
    <t>P49419-2_ALDH7A1</t>
  </si>
  <si>
    <t>P49427_CDC34</t>
  </si>
  <si>
    <t>P49441_INPP1</t>
  </si>
  <si>
    <t>P49448_GLUD2</t>
  </si>
  <si>
    <t>P49458_SRP9</t>
  </si>
  <si>
    <t>P49459_UBE2A</t>
  </si>
  <si>
    <t>P49588_AARS</t>
  </si>
  <si>
    <t>P49589-3_CARS</t>
  </si>
  <si>
    <t>P49591_SARS</t>
  </si>
  <si>
    <t>P49638_TTPA</t>
  </si>
  <si>
    <t>P49662_CASP4</t>
  </si>
  <si>
    <t>P49711_CTCF</t>
  </si>
  <si>
    <t>P49720_PSMB3</t>
  </si>
  <si>
    <t>P49721_PSMB2</t>
  </si>
  <si>
    <t>P49736_MCM2</t>
  </si>
  <si>
    <t>P49748_ACADVL</t>
  </si>
  <si>
    <t>P49750-4_YLPM1</t>
  </si>
  <si>
    <t>P49756_RBM25</t>
  </si>
  <si>
    <t>P49757-4_NUMB</t>
  </si>
  <si>
    <t>P49770_EIF2B2</t>
  </si>
  <si>
    <t>P49773_HINT1</t>
  </si>
  <si>
    <t>P49789_FHIT</t>
  </si>
  <si>
    <t>P49790_NUP153</t>
  </si>
  <si>
    <t>P49792_RANBP2</t>
  </si>
  <si>
    <t>P49821-2_NDUFV1</t>
  </si>
  <si>
    <t>P49840_GSK3A</t>
  </si>
  <si>
    <t>P49888_SULT1E1</t>
  </si>
  <si>
    <t>P49902_NT5C2</t>
  </si>
  <si>
    <t>P49903_SEPHS1</t>
  </si>
  <si>
    <t>P49914_MTHFS</t>
  </si>
  <si>
    <t>P49959_MRE11A</t>
  </si>
  <si>
    <t>P50053-2_KHK</t>
  </si>
  <si>
    <t>P50053_KHK</t>
  </si>
  <si>
    <t>P50135_HNMT</t>
  </si>
  <si>
    <t>P50225_SULT1A1</t>
  </si>
  <si>
    <t>P50226_SULT1A2</t>
  </si>
  <si>
    <t>P50395_GDI2</t>
  </si>
  <si>
    <t>P50402_EMD</t>
  </si>
  <si>
    <t>P50440_GATM</t>
  </si>
  <si>
    <t>P50452_SERPINB8</t>
  </si>
  <si>
    <t>P50453_SERPINB9</t>
  </si>
  <si>
    <t>P50454_SERPINH1</t>
  </si>
  <si>
    <t>P50502_ST13</t>
  </si>
  <si>
    <t>P50542-2_PEX5</t>
  </si>
  <si>
    <t>P50552_VASP</t>
  </si>
  <si>
    <t>P50570-2_DNM2</t>
  </si>
  <si>
    <t>P50583_NUDT2</t>
  </si>
  <si>
    <t>P50747_HLCS</t>
  </si>
  <si>
    <t>P50750_CDK9</t>
  </si>
  <si>
    <t>P50897_PPT1</t>
  </si>
  <si>
    <t>P50990_CCT8</t>
  </si>
  <si>
    <t>P50991_CCT4</t>
  </si>
  <si>
    <t>P51114-3_FXR1</t>
  </si>
  <si>
    <t>P51116_FXR2</t>
  </si>
  <si>
    <t>P51148_RAB5C</t>
  </si>
  <si>
    <t>P51149_RAB7A</t>
  </si>
  <si>
    <t>P51153_RAB13</t>
  </si>
  <si>
    <t>P51178_PLCD1</t>
  </si>
  <si>
    <t>P51398-2_DAP3</t>
  </si>
  <si>
    <t>P51452_DUSP3</t>
  </si>
  <si>
    <t>P51553_IDH3G</t>
  </si>
  <si>
    <t>P51570_GALK1</t>
  </si>
  <si>
    <t>P51572_BCAP31</t>
  </si>
  <si>
    <t>P51580_TPMT</t>
  </si>
  <si>
    <t>P51608_MECP2</t>
  </si>
  <si>
    <t>P51610-4_HCFC1</t>
  </si>
  <si>
    <t>P51649_ALDH5A1</t>
  </si>
  <si>
    <t>P51659_HSD17B4</t>
  </si>
  <si>
    <t>P51665_PSMD7</t>
  </si>
  <si>
    <t>P51687_SUOX</t>
  </si>
  <si>
    <t>P51688_SGSH</t>
  </si>
  <si>
    <t>P51692_STAT5B</t>
  </si>
  <si>
    <t>P51857_AKR1D1</t>
  </si>
  <si>
    <t>P51858_HDGF</t>
  </si>
  <si>
    <t>P51991_HNRNPA3</t>
  </si>
  <si>
    <t>P52272-2_HNRNPM</t>
  </si>
  <si>
    <t>P52292_KPNA2</t>
  </si>
  <si>
    <t>P52294_KPNA1</t>
  </si>
  <si>
    <t>P52306_RAP1GDS1</t>
  </si>
  <si>
    <t>P52594-2_AGFG1</t>
  </si>
  <si>
    <t>P52597_HNRNPF</t>
  </si>
  <si>
    <t>P52630-4_STAT2</t>
  </si>
  <si>
    <t>P52732_KIF11</t>
  </si>
  <si>
    <t>P52735-3_VAV2</t>
  </si>
  <si>
    <t>P52758_HRSP12</t>
  </si>
  <si>
    <t>P52788_SMS</t>
  </si>
  <si>
    <t>P52790_HK3</t>
  </si>
  <si>
    <t>P52815_MRPL12</t>
  </si>
  <si>
    <t>P52888_THOP1</t>
  </si>
  <si>
    <t>P52907_CAPZA1</t>
  </si>
  <si>
    <t>P52943_CRIP2</t>
  </si>
  <si>
    <t>P53004_BLVRA</t>
  </si>
  <si>
    <t>P53367_ARFIP1</t>
  </si>
  <si>
    <t>P53370_NUDT6</t>
  </si>
  <si>
    <t>P53384-2_NUBP1</t>
  </si>
  <si>
    <t>P53396_ACLY</t>
  </si>
  <si>
    <t>P53597_SUCLG1</t>
  </si>
  <si>
    <t>P53602_MVD</t>
  </si>
  <si>
    <t>P53609_PGGT1B</t>
  </si>
  <si>
    <t>P53611_RABGGTB</t>
  </si>
  <si>
    <t>P53618_COPB1</t>
  </si>
  <si>
    <t>P53621_COPA</t>
  </si>
  <si>
    <t>P53634_CTSC</t>
  </si>
  <si>
    <t>P53675-2_CLTCL1</t>
  </si>
  <si>
    <t>P53680_AP2S1</t>
  </si>
  <si>
    <t>P53990-2_IST1</t>
  </si>
  <si>
    <t>P53999_SUB1</t>
  </si>
  <si>
    <t>P54098_POLG</t>
  </si>
  <si>
    <t>P54136_RARS</t>
  </si>
  <si>
    <t>P54577_YARS</t>
  </si>
  <si>
    <t>P54578-2_USP14</t>
  </si>
  <si>
    <t>P54619-2_PRKAG1</t>
  </si>
  <si>
    <t>P54727_RAD23B</t>
  </si>
  <si>
    <t>P54802_NAGLU</t>
  </si>
  <si>
    <t>P54819-5_AK2</t>
  </si>
  <si>
    <t>P54840_GYS2</t>
  </si>
  <si>
    <t>P54868_HMGCS2</t>
  </si>
  <si>
    <t>P54886-2_ALDH18A1</t>
  </si>
  <si>
    <t>P54920_NAPA</t>
  </si>
  <si>
    <t>P55008_AIF1</t>
  </si>
  <si>
    <t>P55010_EIF5</t>
  </si>
  <si>
    <t>P55036_PSMD4</t>
  </si>
  <si>
    <t>P55039_DRG2</t>
  </si>
  <si>
    <t>P55060-3_CSE1L</t>
  </si>
  <si>
    <t>P55072_VCP</t>
  </si>
  <si>
    <t>P55081_MFAP1</t>
  </si>
  <si>
    <t>P55145_MANF</t>
  </si>
  <si>
    <t>P55157_MTTP</t>
  </si>
  <si>
    <t>P55196_MLLT4</t>
  </si>
  <si>
    <t>P55210_CASP7</t>
  </si>
  <si>
    <t>P55212_CASP6</t>
  </si>
  <si>
    <t>P55263_ADK</t>
  </si>
  <si>
    <t>P55265-5_ADAR</t>
  </si>
  <si>
    <t>P55268_LAMB2</t>
  </si>
  <si>
    <t>P55735_SEC13</t>
  </si>
  <si>
    <t>P55769_NHP2L1</t>
  </si>
  <si>
    <t>P55795_HNRNPH2</t>
  </si>
  <si>
    <t>P55854_SUMO3</t>
  </si>
  <si>
    <t>P55884_EIF3B</t>
  </si>
  <si>
    <t>P56181-2_NDUFV3</t>
  </si>
  <si>
    <t>P56181_NDUFV3</t>
  </si>
  <si>
    <t>P56192_MARS</t>
  </si>
  <si>
    <t>P56211-2_ARPP19</t>
  </si>
  <si>
    <t>P56277_CMC4</t>
  </si>
  <si>
    <t>P56470_LGALS4</t>
  </si>
  <si>
    <t>P56537_EIF6</t>
  </si>
  <si>
    <t>P57105_SYNJ2BP</t>
  </si>
  <si>
    <t>P57740_NUP107</t>
  </si>
  <si>
    <t>P57764_GSDMD</t>
  </si>
  <si>
    <t>P57772_EEFSEC</t>
  </si>
  <si>
    <t>P58546_MTPN</t>
  </si>
  <si>
    <t>P59666_DEFA3</t>
  </si>
  <si>
    <t>P59998_ARPC4</t>
  </si>
  <si>
    <t>P60174-1_TPI1</t>
  </si>
  <si>
    <t>P60228_EIF3E</t>
  </si>
  <si>
    <t>P60468_SEC61B</t>
  </si>
  <si>
    <t>P60510_PPP4C</t>
  </si>
  <si>
    <t>P60842_EIF4A1</t>
  </si>
  <si>
    <t>P60866_RPS20</t>
  </si>
  <si>
    <t>P60891_PRPS1</t>
  </si>
  <si>
    <t>P60900_PSMA6</t>
  </si>
  <si>
    <t>P60953_CDC42</t>
  </si>
  <si>
    <t>P60981_DSTN</t>
  </si>
  <si>
    <t>P60983_GMFB</t>
  </si>
  <si>
    <t>P61006_RAB8A</t>
  </si>
  <si>
    <t>P61011-2_SRP54</t>
  </si>
  <si>
    <t>P61019_RAB2A</t>
  </si>
  <si>
    <t>P61020_RAB5B</t>
  </si>
  <si>
    <t>P61077_UBE2D3</t>
  </si>
  <si>
    <t>P61081_UBE2M</t>
  </si>
  <si>
    <t>P61086_UBE2K</t>
  </si>
  <si>
    <t>P61088_UBE2N</t>
  </si>
  <si>
    <t>P61106_RAB14</t>
  </si>
  <si>
    <t>P61158_ACTR3</t>
  </si>
  <si>
    <t>P61160_ACTR2</t>
  </si>
  <si>
    <t>P61163_ACTR1A</t>
  </si>
  <si>
    <t>P61201_COPS2</t>
  </si>
  <si>
    <t>P61221_ABCE1</t>
  </si>
  <si>
    <t>P61224-3_RAP1B</t>
  </si>
  <si>
    <t>P61247_RPS3A</t>
  </si>
  <si>
    <t>P61289_PSME3</t>
  </si>
  <si>
    <t>P61326_MAGOH</t>
  </si>
  <si>
    <t>P61353_RPL27</t>
  </si>
  <si>
    <t>P61457_PCBD1</t>
  </si>
  <si>
    <t>P61586_RHOA</t>
  </si>
  <si>
    <t>P61604_HSPE1</t>
  </si>
  <si>
    <t>P61758_VBP1</t>
  </si>
  <si>
    <t>P61923_COPZ1</t>
  </si>
  <si>
    <t>P61956-2_SUMO2</t>
  </si>
  <si>
    <t>P61962_DCAF7</t>
  </si>
  <si>
    <t>P61966_AP1S1</t>
  </si>
  <si>
    <t>P61970_NUTF2</t>
  </si>
  <si>
    <t>P61978-3_HNRNPK</t>
  </si>
  <si>
    <t>P61981_YWHAG</t>
  </si>
  <si>
    <t>P62070_RRAS2</t>
  </si>
  <si>
    <t>P62072_TIMM10</t>
  </si>
  <si>
    <t>P62136_PPP1CA</t>
  </si>
  <si>
    <t>P62140_PPP1CB</t>
  </si>
  <si>
    <t>P62158_CALM1</t>
  </si>
  <si>
    <t>P62191_PSMC1</t>
  </si>
  <si>
    <t>P62195-2_PSMC5</t>
  </si>
  <si>
    <t>P62241_RPS8</t>
  </si>
  <si>
    <t>P62258_YWHAE</t>
  </si>
  <si>
    <t>P62263_RPS14</t>
  </si>
  <si>
    <t>P62269_RPS18</t>
  </si>
  <si>
    <t>P62277_RPS13</t>
  </si>
  <si>
    <t>P62280_RPS11</t>
  </si>
  <si>
    <t>P62304_SNRPE</t>
  </si>
  <si>
    <t>P62310_LSM3</t>
  </si>
  <si>
    <t>P62312_LSM6</t>
  </si>
  <si>
    <t>P62316_SNRPD2</t>
  </si>
  <si>
    <t>P62328_TMSB4X</t>
  </si>
  <si>
    <t>P62330_ARF6</t>
  </si>
  <si>
    <t>P62333_PSMC6</t>
  </si>
  <si>
    <t>P62633-2_CNBP</t>
  </si>
  <si>
    <t>P62701_RPS4X</t>
  </si>
  <si>
    <t>P62714_PPP2CB</t>
  </si>
  <si>
    <t>P62750_RPL23A</t>
  </si>
  <si>
    <t>P62753_RPS6</t>
  </si>
  <si>
    <t>P62760_VSNL1</t>
  </si>
  <si>
    <t>P62805_HIST1H4A</t>
  </si>
  <si>
    <t>P62820_RAB1A</t>
  </si>
  <si>
    <t>P62826_RAN</t>
  </si>
  <si>
    <t>P62837_UBE2D2</t>
  </si>
  <si>
    <t>P62851_RPS25</t>
  </si>
  <si>
    <t>P62854_RPS26</t>
  </si>
  <si>
    <t>P62857_RPS28</t>
  </si>
  <si>
    <t>P62877_RBX1</t>
  </si>
  <si>
    <t>P62906_RPL10A</t>
  </si>
  <si>
    <t>P62942_FKBP1A</t>
  </si>
  <si>
    <t>P62993_GRB2</t>
  </si>
  <si>
    <t>P62995-3_TRA2B</t>
  </si>
  <si>
    <t>P63000_RAC1</t>
  </si>
  <si>
    <t>P63010_AP2B1</t>
  </si>
  <si>
    <t>P63096_GNAI1</t>
  </si>
  <si>
    <t>P63104_YWHAZ</t>
  </si>
  <si>
    <t>P63151_PPP2R2A</t>
  </si>
  <si>
    <t>P63244_GNB2L1</t>
  </si>
  <si>
    <t>P63261_ACTG1</t>
  </si>
  <si>
    <t>P63302_SEPW1</t>
  </si>
  <si>
    <t>P63313_TMSB10</t>
  </si>
  <si>
    <t>P67775_PPP2CA</t>
  </si>
  <si>
    <t>P67809_YBX1</t>
  </si>
  <si>
    <t>P67870_CSNK2B</t>
  </si>
  <si>
    <t>P67936_TPM4</t>
  </si>
  <si>
    <t>P68036_UBE2L3</t>
  </si>
  <si>
    <t>P68133_ACTA1</t>
  </si>
  <si>
    <t>P68363_TUBA1B</t>
  </si>
  <si>
    <t>P68371_TUBB4B</t>
  </si>
  <si>
    <t>P68402_PAFAH1B2</t>
  </si>
  <si>
    <t>P78314_SH3BP2</t>
  </si>
  <si>
    <t>P78318_IGBP1</t>
  </si>
  <si>
    <t>P78329_CYP4F2</t>
  </si>
  <si>
    <t>P78347-2_GTF2I</t>
  </si>
  <si>
    <t>P78371_CCT2</t>
  </si>
  <si>
    <t>P78417_GSTO1</t>
  </si>
  <si>
    <t>P78524_ST5</t>
  </si>
  <si>
    <t>P78527_PRKDC</t>
  </si>
  <si>
    <t>P78560_CRADD</t>
  </si>
  <si>
    <t>P80217_IFI35</t>
  </si>
  <si>
    <t>P80294_MT1H</t>
  </si>
  <si>
    <t>P80297_MT1X</t>
  </si>
  <si>
    <t>P80303-2_NUCB2</t>
  </si>
  <si>
    <t>P80404_ABAT</t>
  </si>
  <si>
    <t>P80723_BASP1</t>
  </si>
  <si>
    <t>P82094_TMF1</t>
  </si>
  <si>
    <t>P82673-2_MRPS35</t>
  </si>
  <si>
    <t>P82675_MRPS5</t>
  </si>
  <si>
    <t>P82909_MRPS36</t>
  </si>
  <si>
    <t>P82914_MRPS15</t>
  </si>
  <si>
    <t>P82930_MRPS34</t>
  </si>
  <si>
    <t>P82979_SARNP</t>
  </si>
  <si>
    <t>P82980_RBP5</t>
  </si>
  <si>
    <t>P83111_LACTB</t>
  </si>
  <si>
    <t>P84077_ARF1</t>
  </si>
  <si>
    <t>P84090_ERH</t>
  </si>
  <si>
    <t>P84101-4_SERF2</t>
  </si>
  <si>
    <t>P85037_FOXK1</t>
  </si>
  <si>
    <t>P98160_HSPG2</t>
  </si>
  <si>
    <t>P98170_XIAP</t>
  </si>
  <si>
    <t>P98179_RBM3</t>
  </si>
  <si>
    <t>Q00059_TFAM</t>
  </si>
  <si>
    <t>Q00169_PITPNA</t>
  </si>
  <si>
    <t>Q00266_MAT1A</t>
  </si>
  <si>
    <t>Q00341_HDLBP</t>
  </si>
  <si>
    <t>Q00403_GTF2B</t>
  </si>
  <si>
    <t>Q00534_CDK6</t>
  </si>
  <si>
    <t>Q00577_PURA</t>
  </si>
  <si>
    <t>Q00610-2_CLTC</t>
  </si>
  <si>
    <t>Q00653_NFKB2</t>
  </si>
  <si>
    <t>Q00688_FKBP3</t>
  </si>
  <si>
    <t>Q00765_REEP5</t>
  </si>
  <si>
    <t>Q00796_SORD</t>
  </si>
  <si>
    <t>Q00839_HNRNPU</t>
  </si>
  <si>
    <t>Q01081_U2AF1</t>
  </si>
  <si>
    <t>Q01082-3_SPTBN1</t>
  </si>
  <si>
    <t>Q01082_SPTBN1</t>
  </si>
  <si>
    <t>Q01085-2_TIAL1</t>
  </si>
  <si>
    <t>Q01105_SET</t>
  </si>
  <si>
    <t>Q01415_GALK2</t>
  </si>
  <si>
    <t>Q01433-2_AMPD2</t>
  </si>
  <si>
    <t>Q01459_CTBS</t>
  </si>
  <si>
    <t>Q01469_FABP5</t>
  </si>
  <si>
    <t>Q01518-2_CAP1</t>
  </si>
  <si>
    <t>Q01581_HMGCS1</t>
  </si>
  <si>
    <t>Q01658_DR1</t>
  </si>
  <si>
    <t>Q01804_OTUD4</t>
  </si>
  <si>
    <t>Q01844-6_EWSR1</t>
  </si>
  <si>
    <t>Q01995_TAGLN</t>
  </si>
  <si>
    <t>Q02083-2_NAAA</t>
  </si>
  <si>
    <t>Q02224-3_CENPE</t>
  </si>
  <si>
    <t>Q02252_ALDH6A1</t>
  </si>
  <si>
    <t>Q02318_CYP27A1</t>
  </si>
  <si>
    <t>Q02325_PLGLB1</t>
  </si>
  <si>
    <t>Q02410_APBA1</t>
  </si>
  <si>
    <t>Q02413_DSG1</t>
  </si>
  <si>
    <t>Q02750_MAP2K1</t>
  </si>
  <si>
    <t>Q02790_FKBP4</t>
  </si>
  <si>
    <t>Q02818_NUCB1</t>
  </si>
  <si>
    <t>Q02928_CYP4A11</t>
  </si>
  <si>
    <t>Q03001-8_DST</t>
  </si>
  <si>
    <t>Q03013-2_GSTM4</t>
  </si>
  <si>
    <t>Q03154_ACY1</t>
  </si>
  <si>
    <t>Q03252_LMNB2</t>
  </si>
  <si>
    <t>Q03393_PTS</t>
  </si>
  <si>
    <t>Q04446_GBE1</t>
  </si>
  <si>
    <t>Q04637-5_EIF4G1</t>
  </si>
  <si>
    <t>Q04695_KRT17</t>
  </si>
  <si>
    <t>Q04760_GLO1</t>
  </si>
  <si>
    <t>Q04828_AKR1C1</t>
  </si>
  <si>
    <t>Q04837_SSBP1</t>
  </si>
  <si>
    <t>Q04917_YWHAH</t>
  </si>
  <si>
    <t>Q05048_CSTF1</t>
  </si>
  <si>
    <t>Q05086-2_UBE3A</t>
  </si>
  <si>
    <t>Q05682-5_CALD1</t>
  </si>
  <si>
    <t>Q06033-2_ITIH3</t>
  </si>
  <si>
    <t>Q06124-2_PTPN11</t>
  </si>
  <si>
    <t>Q06203_PPAT</t>
  </si>
  <si>
    <t>Q06210-2_GFPT1</t>
  </si>
  <si>
    <t>Q06278_AOX1</t>
  </si>
  <si>
    <t>Q06323_PSME1</t>
  </si>
  <si>
    <t>Q06520_SULT2A1</t>
  </si>
  <si>
    <t>Q06787-8_FMR1</t>
  </si>
  <si>
    <t>Q07021_C1QBP</t>
  </si>
  <si>
    <t>Q07065_CKAP4</t>
  </si>
  <si>
    <t>Q07075_ENPEP</t>
  </si>
  <si>
    <t>Q07157_TJP1</t>
  </si>
  <si>
    <t>Q07283_TCHH</t>
  </si>
  <si>
    <t>Q07666_KHDRBS1</t>
  </si>
  <si>
    <t>Q07812-5_BAX</t>
  </si>
  <si>
    <t>Q07820-2_MCL1</t>
  </si>
  <si>
    <t>Q07954_LRP1</t>
  </si>
  <si>
    <t>Q07955_SRSF1</t>
  </si>
  <si>
    <t>Q07960_ARHGAP1</t>
  </si>
  <si>
    <t>Q08170_SRSF4</t>
  </si>
  <si>
    <t>Q08209-2_PPP3CA</t>
  </si>
  <si>
    <t>Q08211_DHX9</t>
  </si>
  <si>
    <t>Q08257_CRYZ</t>
  </si>
  <si>
    <t>Q08378_GOLGA3</t>
  </si>
  <si>
    <t>Q08379_GOLGA2</t>
  </si>
  <si>
    <t>Q08380_LGALS3BP</t>
  </si>
  <si>
    <t>Q08426-2_EHHADH</t>
  </si>
  <si>
    <t>Q08426_EHHADH</t>
  </si>
  <si>
    <t>Q08554-2_DSC1</t>
  </si>
  <si>
    <t>Q08752_PPID</t>
  </si>
  <si>
    <t>Q08830_FGL1</t>
  </si>
  <si>
    <t>Q08AG7_MZT1</t>
  </si>
  <si>
    <t>Q08AH3_ACSM2A</t>
  </si>
  <si>
    <t>Q08AM6_VAC14</t>
  </si>
  <si>
    <t>Q08J23-2_NSUN2</t>
  </si>
  <si>
    <t>Q09028-3_RBBP4</t>
  </si>
  <si>
    <t>Q09161_NCBP1</t>
  </si>
  <si>
    <t>Q09472_EP300</t>
  </si>
  <si>
    <t>Q09666_AHNAK</t>
  </si>
  <si>
    <t>Q0JRZ9_FCHO2</t>
  </si>
  <si>
    <t>Q0PNE2_ELP6</t>
  </si>
  <si>
    <t>Q0VDG4-2_SCRN3</t>
  </si>
  <si>
    <t>Q0VF96_CGNL1</t>
  </si>
  <si>
    <t>Q10567-2_AP1B1</t>
  </si>
  <si>
    <t>Q10567-3_AP1B1</t>
  </si>
  <si>
    <t>Q10713_PMPCA</t>
  </si>
  <si>
    <t>Q12774_ARHGEF5</t>
  </si>
  <si>
    <t>Q12792_TWF1</t>
  </si>
  <si>
    <t>Q12802-4_AKAP13</t>
  </si>
  <si>
    <t>Q12849-5_GRSF1</t>
  </si>
  <si>
    <t>Q12874_SF3A3</t>
  </si>
  <si>
    <t>Q12882_DPYD</t>
  </si>
  <si>
    <t>Q12899_TRIM26</t>
  </si>
  <si>
    <t>Q12904_AIMP1</t>
  </si>
  <si>
    <t>Q12905_ILF2</t>
  </si>
  <si>
    <t>Q12906-4_ILF3</t>
  </si>
  <si>
    <t>Q12929_EPS8</t>
  </si>
  <si>
    <t>Q12959-5_DLG1</t>
  </si>
  <si>
    <t>Q12965_MYO1E</t>
  </si>
  <si>
    <t>Q12972_PPP1R8</t>
  </si>
  <si>
    <t>Q12986-2_NFX1</t>
  </si>
  <si>
    <t>Q12996_CSTF3</t>
  </si>
  <si>
    <t>Q13011_ECH1</t>
  </si>
  <si>
    <t>Q13017-2_ARHGAP5</t>
  </si>
  <si>
    <t>Q13033-2_STRN3</t>
  </si>
  <si>
    <t>Q13042-3_CDC16</t>
  </si>
  <si>
    <t>Q13045-2_FLII</t>
  </si>
  <si>
    <t>Q13045_FLII</t>
  </si>
  <si>
    <t>Q13057_COASY</t>
  </si>
  <si>
    <t>Q13085-3_ACACA</t>
  </si>
  <si>
    <t>Q13123_IK</t>
  </si>
  <si>
    <t>Q13126_MTAP</t>
  </si>
  <si>
    <t>Q13131-2_PRKAA1</t>
  </si>
  <si>
    <t>Q13136-2_PPFIA1</t>
  </si>
  <si>
    <t>Q13148_TARDBP</t>
  </si>
  <si>
    <t>Q13151_HNRNPA0</t>
  </si>
  <si>
    <t>Q13153_PAK1</t>
  </si>
  <si>
    <t>Q13155_AIMP2</t>
  </si>
  <si>
    <t>Q13162_PRDX4</t>
  </si>
  <si>
    <t>Q13177_PAK2</t>
  </si>
  <si>
    <t>Q13185_CBX3</t>
  </si>
  <si>
    <t>Q13188_STK3</t>
  </si>
  <si>
    <t>Q13200_PSMD2</t>
  </si>
  <si>
    <t>Q13217_DNAJC3</t>
  </si>
  <si>
    <t>Q13228_SELENBP1</t>
  </si>
  <si>
    <t>Q13232_NME3</t>
  </si>
  <si>
    <t>Q13243-3_SRSF5</t>
  </si>
  <si>
    <t>Q13247-3_SRSF6</t>
  </si>
  <si>
    <t>Q13257_MAD2L1</t>
  </si>
  <si>
    <t>Q13263_TRIM28</t>
  </si>
  <si>
    <t>Q13283_G3BP1</t>
  </si>
  <si>
    <t>Q13287_NMI</t>
  </si>
  <si>
    <t>Q13310-3_PABPC4</t>
  </si>
  <si>
    <t>Q13310_PABPC4</t>
  </si>
  <si>
    <t>Q13315_ATM</t>
  </si>
  <si>
    <t>Q13325_IFIT5</t>
  </si>
  <si>
    <t>Q13330-3_MTA1</t>
  </si>
  <si>
    <t>Q13347_EIF3I</t>
  </si>
  <si>
    <t>Q13362-2_PPP2R5C</t>
  </si>
  <si>
    <t>Q13363-2_CTBP1</t>
  </si>
  <si>
    <t>Q13395_TARBP1</t>
  </si>
  <si>
    <t>Q13404_UBE2V1</t>
  </si>
  <si>
    <t>Q13409-6_DYNC1I2</t>
  </si>
  <si>
    <t>Q13418_ILK</t>
  </si>
  <si>
    <t>Q13423_NNT</t>
  </si>
  <si>
    <t>Q13426-2_XRCC4</t>
  </si>
  <si>
    <t>Q13428_TCOF1</t>
  </si>
  <si>
    <t>Q13435_SF3B2</t>
  </si>
  <si>
    <t>Q13442_PDAP1</t>
  </si>
  <si>
    <t>Q13451_FKBP5</t>
  </si>
  <si>
    <t>Q13464_ROCK1</t>
  </si>
  <si>
    <t>Q13492-3_PICALM</t>
  </si>
  <si>
    <t>Q13496_MTM1</t>
  </si>
  <si>
    <t>Q13501-2_SQSTM1</t>
  </si>
  <si>
    <t>Q13522_PPP1R1A</t>
  </si>
  <si>
    <t>Q13526_PIN1</t>
  </si>
  <si>
    <t>Q13541_EIF4EBP1</t>
  </si>
  <si>
    <t>Q13546_RIPK1</t>
  </si>
  <si>
    <t>Q13547_HDAC1</t>
  </si>
  <si>
    <t>Q13557-8_CAMK2D</t>
  </si>
  <si>
    <t>Q13561_DCTN2</t>
  </si>
  <si>
    <t>Q13573_SNW1</t>
  </si>
  <si>
    <t>Q13576_IQGAP2</t>
  </si>
  <si>
    <t>Q13596_SNX1</t>
  </si>
  <si>
    <t>Q13608_PEX6</t>
  </si>
  <si>
    <t>Q13610_PWP1</t>
  </si>
  <si>
    <t>Q13616_CUL1</t>
  </si>
  <si>
    <t>Q13617_CUL2</t>
  </si>
  <si>
    <t>Q13618-2_CUL3</t>
  </si>
  <si>
    <t>Q13619_CUL4A</t>
  </si>
  <si>
    <t>Q13620-1_CUL4B</t>
  </si>
  <si>
    <t>Q13630_TSTA3</t>
  </si>
  <si>
    <t>Q13642-1_FHL1</t>
  </si>
  <si>
    <t>Q13796_SHROOM2</t>
  </si>
  <si>
    <t>Q13813-2_SPTAN1</t>
  </si>
  <si>
    <t>Q13813_SPTAN1</t>
  </si>
  <si>
    <t>Q13825_AUH</t>
  </si>
  <si>
    <t>Q13835-2_PKP1</t>
  </si>
  <si>
    <t>Q13838_DDX39B</t>
  </si>
  <si>
    <t>Q13867_BLMH</t>
  </si>
  <si>
    <t>Q13884_SNTB1</t>
  </si>
  <si>
    <t>Q13885_TUBB2A</t>
  </si>
  <si>
    <t>Q13907_IDI1</t>
  </si>
  <si>
    <t>Q13951-2_CBFB</t>
  </si>
  <si>
    <t>Q14008-2_CKAP5</t>
  </si>
  <si>
    <t>Q14012_CAMK1</t>
  </si>
  <si>
    <t>Q14019_COTL1</t>
  </si>
  <si>
    <t>Q14032_BAAT</t>
  </si>
  <si>
    <t>Q14061_COX17</t>
  </si>
  <si>
    <t>Q14103-3_HNRNPD</t>
  </si>
  <si>
    <t>Q14116-2_IL18</t>
  </si>
  <si>
    <t>Q14117_DPYS</t>
  </si>
  <si>
    <t>Q14118_DAG1</t>
  </si>
  <si>
    <t>Q14126_DSG2</t>
  </si>
  <si>
    <t>Q14139_UBE4A</t>
  </si>
  <si>
    <t>Q14141-2_SEPT6</t>
  </si>
  <si>
    <t>Q14151_SAFB2</t>
  </si>
  <si>
    <t>Q14152_EIF3A</t>
  </si>
  <si>
    <t>Q14157_UBAP2L</t>
  </si>
  <si>
    <t>Q14160-2_SCRIB</t>
  </si>
  <si>
    <t>Q14161-3_GIT2</t>
  </si>
  <si>
    <t>Q14166_TTLL12</t>
  </si>
  <si>
    <t>Q14192_FHL2</t>
  </si>
  <si>
    <t>Q14203-3_DCTN1</t>
  </si>
  <si>
    <t>Q14204_DYNC1H1</t>
  </si>
  <si>
    <t>Q14232_EIF2B1</t>
  </si>
  <si>
    <t>Q14240_EIF4A2</t>
  </si>
  <si>
    <t>Q14241_TCEB3</t>
  </si>
  <si>
    <t>Q14244-3_MAP7</t>
  </si>
  <si>
    <t>Q14247-3_CTTN</t>
  </si>
  <si>
    <t>Q14247_CTTN</t>
  </si>
  <si>
    <t>Q14258_TRIM25</t>
  </si>
  <si>
    <t>Q14318-2_FKBP8</t>
  </si>
  <si>
    <t>Q14320_FAM50A</t>
  </si>
  <si>
    <t>Q14353_GAMT</t>
  </si>
  <si>
    <t>Q14376_GALE</t>
  </si>
  <si>
    <t>Q14397_GCKR</t>
  </si>
  <si>
    <t>Q14410_GK2</t>
  </si>
  <si>
    <t>Q14444-2_CAPRIN1</t>
  </si>
  <si>
    <t>Q14498-2_RBM39</t>
  </si>
  <si>
    <t>Q14520-2_HABP2</t>
  </si>
  <si>
    <t>Q14554_PDIA5</t>
  </si>
  <si>
    <t>Q14558_PRPSAP1</t>
  </si>
  <si>
    <t>Q14566_MCM6</t>
  </si>
  <si>
    <t>Q14624_ITIH4</t>
  </si>
  <si>
    <t>Q14651_PLS1</t>
  </si>
  <si>
    <t>Q14653_IRF3</t>
  </si>
  <si>
    <t>Q14657_LAGE3</t>
  </si>
  <si>
    <t>Q14669_TRIP12</t>
  </si>
  <si>
    <t>Q14676-4_MDC1</t>
  </si>
  <si>
    <t>Q14677_CLINT1</t>
  </si>
  <si>
    <t>Q14678-2_KANK1</t>
  </si>
  <si>
    <t>Q14683_SMC1A</t>
  </si>
  <si>
    <t>Q14694_USP10</t>
  </si>
  <si>
    <t>Q14696_MESDC2</t>
  </si>
  <si>
    <t>Q14697_GANAB</t>
  </si>
  <si>
    <t>Q14749_GNMT</t>
  </si>
  <si>
    <t>Q14789_GOLGB1</t>
  </si>
  <si>
    <t>Q14790-8_CASP8</t>
  </si>
  <si>
    <t>Q14847_LASP1</t>
  </si>
  <si>
    <t>Q14894_CRYM</t>
  </si>
  <si>
    <t>Q14914-2_PTGR1</t>
  </si>
  <si>
    <t>Q14966_ZNF638</t>
  </si>
  <si>
    <t>Q14974_KPNB1</t>
  </si>
  <si>
    <t>Q14978_NOLC1</t>
  </si>
  <si>
    <t>Q14980-2_NUMA1</t>
  </si>
  <si>
    <t>Q14997_PSME4</t>
  </si>
  <si>
    <t>Q15008_PSMD6</t>
  </si>
  <si>
    <t>Q15018_FAM175B</t>
  </si>
  <si>
    <t>Q15020_SART3</t>
  </si>
  <si>
    <t>Q15024_EXOSC7</t>
  </si>
  <si>
    <t>Q15029-2_EFTUD2</t>
  </si>
  <si>
    <t>Q15036-2_SNX17</t>
  </si>
  <si>
    <t>Q15046_KARS</t>
  </si>
  <si>
    <t>Q15056-2_EIF4H</t>
  </si>
  <si>
    <t>Q15057_ACAP2</t>
  </si>
  <si>
    <t>Q15067-2_ACOX1</t>
  </si>
  <si>
    <t>Q15075_EEA1</t>
  </si>
  <si>
    <t>Q15102_PAFAH1B3</t>
  </si>
  <si>
    <t>Q15119_PDK2</t>
  </si>
  <si>
    <t>Q15120_PDK3</t>
  </si>
  <si>
    <t>Q15126_PMVK</t>
  </si>
  <si>
    <t>Q15149-8_PLEC</t>
  </si>
  <si>
    <t>Q15172_PPP2R5A</t>
  </si>
  <si>
    <t>Q15181_PPA1</t>
  </si>
  <si>
    <t>Q15233-2_NONO</t>
  </si>
  <si>
    <t>Q15257-2_PPP2R4</t>
  </si>
  <si>
    <t>Q15274_QPRT</t>
  </si>
  <si>
    <t>Q15276_RABEP1</t>
  </si>
  <si>
    <t>Q15291_RBBP5</t>
  </si>
  <si>
    <t>Q15293_RCN1</t>
  </si>
  <si>
    <t>Q15311_RALBP1</t>
  </si>
  <si>
    <t>Q15345_LRRC41</t>
  </si>
  <si>
    <t>Q15365_PCBP1</t>
  </si>
  <si>
    <t>Q15382_RHEB</t>
  </si>
  <si>
    <t>Q15393_SF3B3</t>
  </si>
  <si>
    <t>Q15404_RSU1</t>
  </si>
  <si>
    <t>Q15417_CNN3</t>
  </si>
  <si>
    <t>Q15424_SAFB</t>
  </si>
  <si>
    <t>Q15427_SF3B4</t>
  </si>
  <si>
    <t>Q15428_SF3A2</t>
  </si>
  <si>
    <t>Q15435_PPP1R7</t>
  </si>
  <si>
    <t>Q15437_SEC23B</t>
  </si>
  <si>
    <t>Q15459_SF3A1</t>
  </si>
  <si>
    <t>Q15477_SKIV2L</t>
  </si>
  <si>
    <t>Q15493_RGN</t>
  </si>
  <si>
    <t>Q15526-2_SURF1</t>
  </si>
  <si>
    <t>Q15555-4_MAPRE2</t>
  </si>
  <si>
    <t>Q15596_NCOA2</t>
  </si>
  <si>
    <t>Q15599_SLC9A3R2</t>
  </si>
  <si>
    <t>Q15637-5_SF1</t>
  </si>
  <si>
    <t>Q15642_TRIP10</t>
  </si>
  <si>
    <t>Q15643_TRIP11</t>
  </si>
  <si>
    <t>Q15654_TRIP6</t>
  </si>
  <si>
    <t>Q15691_MAPRE1</t>
  </si>
  <si>
    <t>Q15714-2_TSC22D1</t>
  </si>
  <si>
    <t>Q15717_ELAVL1</t>
  </si>
  <si>
    <t>Q15746-6_MYLK</t>
  </si>
  <si>
    <t>Q15750-2_TAB1</t>
  </si>
  <si>
    <t>Q15785_TOMM34</t>
  </si>
  <si>
    <t>Q15796-2_SMAD2</t>
  </si>
  <si>
    <t>Q15813_TBCE</t>
  </si>
  <si>
    <t>Q15814_TBCC</t>
  </si>
  <si>
    <t>Q15819_UBE2V2</t>
  </si>
  <si>
    <t>Q15833_STXBP2</t>
  </si>
  <si>
    <t>Q15847_ADIRF</t>
  </si>
  <si>
    <t>Q15907_RAB11B</t>
  </si>
  <si>
    <t>Q15942_ZYX</t>
  </si>
  <si>
    <t>Q16181_SEPT7</t>
  </si>
  <si>
    <t>Q16186_ADRM1</t>
  </si>
  <si>
    <t>Q16204_CCDC6</t>
  </si>
  <si>
    <t>Q16222-3_UAP1</t>
  </si>
  <si>
    <t>Q16401-2_PSMD5</t>
  </si>
  <si>
    <t>Q16531_DDB1</t>
  </si>
  <si>
    <t>Q16539_MAPK14</t>
  </si>
  <si>
    <t>Q16543_CDC37</t>
  </si>
  <si>
    <t>Q16555-2_DPYSL2</t>
  </si>
  <si>
    <t>Q16576_RBBP7</t>
  </si>
  <si>
    <t>Q16625-5_OCLN</t>
  </si>
  <si>
    <t>Q16626_MEA1</t>
  </si>
  <si>
    <t>Q16629-3_SRSF7</t>
  </si>
  <si>
    <t>Q16637-4_SMN1</t>
  </si>
  <si>
    <t>Q16658_FSCN1</t>
  </si>
  <si>
    <t>Q16719_KYNU</t>
  </si>
  <si>
    <t>Q16740_CLPP</t>
  </si>
  <si>
    <t>Q16762_TST</t>
  </si>
  <si>
    <t>Q16773_CCBL1</t>
  </si>
  <si>
    <t>Q16775_HAGH</t>
  </si>
  <si>
    <t>Q16787-4_LAMA3</t>
  </si>
  <si>
    <t>Q16822_PCK2</t>
  </si>
  <si>
    <t>Q16831_UPP1</t>
  </si>
  <si>
    <t>Q16836_HADH</t>
  </si>
  <si>
    <t>Q16851-2_UGP2</t>
  </si>
  <si>
    <t>Q16851_UGP2</t>
  </si>
  <si>
    <t>Q16854_DGUOK</t>
  </si>
  <si>
    <t>Q17R31-5_TATDN3</t>
  </si>
  <si>
    <t>Q17RC7_EXOC3L4</t>
  </si>
  <si>
    <t>Q1W6H9_FAM110C</t>
  </si>
  <si>
    <t>Q27J81_INF2</t>
  </si>
  <si>
    <t>Q29RF7_PDS5A</t>
  </si>
  <si>
    <t>Q2KHT3_CLEC16A</t>
  </si>
  <si>
    <t>Q2M389_KIAA1033</t>
  </si>
  <si>
    <t>Q2PPJ7-3_RALGAPA2</t>
  </si>
  <si>
    <t>Q2T9J0_TYSND1</t>
  </si>
  <si>
    <t>Q2TAZ0_ATG2A</t>
  </si>
  <si>
    <t>Q32M88_ATHL1</t>
  </si>
  <si>
    <t>Q32MZ4-2_LRRFIP1</t>
  </si>
  <si>
    <t>Q32MZ4-4_LRRFIP1</t>
  </si>
  <si>
    <t>Q32P44_EML3</t>
  </si>
  <si>
    <t>Q3LXA3_DAK</t>
  </si>
  <si>
    <t>Q3MHD2_LSM12</t>
  </si>
  <si>
    <t>Q3MIT2_PUS10</t>
  </si>
  <si>
    <t>Q3V6T2-5_CCDC88A</t>
  </si>
  <si>
    <t>Q49A26-5_GLYR1</t>
  </si>
  <si>
    <t>Q49AH0_CDNF</t>
  </si>
  <si>
    <t>Q4G0F5_VPS26B</t>
  </si>
  <si>
    <t>Q4G0J3_LARP7</t>
  </si>
  <si>
    <t>Q4G0N4_NADKD1</t>
  </si>
  <si>
    <t>Q4G176_ACSF3</t>
  </si>
  <si>
    <t>Q4KMP7_TBC1D10B</t>
  </si>
  <si>
    <t>Q4KWH8-3_PLCH1</t>
  </si>
  <si>
    <t>Q4V328_GRIPAP1</t>
  </si>
  <si>
    <t>Q504Q3-2_PAN2</t>
  </si>
  <si>
    <t>Q52LJ0-2_FAM98B</t>
  </si>
  <si>
    <t>Q52LW3_ARHGAP29</t>
  </si>
  <si>
    <t>Q53FA7_TP53I3</t>
  </si>
  <si>
    <t>Q53FZ2_ACSM3</t>
  </si>
  <si>
    <t>Q53H82_LACTB2</t>
  </si>
  <si>
    <t>Q53HC9_TSSC1</t>
  </si>
  <si>
    <t>Q53LP3_SOWAHC</t>
  </si>
  <si>
    <t>Q53S33_BOLA3</t>
  </si>
  <si>
    <t>Q562E7-4_WDR81</t>
  </si>
  <si>
    <t>Q58FF8_HSP90AB2P</t>
  </si>
  <si>
    <t>Q58FG1_HSP90AA4P</t>
  </si>
  <si>
    <t>Q5BKU9_OXLD1</t>
  </si>
  <si>
    <t>Q5D862_FLG2</t>
  </si>
  <si>
    <t>Q5EBM0_CMPK2</t>
  </si>
  <si>
    <t>Q5GLZ8-6_HERC4</t>
  </si>
  <si>
    <t>Q5HYK7-3_SH3D19</t>
  </si>
  <si>
    <t>Q5JRX3_PITRM1</t>
  </si>
  <si>
    <t>Q5JS37_NHLRC3</t>
  </si>
  <si>
    <t>Q5JSH3-2_WDR44</t>
  </si>
  <si>
    <t>Q5JSZ5-5_PRRC2B</t>
  </si>
  <si>
    <t>Q5JTJ3-3_COA6</t>
  </si>
  <si>
    <t>Q5JTV8-2_TOR1AIP1</t>
  </si>
  <si>
    <t>Q5JTZ9_AARS2</t>
  </si>
  <si>
    <t>Q5MNZ6_WDR45B</t>
  </si>
  <si>
    <t>Q5QJ74_TBCEL</t>
  </si>
  <si>
    <t>Q5R3I4_TTC38</t>
  </si>
  <si>
    <t>Q5RHP9_C1orf173</t>
  </si>
  <si>
    <t>Q5RKV6_EXOSC6</t>
  </si>
  <si>
    <t>Q5SRE5-2_NUP188</t>
  </si>
  <si>
    <t>Q5SRE7-2_PHYHD1</t>
  </si>
  <si>
    <t>Q5SSJ5_HP1BP3</t>
  </si>
  <si>
    <t>Q5ST30_VARS2</t>
  </si>
  <si>
    <t>Q5SW79-2_CEP170</t>
  </si>
  <si>
    <t>Q5SXM8_DNLZ</t>
  </si>
  <si>
    <t>Q5SYE7-2_NHSL1</t>
  </si>
  <si>
    <t>Q5T0N5-3_FNBP1L</t>
  </si>
  <si>
    <t>Q5T160_RARS2</t>
  </si>
  <si>
    <t>Q5T1M5_FKBP15</t>
  </si>
  <si>
    <t>Q5T2E6_C10orf76</t>
  </si>
  <si>
    <t>Q5T2W1_PDZK1</t>
  </si>
  <si>
    <t>Q5T440_IBA57</t>
  </si>
  <si>
    <t>Q5T447_HECTD3</t>
  </si>
  <si>
    <t>Q5T4F4-6_ZFYVE27</t>
  </si>
  <si>
    <t>Q5T4S7-3_UBR4</t>
  </si>
  <si>
    <t>Q5T5P2_KIAA1217</t>
  </si>
  <si>
    <t>Q5T6F2_UBAP2</t>
  </si>
  <si>
    <t>Q5T6J7_IDNK</t>
  </si>
  <si>
    <t>Q5T6V5_C9orf64</t>
  </si>
  <si>
    <t>Q5T749_KPRP</t>
  </si>
  <si>
    <t>Q5T8D3-2_ACBD5</t>
  </si>
  <si>
    <t>Q5T8D3_ACBD5</t>
  </si>
  <si>
    <t>Q5T8P6-2_RBM26</t>
  </si>
  <si>
    <t>Q5TA50_GLTPD1</t>
  </si>
  <si>
    <t>Q5TC12_ATPAF1</t>
  </si>
  <si>
    <t>Q5TCQ9-4_MAGI3</t>
  </si>
  <si>
    <t>Q5TDH0_DDI2</t>
  </si>
  <si>
    <t>Q5TEU4_NDUFAF5</t>
  </si>
  <si>
    <t>Q5TFE4_NT5DC1</t>
  </si>
  <si>
    <t>Q5U5X0_LYRM7</t>
  </si>
  <si>
    <t>Q5UIP0-2_RIF1</t>
  </si>
  <si>
    <t>Q5VIR6-4_VPS53</t>
  </si>
  <si>
    <t>Q5VSL9_STRIP1</t>
  </si>
  <si>
    <t>Q5VTB9_RNF220</t>
  </si>
  <si>
    <t>Q5VTE0_EEF1A1P5</t>
  </si>
  <si>
    <t>Q5VTR2_RNF20</t>
  </si>
  <si>
    <t>Q5VUE5_C1orf53</t>
  </si>
  <si>
    <t>Q5VW32_BROX</t>
  </si>
  <si>
    <t>Q5VWP3_MLIP</t>
  </si>
  <si>
    <t>Q5VWZ2_LYPLAL1</t>
  </si>
  <si>
    <t>Q5VYK3_ECM29</t>
  </si>
  <si>
    <t>Q5VYS8-6_ZCCHC6</t>
  </si>
  <si>
    <t>Q5VYX0-2_RNLS</t>
  </si>
  <si>
    <t>Q5VZL5-4_ZMYM4</t>
  </si>
  <si>
    <t>Q5W0V3_FAM160B1</t>
  </si>
  <si>
    <t>Q63HM1_AFMID</t>
  </si>
  <si>
    <t>Q63HN8_RNF213</t>
  </si>
  <si>
    <t>Q63HR2-2_TENC1</t>
  </si>
  <si>
    <t>Q63ZY3-3_KANK2</t>
  </si>
  <si>
    <t>Q66K14-2_TBC1D9B</t>
  </si>
  <si>
    <t>Q66PJ3_ARL6IP4</t>
  </si>
  <si>
    <t>Q676U5-2_ATG16L1</t>
  </si>
  <si>
    <t>Q68CK6_ACSM2B</t>
  </si>
  <si>
    <t>Q68CZ2_TNS3</t>
  </si>
  <si>
    <t>Q69YN2_CWF19L1</t>
  </si>
  <si>
    <t>Q69YN4-4_KIAA1429</t>
  </si>
  <si>
    <t>Q69YQ0-2_SPECC1L</t>
  </si>
  <si>
    <t>Q6A1A2_PDPK2</t>
  </si>
  <si>
    <t>Q6DD88_ATL3</t>
  </si>
  <si>
    <t>Q6DN90-2_IQSEC1</t>
  </si>
  <si>
    <t>Q6EMK4_VASN</t>
  </si>
  <si>
    <t>Q6FI81-3_CIAPIN1</t>
  </si>
  <si>
    <t>Q6FIF0-2_ZFAND6</t>
  </si>
  <si>
    <t>Q6GMV2_SMYD5</t>
  </si>
  <si>
    <t>Q6GMV3_PTRHD1</t>
  </si>
  <si>
    <t>Q6GQQ9-2_OTUD7B</t>
  </si>
  <si>
    <t>Q6IA69_NADSYN1</t>
  </si>
  <si>
    <t>Q6IA86-4_ELP2</t>
  </si>
  <si>
    <t>Q6IB77_GLYAT</t>
  </si>
  <si>
    <t>Q6IBS0_TWF2</t>
  </si>
  <si>
    <t>Q6IC98_GRAMD4</t>
  </si>
  <si>
    <t>Q6IN85-2_SMEK1</t>
  </si>
  <si>
    <t>Q6IPR1_LYRM5</t>
  </si>
  <si>
    <t>Q6IQ22_RAB12</t>
  </si>
  <si>
    <t>Q6IQ23_PLEKHA7</t>
  </si>
  <si>
    <t>Q6JQN1_ACAD10</t>
  </si>
  <si>
    <t>Q6K0P9-4_PYHIN1</t>
  </si>
  <si>
    <t>Q6N043-2_ZNF280D</t>
  </si>
  <si>
    <t>Q6N063_OGFOD2</t>
  </si>
  <si>
    <t>Q6NUN0_ACSM5</t>
  </si>
  <si>
    <t>Q6NUQ4-2_TMEM214</t>
  </si>
  <si>
    <t>Q6NVY1_HIBCH</t>
  </si>
  <si>
    <t>Q6NYC8_PPP1R18</t>
  </si>
  <si>
    <t>Q6NZY4_ZCCHC8</t>
  </si>
  <si>
    <t>Q6P1N0-2_CC2D1A</t>
  </si>
  <si>
    <t>Q6P1N9_TATDN1</t>
  </si>
  <si>
    <t>Q6P1X6_C8orf82</t>
  </si>
  <si>
    <t>Q6P2E9_EDC4</t>
  </si>
  <si>
    <t>Q6P2P2_PRMT10</t>
  </si>
  <si>
    <t>Q6P2Q9_PRPF8</t>
  </si>
  <si>
    <t>Q6P4A8_PLBD1</t>
  </si>
  <si>
    <t>Q6P4F2_FDX1L</t>
  </si>
  <si>
    <t>Q6P4R8-3_NFRKB</t>
  </si>
  <si>
    <t>Q6P587_FAHD1</t>
  </si>
  <si>
    <t>Q6P6B1_C8orf47</t>
  </si>
  <si>
    <t>Q6PGP7_TTC37</t>
  </si>
  <si>
    <t>Q6PI48_DARS2</t>
  </si>
  <si>
    <t>Q6PJT7-5_ZC3H14</t>
  </si>
  <si>
    <t>Q6PKG0_LARP1</t>
  </si>
  <si>
    <t>Q6QHF9-4_PAOX</t>
  </si>
  <si>
    <t>Q6UB28_METAP1D</t>
  </si>
  <si>
    <t>Q6UN15-4_FIP1L1</t>
  </si>
  <si>
    <t>Q6UUV9-3_CRTC1</t>
  </si>
  <si>
    <t>Q6UWP2_DHRS11</t>
  </si>
  <si>
    <t>Q6UWP8_SBSN</t>
  </si>
  <si>
    <t>Q6UX53_METTL7B</t>
  </si>
  <si>
    <t>Q6UXH1-4_CRELD2</t>
  </si>
  <si>
    <t>Q6UXN9_WDR82</t>
  </si>
  <si>
    <t>Q6UXV4_APOOL</t>
  </si>
  <si>
    <t>Q6XQN6_NAPRT1</t>
  </si>
  <si>
    <t>Q6XZF7_DNMBP</t>
  </si>
  <si>
    <t>Q6Y7W6-4_GIGYF2</t>
  </si>
  <si>
    <t>Q6YN16_HSDL2</t>
  </si>
  <si>
    <t>Q6YP21-3_CCBL2</t>
  </si>
  <si>
    <t>Q6ZMI0_PPP1R21</t>
  </si>
  <si>
    <t>Q6ZT12_UBR3</t>
  </si>
  <si>
    <t>Q6ZUJ8_PIK3AP1</t>
  </si>
  <si>
    <t>Q709C8-3_VPS13C</t>
  </si>
  <si>
    <t>Q709F0_ACAD11</t>
  </si>
  <si>
    <t>Q70E73_RAPH1</t>
  </si>
  <si>
    <t>Q71RC2-6_LARP4</t>
  </si>
  <si>
    <t>Q71U36-2_TUBA1A</t>
  </si>
  <si>
    <t>Q765P7_MTSS1L</t>
  </si>
  <si>
    <t>Q7KZ85_SUPT6H</t>
  </si>
  <si>
    <t>Q7KZF4_SND1</t>
  </si>
  <si>
    <t>Q7KZI7-12_MARK2</t>
  </si>
  <si>
    <t>Q7L014_DDX46</t>
  </si>
  <si>
    <t>Q7L099-4_RUFY3</t>
  </si>
  <si>
    <t>Q7L0Y3_TRMT10C</t>
  </si>
  <si>
    <t>Q7L1Q6_BZW1</t>
  </si>
  <si>
    <t>Q7L1W4_LRRC8D</t>
  </si>
  <si>
    <t>Q7L2J0_MEPCE</t>
  </si>
  <si>
    <t>Q7L523_RRAGA</t>
  </si>
  <si>
    <t>Q7L576_CYFIP1</t>
  </si>
  <si>
    <t>Q7L5D6_GET4</t>
  </si>
  <si>
    <t>Q7L5Y1_ENOSF1</t>
  </si>
  <si>
    <t>Q7L775_EPM2AIP1</t>
  </si>
  <si>
    <t>Q7L8L6_FASTKD5</t>
  </si>
  <si>
    <t>Q7LBR1_CHMP1B</t>
  </si>
  <si>
    <t>Q7LG56_RRM2B</t>
  </si>
  <si>
    <t>Q7RTP6_MICAL3</t>
  </si>
  <si>
    <t>Q7RTV0_PHF5A</t>
  </si>
  <si>
    <t>Q7Z2W4_ZC3HAV1</t>
  </si>
  <si>
    <t>Q7Z2Z2_EFTUD1</t>
  </si>
  <si>
    <t>Q7Z392-4_TRAPPC11</t>
  </si>
  <si>
    <t>Q7Z3J2_C16orf62</t>
  </si>
  <si>
    <t>Q7Z3T8_ZFYVE16</t>
  </si>
  <si>
    <t>Q7Z406-6_MYH14</t>
  </si>
  <si>
    <t>Q7Z417_NUFIP2</t>
  </si>
  <si>
    <t>Q7Z422-2_SZRD1</t>
  </si>
  <si>
    <t>Q7Z434_MAVS</t>
  </si>
  <si>
    <t>Q7Z460-2_CLASP1</t>
  </si>
  <si>
    <t>Q7Z478_DHX29</t>
  </si>
  <si>
    <t>Q7Z4G1_COMMD6</t>
  </si>
  <si>
    <t>Q7Z4G4-2_TRMT11</t>
  </si>
  <si>
    <t>Q7Z4I7-3_LIMS2</t>
  </si>
  <si>
    <t>Q7Z4Q2_HEATR3</t>
  </si>
  <si>
    <t>Q7Z4S6-3_KIF21A</t>
  </si>
  <si>
    <t>Q7Z4V5_HDGFRP2</t>
  </si>
  <si>
    <t>Q7Z4W1_DCXR</t>
  </si>
  <si>
    <t>Q7Z5K2-3_WAPAL</t>
  </si>
  <si>
    <t>Q7Z5L9-2_IRF2BP2</t>
  </si>
  <si>
    <t>Q7Z5P4_HSD17B13</t>
  </si>
  <si>
    <t>Q7Z5Q5_POLN</t>
  </si>
  <si>
    <t>Q7Z5R6_APBB1IP</t>
  </si>
  <si>
    <t>Q7Z6M1_RABEPK</t>
  </si>
  <si>
    <t>Q7Z6Z7-2_HUWE1</t>
  </si>
  <si>
    <t>Q7Z7K0_CMC1</t>
  </si>
  <si>
    <t>Q7Z7K6-3_CENPV</t>
  </si>
  <si>
    <t>Q86SQ0-3_PHLDB2</t>
  </si>
  <si>
    <t>Q86SQ0_PHLDB2</t>
  </si>
  <si>
    <t>Q86SX6_GLRX5</t>
  </si>
  <si>
    <t>Q86SZ2-2_TRAPPC6B</t>
  </si>
  <si>
    <t>Q86TB9-4_PATL1</t>
  </si>
  <si>
    <t>Q86TI2_DPP9</t>
  </si>
  <si>
    <t>Q86TP1_PRUNE</t>
  </si>
  <si>
    <t>Q86TU7_SETD3</t>
  </si>
  <si>
    <t>Q86TX2_ACOT1</t>
  </si>
  <si>
    <t>Q86U17_SERPINA11</t>
  </si>
  <si>
    <t>Q86U28_ISCA2</t>
  </si>
  <si>
    <t>Q86U42-2_PABPN1</t>
  </si>
  <si>
    <t>Q86U44_METTL3</t>
  </si>
  <si>
    <t>Q86UA1_PRPF39</t>
  </si>
  <si>
    <t>Q86UK7-2_ZNF598</t>
  </si>
  <si>
    <t>Q86UP2_KTN1</t>
  </si>
  <si>
    <t>Q86UX7-2_FERMT3</t>
  </si>
  <si>
    <t>Q86UY8-2_NT5DC3</t>
  </si>
  <si>
    <t>Q86V48-2_LUZP1</t>
  </si>
  <si>
    <t>Q86V81_ALYREF</t>
  </si>
  <si>
    <t>Q86VN1-2_VPS36</t>
  </si>
  <si>
    <t>Q86VP6_CAND1</t>
  </si>
  <si>
    <t>Q86VQ6_TXNRD3</t>
  </si>
  <si>
    <t>Q86VS8_HOOK3</t>
  </si>
  <si>
    <t>Q86VX2-2_COMMD7</t>
  </si>
  <si>
    <t>Q86W92-4_PPFIBP1</t>
  </si>
  <si>
    <t>Q86WA6_BPHL</t>
  </si>
  <si>
    <t>Q86WA8_LONP2</t>
  </si>
  <si>
    <t>Q86WR0_CCDC25</t>
  </si>
  <si>
    <t>Q86WR7_PROSER2</t>
  </si>
  <si>
    <t>Q86WU2-2_LDHD</t>
  </si>
  <si>
    <t>Q86X10-3_RALGAPB</t>
  </si>
  <si>
    <t>Q86X27_RALGPS2</t>
  </si>
  <si>
    <t>Q86X55-1_CARM1</t>
  </si>
  <si>
    <t>Q86X76-2_NIT1</t>
  </si>
  <si>
    <t>Q86XE5_HOGA1</t>
  </si>
  <si>
    <t>Q86XP3_DDX42</t>
  </si>
  <si>
    <t>Q86Y07-4_VRK2</t>
  </si>
  <si>
    <t>Q86Y82_STX12</t>
  </si>
  <si>
    <t>Q86YB7_ECHDC2</t>
  </si>
  <si>
    <t>Q86YH6_PDSS2</t>
  </si>
  <si>
    <t>Q86YJ6-4_THNSL2</t>
  </si>
  <si>
    <t>Q86YP4-2_GATAD2A</t>
  </si>
  <si>
    <t>Q86YZ3_HRNR</t>
  </si>
  <si>
    <t>Q8IU81_IRF2BP1</t>
  </si>
  <si>
    <t>Q8IUD2_ERC1</t>
  </si>
  <si>
    <t>Q8IUR7-7_ARMC8</t>
  </si>
  <si>
    <t>Q8IUZ5_AGXT2L2</t>
  </si>
  <si>
    <t>Q8IV08_PLD3</t>
  </si>
  <si>
    <t>Q8IV38_ANKMY2</t>
  </si>
  <si>
    <t>Q8IV50_LYSMD2</t>
  </si>
  <si>
    <t>Q8IVD9_NUDCD3</t>
  </si>
  <si>
    <t>Q8IVF2-3_AHNAK2</t>
  </si>
  <si>
    <t>Q8IVH4_MMAA</t>
  </si>
  <si>
    <t>Q8IVM0_CCDC50</t>
  </si>
  <si>
    <t>Q8IVS2_MCAT</t>
  </si>
  <si>
    <t>Q8IVS8_GLYCTK</t>
  </si>
  <si>
    <t>Q8IW45_CARKD</t>
  </si>
  <si>
    <t>Q8IWB9_TEX2</t>
  </si>
  <si>
    <t>Q8IWE2_FAM114A1</t>
  </si>
  <si>
    <t>Q8IWJ2_GCC2</t>
  </si>
  <si>
    <t>Q8IWL3_HSCB</t>
  </si>
  <si>
    <t>Q8IWU2_LMTK2</t>
  </si>
  <si>
    <t>Q8IWV8-4_UBR2</t>
  </si>
  <si>
    <t>Q8IWW6-2_ARHGAP12</t>
  </si>
  <si>
    <t>Q8IWW8_ADHFE1</t>
  </si>
  <si>
    <t>Q8IWX8_CHERP</t>
  </si>
  <si>
    <t>Q8IWZ3_ANKHD1</t>
  </si>
  <si>
    <t>Q8IWZ8_SUGP1</t>
  </si>
  <si>
    <t>Q8IX07_ZFPM1</t>
  </si>
  <si>
    <t>Q8IX12-2_CCAR1</t>
  </si>
  <si>
    <t>Q8IXH7-4_NELFCD</t>
  </si>
  <si>
    <t>Q8IXJ6-2_SIRT2</t>
  </si>
  <si>
    <t>Q8IXQ4_KIAA1704</t>
  </si>
  <si>
    <t>Q8IXQ6-2_PARP9</t>
  </si>
  <si>
    <t>Q8IY50-2_SLC35F3</t>
  </si>
  <si>
    <t>Q8IY81_FTSJ3</t>
  </si>
  <si>
    <t>Q8IYA8-2_CCDC36</t>
  </si>
  <si>
    <t>Q8IYB5-3_SMAP1</t>
  </si>
  <si>
    <t>Q8IYB7_DIS3L2</t>
  </si>
  <si>
    <t>Q8IYB8_SUPV3L1</t>
  </si>
  <si>
    <t>Q8IYD1_GSPT2</t>
  </si>
  <si>
    <t>Q8IYI6_EXOC8</t>
  </si>
  <si>
    <t>Q8IYQ7_THNSL1</t>
  </si>
  <si>
    <t>Q8IYT4_KATNAL2</t>
  </si>
  <si>
    <t>Q8IZ41_RASEF</t>
  </si>
  <si>
    <t>Q8IZ69_TRMT2A</t>
  </si>
  <si>
    <t>Q8IZ83_ALDH16A1</t>
  </si>
  <si>
    <t>Q8IZP0-10_ABI1</t>
  </si>
  <si>
    <t>Q8IZV5_RDH10</t>
  </si>
  <si>
    <t>Q8N0U4_FAM185A</t>
  </si>
  <si>
    <t>Q8N0W3_FUK</t>
  </si>
  <si>
    <t>Q8N0X4_CLYBL</t>
  </si>
  <si>
    <t>Q8N0X7_SPG20</t>
  </si>
  <si>
    <t>Q8N129_CNPY4</t>
  </si>
  <si>
    <t>Q8N142_ADSSL1</t>
  </si>
  <si>
    <t>Q8N163_KIAA1967</t>
  </si>
  <si>
    <t>Q8N1B4_VPS52</t>
  </si>
  <si>
    <t>Q8N1F7_NUP93</t>
  </si>
  <si>
    <t>Q8N1G2_FTSJD2</t>
  </si>
  <si>
    <t>Q8N1G4_LRRC47</t>
  </si>
  <si>
    <t>Q8N1I0_DOCK4</t>
  </si>
  <si>
    <t>Q8N1N4_KRT78</t>
  </si>
  <si>
    <t>Q8N371_KDM8</t>
  </si>
  <si>
    <t>Q8N3D4_EHBP1L1</t>
  </si>
  <si>
    <t>Q8N3V7-2_SYNPO</t>
  </si>
  <si>
    <t>Q8N465_D2HGDH</t>
  </si>
  <si>
    <t>Q8N490-4_PNKD</t>
  </si>
  <si>
    <t>Q8N4C8-2_MINK1</t>
  </si>
  <si>
    <t>Q8N4J0_C9orf41</t>
  </si>
  <si>
    <t>Q8N4P3_HDDC3</t>
  </si>
  <si>
    <t>Q8N4Q0_ZADH2</t>
  </si>
  <si>
    <t>Q8N4Q1_CHCHD4</t>
  </si>
  <si>
    <t>Q8N4T8_CBR4</t>
  </si>
  <si>
    <t>Q8N573-2_OXR1</t>
  </si>
  <si>
    <t>Q8N5G2_TMEM57</t>
  </si>
  <si>
    <t>Q8N5M1_ATPAF2</t>
  </si>
  <si>
    <t>Q8N5N7_MRPL50</t>
  </si>
  <si>
    <t>Q8N5V2_NGEF</t>
  </si>
  <si>
    <t>Q8N5Z0_AADAT</t>
  </si>
  <si>
    <t>Q8N612_FAM160A2</t>
  </si>
  <si>
    <t>Q8N684-2_CPSF7</t>
  </si>
  <si>
    <t>Q8N6H7_ARFGAP2</t>
  </si>
  <si>
    <t>Q8N8N7_PTGR2</t>
  </si>
  <si>
    <t>Q8N8S7_ENAH</t>
  </si>
  <si>
    <t>Q8N999-3_C12orf29</t>
  </si>
  <si>
    <t>Q8N9L9_ACOT4</t>
  </si>
  <si>
    <t>Q8NB37_PDDC1</t>
  </si>
  <si>
    <t>Q8NBF2_NHLRC2</t>
  </si>
  <si>
    <t>Q8NBJ4-2_GOLM1</t>
  </si>
  <si>
    <t>Q8NBJ7_SUMF2</t>
  </si>
  <si>
    <t>Q8NBX0_SCCPDH</t>
  </si>
  <si>
    <t>Q8NC51-4_SERBP1</t>
  </si>
  <si>
    <t>Q8NC96_NECAP1</t>
  </si>
  <si>
    <t>Q8NCA5-2_FAM98A</t>
  </si>
  <si>
    <t>Q8NCC3_PLA2G15</t>
  </si>
  <si>
    <t>Q8NCN4_RNF169</t>
  </si>
  <si>
    <t>Q8NCN5_PDPR</t>
  </si>
  <si>
    <t>Q8NCW5_APOA1BP</t>
  </si>
  <si>
    <t>Q8ND24_RNF214</t>
  </si>
  <si>
    <t>Q8ND30_PPFIBP2</t>
  </si>
  <si>
    <t>Q8ND76-3_CCNY</t>
  </si>
  <si>
    <t>Q8NDH3-2_NPEPL1</t>
  </si>
  <si>
    <t>Q8NDI1-3_EHBP1</t>
  </si>
  <si>
    <t>Q8NE62_CHDH</t>
  </si>
  <si>
    <t>Q8NE71-2_ABCF1</t>
  </si>
  <si>
    <t>Q8NEB9_PIK3C3</t>
  </si>
  <si>
    <t>Q8NEZ5_FBXO22</t>
  </si>
  <si>
    <t>Q8NFC6_BOD1L1</t>
  </si>
  <si>
    <t>Q8NFF5-2_FLAD1</t>
  </si>
  <si>
    <t>Q8NFH3_NUP43</t>
  </si>
  <si>
    <t>Q8NFH4_NUP37</t>
  </si>
  <si>
    <t>Q8NFH8-4_REPS2</t>
  </si>
  <si>
    <t>Q8NFI3_ENGASE</t>
  </si>
  <si>
    <t>Q8NFQ8_TOR1AIP2</t>
  </si>
  <si>
    <t>Q8NFU3-4_TSTD1</t>
  </si>
  <si>
    <t>Q8NFU3_TSTD1</t>
  </si>
  <si>
    <t>Q8NFV4_ABHD11</t>
  </si>
  <si>
    <t>Q8NFW8_CMAS</t>
  </si>
  <si>
    <t>Q8NHG8_ZNRF2</t>
  </si>
  <si>
    <t>Q8NHH9-2_ATL2</t>
  </si>
  <si>
    <t>Q8NHM4_TRY6</t>
  </si>
  <si>
    <t>Q8NI08-2_NCOA7</t>
  </si>
  <si>
    <t>Q8NI27_THOC2</t>
  </si>
  <si>
    <t>Q8NI60_ADCK3</t>
  </si>
  <si>
    <t>Q8TAE8_GADD45GIP1</t>
  </si>
  <si>
    <t>Q8TAQ2-2_SMARCC2</t>
  </si>
  <si>
    <t>Q8TAT6_NPLOC4</t>
  </si>
  <si>
    <t>Q8TB03_CXorf38</t>
  </si>
  <si>
    <t>Q8TB22_SPATA20</t>
  </si>
  <si>
    <t>Q8TB45_DEPTOR</t>
  </si>
  <si>
    <t>Q8TBA6-2_GOLGA5</t>
  </si>
  <si>
    <t>Q8TBC4_UBA3</t>
  </si>
  <si>
    <t>Q8TBC5_ZSCAN18</t>
  </si>
  <si>
    <t>Q8TBG4-2_AGXT2L1</t>
  </si>
  <si>
    <t>Q8TBX8_PIP4K2C</t>
  </si>
  <si>
    <t>Q8TC07-2_TBC1D15</t>
  </si>
  <si>
    <t>Q8TC12_RDH11</t>
  </si>
  <si>
    <t>Q8TCD5_NT5C</t>
  </si>
  <si>
    <t>Q8TCE6-2_FAM45A</t>
  </si>
  <si>
    <t>Q8TCS8_PNPT1</t>
  </si>
  <si>
    <t>Q8TD16_BICD2</t>
  </si>
  <si>
    <t>Q8TD19_NEK9</t>
  </si>
  <si>
    <t>Q8TD30_GPT2</t>
  </si>
  <si>
    <t>Q8TDB6_DTX3L</t>
  </si>
  <si>
    <t>Q8TDD1_DDX54</t>
  </si>
  <si>
    <t>Q8TDH9-2_BLOC1S5</t>
  </si>
  <si>
    <t>Q8TDX5_ACMSD</t>
  </si>
  <si>
    <t>Q8TE04_PANK1</t>
  </si>
  <si>
    <t>Q8TE77_SSH3</t>
  </si>
  <si>
    <t>Q8TEA1_NSUN6</t>
  </si>
  <si>
    <t>Q8TEB1-2_DCAF11</t>
  </si>
  <si>
    <t>Q8TEH3_DENND1A</t>
  </si>
  <si>
    <t>Q8TEQ6_GEMIN5</t>
  </si>
  <si>
    <t>Q8TER5-4_ARHGEF40</t>
  </si>
  <si>
    <t>Q8TEW0-5_PARD3</t>
  </si>
  <si>
    <t>Q8TEX9_IPO4</t>
  </si>
  <si>
    <t>Q8TF65_GIPC2</t>
  </si>
  <si>
    <t>Q8TF74_WIPF2</t>
  </si>
  <si>
    <t>Q8WTS6_SETD7</t>
  </si>
  <si>
    <t>Q8WU39-3_MZB1</t>
  </si>
  <si>
    <t>Q8WU79-3_SMAP2</t>
  </si>
  <si>
    <t>Q8WU90_ZC3H15</t>
  </si>
  <si>
    <t>Q8WUA2_PPIL4</t>
  </si>
  <si>
    <t>Q8WUM4_PDCD6IP</t>
  </si>
  <si>
    <t>Q8WUR7_C15orf40</t>
  </si>
  <si>
    <t>Q8WUW1_BRK1</t>
  </si>
  <si>
    <t>Q8WUX9_CHMP7</t>
  </si>
  <si>
    <t>Q8WV28_BLNK</t>
  </si>
  <si>
    <t>Q8WV41_SNX33</t>
  </si>
  <si>
    <t>Q8WV74_NUDT8</t>
  </si>
  <si>
    <t>Q8WV99-2_ZFAND2B</t>
  </si>
  <si>
    <t>Q8WVB3_HEXDC</t>
  </si>
  <si>
    <t>Q8WVC0_LEO1</t>
  </si>
  <si>
    <t>Q8WVJ2_NUDCD2</t>
  </si>
  <si>
    <t>Q8WVM8_SCFD1</t>
  </si>
  <si>
    <t>Q8WVP5_TNFAIP8L1</t>
  </si>
  <si>
    <t>Q8WVT3_TRAPPC12</t>
  </si>
  <si>
    <t>Q8WVY7_UBLCP1</t>
  </si>
  <si>
    <t>Q8WW12_PCNP</t>
  </si>
  <si>
    <t>Q8WW59_SPRYD4</t>
  </si>
  <si>
    <t>Q8WWM7_ATXN2L</t>
  </si>
  <si>
    <t>Q8WWV3-2_RTN4IP1</t>
  </si>
  <si>
    <t>Q8WX92_NELFB</t>
  </si>
  <si>
    <t>Q8WXE0_CASKIN2</t>
  </si>
  <si>
    <t>Q8WXF1_PSPC1</t>
  </si>
  <si>
    <t>Q8WXH0_SYNE2</t>
  </si>
  <si>
    <t>Q8WXX5_DNAJC9</t>
  </si>
  <si>
    <t>Q8WY91-2_THAP4</t>
  </si>
  <si>
    <t>Q8WYK0_ACOT12</t>
  </si>
  <si>
    <t>Q8WYP5_AHCTF1</t>
  </si>
  <si>
    <t>Q8WZ42-5_TTN</t>
  </si>
  <si>
    <t>Q8WZ82_OVCA2</t>
  </si>
  <si>
    <t>Q8WZA0_LZIC</t>
  </si>
  <si>
    <t>Q8WZA9_IRGQ</t>
  </si>
  <si>
    <t>Q92499_DDX1</t>
  </si>
  <si>
    <t>Q92506_HSD17B8</t>
  </si>
  <si>
    <t>Q92526_CCT6B</t>
  </si>
  <si>
    <t>Q92538_GBF1</t>
  </si>
  <si>
    <t>Q92541_RTF1</t>
  </si>
  <si>
    <t>Q92552_MRPS27</t>
  </si>
  <si>
    <t>Q92556_ELMO1</t>
  </si>
  <si>
    <t>Q92572_AP3S1</t>
  </si>
  <si>
    <t>Q92575_UBXN4</t>
  </si>
  <si>
    <t>Q92576-2_PHF3</t>
  </si>
  <si>
    <t>Q92597_NDRG1</t>
  </si>
  <si>
    <t>Q92598-2_HSPH1</t>
  </si>
  <si>
    <t>Q92599-2_SEPT8</t>
  </si>
  <si>
    <t>Q92600_RQCD1</t>
  </si>
  <si>
    <t>Q92609_TBC1D5</t>
  </si>
  <si>
    <t>Q92614-4_MYO18A</t>
  </si>
  <si>
    <t>Q92615_LARP4B</t>
  </si>
  <si>
    <t>Q92616_GCN1L1</t>
  </si>
  <si>
    <t>Q92621_NUP205</t>
  </si>
  <si>
    <t>Q92665_MRPS31</t>
  </si>
  <si>
    <t>Q92667_AKAP1</t>
  </si>
  <si>
    <t>Q92688-2_ANP32B</t>
  </si>
  <si>
    <t>Q92696_RABGGTA</t>
  </si>
  <si>
    <t>Q92734-2_TFG</t>
  </si>
  <si>
    <t>Q92747_ARPC1A</t>
  </si>
  <si>
    <t>Q92766-3_RREB1</t>
  </si>
  <si>
    <t>Q92783-2_STAM</t>
  </si>
  <si>
    <t>Q92793_CREBBP</t>
  </si>
  <si>
    <t>Q92797_SYMPK</t>
  </si>
  <si>
    <t>Q92805_GOLGA1</t>
  </si>
  <si>
    <t>Q92820_GGH</t>
  </si>
  <si>
    <t>Q92841_DDX17</t>
  </si>
  <si>
    <t>Q92878_RAD50</t>
  </si>
  <si>
    <t>Q92879-5_CELF1</t>
  </si>
  <si>
    <t>Q92882_OSTF1</t>
  </si>
  <si>
    <t>Q92888-2_ARHGEF1</t>
  </si>
  <si>
    <t>Q92890-3_UFD1L</t>
  </si>
  <si>
    <t>Q92900-2_UPF1</t>
  </si>
  <si>
    <t>Q92905_COPS5</t>
  </si>
  <si>
    <t>Q92917_GPKOW</t>
  </si>
  <si>
    <t>Q92934_BAD</t>
  </si>
  <si>
    <t>Q92945_KHSRP</t>
  </si>
  <si>
    <t>Q92947_GCDH</t>
  </si>
  <si>
    <t>Q92973-2_TNPO1</t>
  </si>
  <si>
    <t>Q93008-1_USP9X</t>
  </si>
  <si>
    <t>Q93034_CUL5</t>
  </si>
  <si>
    <t>Q93052_LPP</t>
  </si>
  <si>
    <t>Q93073-2_SECISBP2L</t>
  </si>
  <si>
    <t>Q93077_HIST1H2AC</t>
  </si>
  <si>
    <t>Q93088_BHMT</t>
  </si>
  <si>
    <t>Q93096_PTP4A1</t>
  </si>
  <si>
    <t>Q93099_HGD</t>
  </si>
  <si>
    <t>Q93100-4_PHKB</t>
  </si>
  <si>
    <t>Q969E4_TCEAL3</t>
  </si>
  <si>
    <t>Q969G6_RFK</t>
  </si>
  <si>
    <t>Q969H8_C19orf10</t>
  </si>
  <si>
    <t>Q969I3_GLYATL1</t>
  </si>
  <si>
    <t>Q969Q0_RPL36AL</t>
  </si>
  <si>
    <t>Q969S9-2_GFM2</t>
  </si>
  <si>
    <t>Q969Z0_TBRG4</t>
  </si>
  <si>
    <t>Q969Z3_MARC2</t>
  </si>
  <si>
    <t>Q96A49_SYAP1</t>
  </si>
  <si>
    <t>Q96A65_EXOC4</t>
  </si>
  <si>
    <t>Q96AB3_ISOC2</t>
  </si>
  <si>
    <t>Q96AC1_FERMT2</t>
  </si>
  <si>
    <t>Q96AE4-2_FUBP1</t>
  </si>
  <si>
    <t>Q96AG4_LRRC59</t>
  </si>
  <si>
    <t>Q96AT1_KIAA1143</t>
  </si>
  <si>
    <t>Q96B36_AKT1S1</t>
  </si>
  <si>
    <t>Q96B45_C10orf32</t>
  </si>
  <si>
    <t>Q96B54_ZNF428</t>
  </si>
  <si>
    <t>Q96B97_SH3KBP1</t>
  </si>
  <si>
    <t>Q96BN8_FAM105B</t>
  </si>
  <si>
    <t>Q96BP2_CHCHD1</t>
  </si>
  <si>
    <t>Q96BP3_PPWD1</t>
  </si>
  <si>
    <t>Q96BR5_SELRC1</t>
  </si>
  <si>
    <t>Q96BW5-2_PTER</t>
  </si>
  <si>
    <t>Q96BY7_ATG2B</t>
  </si>
  <si>
    <t>Q96C01_FAM136A</t>
  </si>
  <si>
    <t>Q96C11_FGGY</t>
  </si>
  <si>
    <t>Q96C19_EFHD2</t>
  </si>
  <si>
    <t>Q96C23_GALM</t>
  </si>
  <si>
    <t>Q96C24_SYTL4</t>
  </si>
  <si>
    <t>Q96C86_DCPS</t>
  </si>
  <si>
    <t>Q96CF2_CHMP4C</t>
  </si>
  <si>
    <t>Q96CN7_ISOC1</t>
  </si>
  <si>
    <t>Q96CP2_FLYWCH2</t>
  </si>
  <si>
    <t>Q96CS3_FAF2</t>
  </si>
  <si>
    <t>Q96CT7_CCDC124</t>
  </si>
  <si>
    <t>Q96CV9_OPTN</t>
  </si>
  <si>
    <t>Q96CW1-2_AP2M1</t>
  </si>
  <si>
    <t>Q96CW5-3_TUBGCP3</t>
  </si>
  <si>
    <t>Q96CX2_KCTD12</t>
  </si>
  <si>
    <t>Q96D46_NMD3</t>
  </si>
  <si>
    <t>Q96D71-2_REPS1</t>
  </si>
  <si>
    <t>Q96DC8_ECHDC3</t>
  </si>
  <si>
    <t>Q96DE0_NUDT16</t>
  </si>
  <si>
    <t>Q96DG6_CMBL</t>
  </si>
  <si>
    <t>Q96DR7_ARHGEF26</t>
  </si>
  <si>
    <t>Q96DV4_MRPL38</t>
  </si>
  <si>
    <t>Q96E11-3_MRRF</t>
  </si>
  <si>
    <t>Q96E39_RBMXL1</t>
  </si>
  <si>
    <t>Q96EB1_ELP4</t>
  </si>
  <si>
    <t>Q96ED9-2_HOOK2</t>
  </si>
  <si>
    <t>Q96EI5_TCEAL4</t>
  </si>
  <si>
    <t>Q96EK6_GNPNAT1</t>
  </si>
  <si>
    <t>Q96EM0_L3HYPDH</t>
  </si>
  <si>
    <t>Q96EN8_MOCOS</t>
  </si>
  <si>
    <t>Q96EP5-2_DAZAP1</t>
  </si>
  <si>
    <t>Q96EV2_RBM33</t>
  </si>
  <si>
    <t>Q96EV8_DTNBP1</t>
  </si>
  <si>
    <t>Q96EY7_PTCD3</t>
  </si>
  <si>
    <t>Q96EY8_MMAB</t>
  </si>
  <si>
    <t>Q96F10_SAT2</t>
  </si>
  <si>
    <t>Q96F24-2_NRBF2</t>
  </si>
  <si>
    <t>Q96FJ2_DYNLL2</t>
  </si>
  <si>
    <t>Q96FV2_SCRN2</t>
  </si>
  <si>
    <t>Q96FV9_THOC1</t>
  </si>
  <si>
    <t>Q96G03_PGM2</t>
  </si>
  <si>
    <t>Q96G46_DUS3L</t>
  </si>
  <si>
    <t>Q96GA7_SDSL</t>
  </si>
  <si>
    <t>Q96GD0_PDXP</t>
  </si>
  <si>
    <t>Q96GE6_CALML4</t>
  </si>
  <si>
    <t>Q96GF1_RNF185</t>
  </si>
  <si>
    <t>Q96GG9_DCUN1D1</t>
  </si>
  <si>
    <t>Q96GK7_FAHD2A</t>
  </si>
  <si>
    <t>Q96GS4_C17orf59</t>
  </si>
  <si>
    <t>Q96GW9_MARS2</t>
  </si>
  <si>
    <t>Q96GX9_APIP</t>
  </si>
  <si>
    <t>Q96H20_SNF8</t>
  </si>
  <si>
    <t>Q96HC4_PDLIM5</t>
  </si>
  <si>
    <t>Q96HD9_ACY3</t>
  </si>
  <si>
    <t>Q96HE7_ERO1L</t>
  </si>
  <si>
    <t>Q96HJ9-2_C7orf55</t>
  </si>
  <si>
    <t>Q96HJ9_C7orf55</t>
  </si>
  <si>
    <t>Q96HP4_OXNAD1</t>
  </si>
  <si>
    <t>Q96HQ2-2_CDKN2AIPNL</t>
  </si>
  <si>
    <t>Q96HR9_REEP6</t>
  </si>
  <si>
    <t>Q96HS1_PGAM5</t>
  </si>
  <si>
    <t>Q96HY6-2_DDRGK1</t>
  </si>
  <si>
    <t>Q96HY7_DHTKD1</t>
  </si>
  <si>
    <t>Q96I15_SCLY</t>
  </si>
  <si>
    <t>Q96I23_PYURF</t>
  </si>
  <si>
    <t>Q96I24_FUBP3</t>
  </si>
  <si>
    <t>Q96I25_RBM17</t>
  </si>
  <si>
    <t>Q96I51_WBSCR16</t>
  </si>
  <si>
    <t>Q96I59_NARS2</t>
  </si>
  <si>
    <t>Q96I99_SUCLG2</t>
  </si>
  <si>
    <t>Q96IJ6_GMPPA</t>
  </si>
  <si>
    <t>Q96IU4_ABHD14B</t>
  </si>
  <si>
    <t>Q96IV0-3_NGLY1</t>
  </si>
  <si>
    <t>Q96IZ0_PAWR</t>
  </si>
  <si>
    <t>Q96JB2_COG3</t>
  </si>
  <si>
    <t>Q96JB5-2_CDK5RAP3</t>
  </si>
  <si>
    <t>Q96JE7_SEC16B</t>
  </si>
  <si>
    <t>Q96JG6-3_CCDC132</t>
  </si>
  <si>
    <t>Q96JH7_VCPIP1</t>
  </si>
  <si>
    <t>Q96JQ2_CLMN</t>
  </si>
  <si>
    <t>Q96JY6_PDLIM2</t>
  </si>
  <si>
    <t>Q96KC8_DNAJC1</t>
  </si>
  <si>
    <t>Q96KG9-3_SCYL1</t>
  </si>
  <si>
    <t>Q96KP1_EXOC2</t>
  </si>
  <si>
    <t>Q96KP4_CNDP2</t>
  </si>
  <si>
    <t>Q96KR1_ZFR</t>
  </si>
  <si>
    <t>Q96L92_SNX27</t>
  </si>
  <si>
    <t>Q96LD8_SENP8</t>
  </si>
  <si>
    <t>Q96LJ7_DHRS1</t>
  </si>
  <si>
    <t>Q96M20-2_CNBD2</t>
  </si>
  <si>
    <t>Q96M27_PRRC1</t>
  </si>
  <si>
    <t>Q96ME1-4_FBXL18</t>
  </si>
  <si>
    <t>Q96MH2_HEXIM2</t>
  </si>
  <si>
    <t>Q96MU7-2_YTHDC1</t>
  </si>
  <si>
    <t>Q96MX6-2_WDR92</t>
  </si>
  <si>
    <t>Q96N76_UROC1</t>
  </si>
  <si>
    <t>Q96NA2_RILP</t>
  </si>
  <si>
    <t>Q96NC0_ZMAT2</t>
  </si>
  <si>
    <t>Q96NJ6_ZFP3</t>
  </si>
  <si>
    <t>Q96NU7_AMDHD1</t>
  </si>
  <si>
    <t>Q96P16-3_RPRD1A</t>
  </si>
  <si>
    <t>Q96P70_IPO9</t>
  </si>
  <si>
    <t>Q96PE7_MCEE</t>
  </si>
  <si>
    <t>Q96PK6_RBM14</t>
  </si>
  <si>
    <t>Q96PM5-3_RCHY1</t>
  </si>
  <si>
    <t>Q96PU8-5_QKI</t>
  </si>
  <si>
    <t>Q96Q05-3_TRAPPC9</t>
  </si>
  <si>
    <t>Q96Q06-2_PLIN4</t>
  </si>
  <si>
    <t>Q96Q11-2_TRNT1</t>
  </si>
  <si>
    <t>Q96QC0_PPP1R10</t>
  </si>
  <si>
    <t>Q96QG7_MTMR9</t>
  </si>
  <si>
    <t>Q96QK1_VPS35</t>
  </si>
  <si>
    <t>Q96QR8_PURB</t>
  </si>
  <si>
    <t>Q96QZ7-7_MAGI1</t>
  </si>
  <si>
    <t>Q96RE7_NACC1</t>
  </si>
  <si>
    <t>Q96RF0-2_SNX18</t>
  </si>
  <si>
    <t>Q96RP9_GFM1</t>
  </si>
  <si>
    <t>Q96RQ3_MCCC1</t>
  </si>
  <si>
    <t>Q96RS6-3_NUDCD1</t>
  </si>
  <si>
    <t>Q96RW7-2_HMCN1</t>
  </si>
  <si>
    <t>Q96S19_C16orf13</t>
  </si>
  <si>
    <t>Q96S44_TP53RK</t>
  </si>
  <si>
    <t>Q96S66-4_CLCC1</t>
  </si>
  <si>
    <t>Q96ST2-2_IWS1</t>
  </si>
  <si>
    <t>Q96ST3_SIN3A</t>
  </si>
  <si>
    <t>Q96SU4-7_OSBPL9</t>
  </si>
  <si>
    <t>Q96SZ5_ADO</t>
  </si>
  <si>
    <t>Q96T37-2_RBM15</t>
  </si>
  <si>
    <t>Q96T51_RUFY1</t>
  </si>
  <si>
    <t>Q96T58_SPEN</t>
  </si>
  <si>
    <t>Q96T76_MMS19</t>
  </si>
  <si>
    <t>Q99417_MYCBP</t>
  </si>
  <si>
    <t>Q99424_ACOX2</t>
  </si>
  <si>
    <t>Q99426_TBCB</t>
  </si>
  <si>
    <t>Q99436_PSMB7</t>
  </si>
  <si>
    <t>Q99447-3_PCYT2</t>
  </si>
  <si>
    <t>Q99459_CDC5L</t>
  </si>
  <si>
    <t>Q99460_PSMD1</t>
  </si>
  <si>
    <t>Q99471_PFDN5</t>
  </si>
  <si>
    <t>Q99487_PAFAH2</t>
  </si>
  <si>
    <t>Q99489_DDO</t>
  </si>
  <si>
    <t>Q99497_PARK7</t>
  </si>
  <si>
    <t>Q99536_VAT1</t>
  </si>
  <si>
    <t>Q99543_DNAJC2</t>
  </si>
  <si>
    <t>Q99567_NUP88</t>
  </si>
  <si>
    <t>Q99569-2_PKP4</t>
  </si>
  <si>
    <t>Q99570_PIK3R4</t>
  </si>
  <si>
    <t>Q99575_POP1</t>
  </si>
  <si>
    <t>Q99584_S100A13</t>
  </si>
  <si>
    <t>Q99590-2_SCAF11</t>
  </si>
  <si>
    <t>Q99598_TSNAX</t>
  </si>
  <si>
    <t>Q99611_SEPHS2</t>
  </si>
  <si>
    <t>Q99614_TTC1</t>
  </si>
  <si>
    <t>Q99615_DNAJC7</t>
  </si>
  <si>
    <t>Q99627-2_COPS8</t>
  </si>
  <si>
    <t>Q99685_MGLL</t>
  </si>
  <si>
    <t>Q99707_MTR</t>
  </si>
  <si>
    <t>Q99714_HSD17B10</t>
  </si>
  <si>
    <t>Q99733_NAP1L4</t>
  </si>
  <si>
    <t>Q99757_TXN2</t>
  </si>
  <si>
    <t>Q99766_ATP5S</t>
  </si>
  <si>
    <t>Q99797_MIPEP</t>
  </si>
  <si>
    <t>Q99798_ACO2</t>
  </si>
  <si>
    <t>Q99807-2_COQ7</t>
  </si>
  <si>
    <t>Q99832_CCT7</t>
  </si>
  <si>
    <t>Q99836_MYD88</t>
  </si>
  <si>
    <t>Q99880_HIST1H2BL</t>
  </si>
  <si>
    <t>Q99933-4_BAG1</t>
  </si>
  <si>
    <t>Q99942_RNF5</t>
  </si>
  <si>
    <t>Q99952_PTPN18</t>
  </si>
  <si>
    <t>Q99959-2_PKP2</t>
  </si>
  <si>
    <t>Q99961_SH3GL1</t>
  </si>
  <si>
    <t>Q99969_RARRES2</t>
  </si>
  <si>
    <t>Q99996-5_AKAP9</t>
  </si>
  <si>
    <t>Q9BPW8_NIPSNAP1</t>
  </si>
  <si>
    <t>Q9BPX5_ARPC5L</t>
  </si>
  <si>
    <t>Q9BQ52_ELAC2</t>
  </si>
  <si>
    <t>Q9BQ61_C19orf43</t>
  </si>
  <si>
    <t>Q9BQ69_MACROD1</t>
  </si>
  <si>
    <t>Q9BQE3_TUBA1C</t>
  </si>
  <si>
    <t>Q9BQE5_APOL2</t>
  </si>
  <si>
    <t>Q9BQG0_MYBBP1A</t>
  </si>
  <si>
    <t>Q9BQG2_NUDT12</t>
  </si>
  <si>
    <t>Q9BQK8_LPIN3</t>
  </si>
  <si>
    <t>Q9BQS8_FYCO1</t>
  </si>
  <si>
    <t>Q9BR61_ACBD6</t>
  </si>
  <si>
    <t>Q9BR76_CORO1B</t>
  </si>
  <si>
    <t>Q9BRA2_TXNDC17</t>
  </si>
  <si>
    <t>Q9BRF8_CPPED1</t>
  </si>
  <si>
    <t>Q9BRG1_VPS25</t>
  </si>
  <si>
    <t>Q9BRK5_SDF4</t>
  </si>
  <si>
    <t>Q9BRP4_PAAF1</t>
  </si>
  <si>
    <t>Q9BRP8-2_WIBG</t>
  </si>
  <si>
    <t>Q9BRT3_MIEN1</t>
  </si>
  <si>
    <t>Q9BRX2_PELO</t>
  </si>
  <si>
    <t>Q9BRZ2_TRIM56</t>
  </si>
  <si>
    <t>Q9BS26_ERP44</t>
  </si>
  <si>
    <t>Q9BSE5_AGMAT</t>
  </si>
  <si>
    <t>Q9BSH4_TACO1</t>
  </si>
  <si>
    <t>Q9BSH5_HDHD3</t>
  </si>
  <si>
    <t>Q9BSJ5-3_C17orf80</t>
  </si>
  <si>
    <t>Q9BSJ8_ESYT1</t>
  </si>
  <si>
    <t>Q9BST9-3_RTKN</t>
  </si>
  <si>
    <t>Q9BSY4_CHCHD5</t>
  </si>
  <si>
    <t>Q9BT09_CNPY3</t>
  </si>
  <si>
    <t>Q9BT30_ALKBH7</t>
  </si>
  <si>
    <t>Q9BT73_PSMG3</t>
  </si>
  <si>
    <t>Q9BT78_COPS4</t>
  </si>
  <si>
    <t>Q9BTC0_DIDO1</t>
  </si>
  <si>
    <t>Q9BTE3-2_MCMBP</t>
  </si>
  <si>
    <t>Q9BTE6_AARSD1</t>
  </si>
  <si>
    <t>Q9BTL3_FAM103A1</t>
  </si>
  <si>
    <t>Q9BTT0-3_ANP32E</t>
  </si>
  <si>
    <t>Q9BTW9_TBCD</t>
  </si>
  <si>
    <t>Q9BTX7_TTPAL</t>
  </si>
  <si>
    <t>Q9BTY2_FUCA2</t>
  </si>
  <si>
    <t>Q9BTY7_FAM203A</t>
  </si>
  <si>
    <t>Q9BTZ2_DHRS4</t>
  </si>
  <si>
    <t>Q9BU89_DOHH</t>
  </si>
  <si>
    <t>Q9BUE6_ISCA1</t>
  </si>
  <si>
    <t>Q9BUH6_C9orf142</t>
  </si>
  <si>
    <t>Q9BUJ2-2_HNRNPUL1</t>
  </si>
  <si>
    <t>Q9BUP0_EFHD1</t>
  </si>
  <si>
    <t>Q9BUQ8_DDX23</t>
  </si>
  <si>
    <t>Q9BUT1_BDH2</t>
  </si>
  <si>
    <t>Q9BUT9_FAM195A</t>
  </si>
  <si>
    <t>Q9BV19_C1orf50</t>
  </si>
  <si>
    <t>Q9BV20_MRI1</t>
  </si>
  <si>
    <t>Q9BV44_THUMPD3</t>
  </si>
  <si>
    <t>Q9BV57_ADI1</t>
  </si>
  <si>
    <t>Q9BV79_MECR</t>
  </si>
  <si>
    <t>Q9BV86_NTMT1</t>
  </si>
  <si>
    <t>Q9BVG4_PBDC1</t>
  </si>
  <si>
    <t>Q9BVJ7_DUSP23</t>
  </si>
  <si>
    <t>Q9BVL4_SELO</t>
  </si>
  <si>
    <t>Q9BVM4_GGACT</t>
  </si>
  <si>
    <t>Q9BVS5_TRMT61B</t>
  </si>
  <si>
    <t>Q9BW61_DDA1</t>
  </si>
  <si>
    <t>Q9BW71-2_HIRIP3</t>
  </si>
  <si>
    <t>Q9BW83_IFT27</t>
  </si>
  <si>
    <t>Q9BW85_CCDC94</t>
  </si>
  <si>
    <t>Q9BW91-2_NUDT9</t>
  </si>
  <si>
    <t>Q9BW92_TARS2</t>
  </si>
  <si>
    <t>Q9BWD1_ACAT2</t>
  </si>
  <si>
    <t>Q9BWE0_REPIN1</t>
  </si>
  <si>
    <t>Q9BWF3-4_RBM4</t>
  </si>
  <si>
    <t>Q9BWU0_SLC4A1AP</t>
  </si>
  <si>
    <t>Q9BX66-9_SORBS1</t>
  </si>
  <si>
    <t>Q9BX68_HINT2</t>
  </si>
  <si>
    <t>Q9BXI6_TBC1D10A</t>
  </si>
  <si>
    <t>Q9BXJ9_NAA15</t>
  </si>
  <si>
    <t>Q9BXK5_BCL2L13</t>
  </si>
  <si>
    <t>Q9BXP5-5_SRRT</t>
  </si>
  <si>
    <t>Q9BXR0_QTRT1</t>
  </si>
  <si>
    <t>Q9BXS6-7_NUSAP1</t>
  </si>
  <si>
    <t>Q9BXU1-3_STK31</t>
  </si>
  <si>
    <t>Q9BXV9_C14orf142</t>
  </si>
  <si>
    <t>Q9BXW7-2_CECR5</t>
  </si>
  <si>
    <t>Q9BY32_ITPA</t>
  </si>
  <si>
    <t>Q9BY42_RTFDC1</t>
  </si>
  <si>
    <t>Q9BY43_CHMP4A</t>
  </si>
  <si>
    <t>Q9BY49_PECR</t>
  </si>
  <si>
    <t>Q9BY89_KIAA1671</t>
  </si>
  <si>
    <t>Q9BYD6_MRPL1</t>
  </si>
  <si>
    <t>Q9BYN8_MRPS26</t>
  </si>
  <si>
    <t>Q9BYT8_NLN</t>
  </si>
  <si>
    <t>Q9BYV1_AGXT2</t>
  </si>
  <si>
    <t>Q9BYV7-4_BCO2</t>
  </si>
  <si>
    <t>Q9BZ23-3_PANK2</t>
  </si>
  <si>
    <t>Q9BZE2_PUS3</t>
  </si>
  <si>
    <t>Q9BZE9_ASPSCR1</t>
  </si>
  <si>
    <t>Q9BZG8-3_DPH1</t>
  </si>
  <si>
    <t>Q9BZH6_WDR11</t>
  </si>
  <si>
    <t>Q9BZI7-2_UPF3B</t>
  </si>
  <si>
    <t>Q9BZK7_TBL1XR1</t>
  </si>
  <si>
    <t>Q9BZL1_UBL5</t>
  </si>
  <si>
    <t>Q9BZL4_PPP1R12C</t>
  </si>
  <si>
    <t>Q9BZZ5-2_API5</t>
  </si>
  <si>
    <t>Q9C005_DPY30</t>
  </si>
  <si>
    <t>Q9C040_TRIM2</t>
  </si>
  <si>
    <t>Q9C0B0_UNK</t>
  </si>
  <si>
    <t>Q9C0B1_FTO</t>
  </si>
  <si>
    <t>Q9C0B5-2_ZDHHC5</t>
  </si>
  <si>
    <t>Q9C0C2_TNKS1BP1</t>
  </si>
  <si>
    <t>Q9C0C9_UBE2O</t>
  </si>
  <si>
    <t>Q9C0H9-5_SRCIN1</t>
  </si>
  <si>
    <t>Q9C0I1_MTMR12</t>
  </si>
  <si>
    <t>Q9C0J8_WDR33</t>
  </si>
  <si>
    <t>Q9GZP4_PITHD1</t>
  </si>
  <si>
    <t>Q9GZQ3_COMMD5</t>
  </si>
  <si>
    <t>Q9GZT3-2_SLIRP</t>
  </si>
  <si>
    <t>Q9GZT8-2_NIF3L1</t>
  </si>
  <si>
    <t>Q9GZT9-2_EGLN1</t>
  </si>
  <si>
    <t>Q9GZU8_FAM192A</t>
  </si>
  <si>
    <t>Q9GZZ9_UBA5</t>
  </si>
  <si>
    <t>Q9H008_LHPP</t>
  </si>
  <si>
    <t>Q9H074_PAIP1</t>
  </si>
  <si>
    <t>Q9H098_FAM107B</t>
  </si>
  <si>
    <t>Q9H0C8_ILKAP</t>
  </si>
  <si>
    <t>Q9H0D6_XRN2</t>
  </si>
  <si>
    <t>Q9H0E2_TOLLIP</t>
  </si>
  <si>
    <t>Q9H0F6_SHARPIN</t>
  </si>
  <si>
    <t>Q9H0G5_NSRP1</t>
  </si>
  <si>
    <t>Q9H0L4_CSTF2T</t>
  </si>
  <si>
    <t>Q9H0P0-1_NT5C3A</t>
  </si>
  <si>
    <t>Q9H0R6_QRSL1</t>
  </si>
  <si>
    <t>Q9H0U4_RAB1B</t>
  </si>
  <si>
    <t>Q9H0W9_C11orf54</t>
  </si>
  <si>
    <t>Q9H1E3_NUCKS1</t>
  </si>
  <si>
    <t>Q9H1H9-3_KIF13A</t>
  </si>
  <si>
    <t>Q9H1J1-2_UPF3A</t>
  </si>
  <si>
    <t>Q9H1K0_ZFYVE20</t>
  </si>
  <si>
    <t>Q9H1K1_ISCU</t>
  </si>
  <si>
    <t>Q9H1P3-2_OSBPL2</t>
  </si>
  <si>
    <t>Q9H1Y0_ATG5</t>
  </si>
  <si>
    <t>Q9H1Z4_WDR13</t>
  </si>
  <si>
    <t>Q9H227_GBA3</t>
  </si>
  <si>
    <t>Q9H267_VPS33B</t>
  </si>
  <si>
    <t>Q9H2A2_ALDH8A1</t>
  </si>
  <si>
    <t>Q9H2D6-5_TRIOBP</t>
  </si>
  <si>
    <t>Q9H2G2-2_SLK</t>
  </si>
  <si>
    <t>Q9H2H8_PPIL3</t>
  </si>
  <si>
    <t>Q9H2M3_BHMT2</t>
  </si>
  <si>
    <t>Q9H2M9_RAB3GAP2</t>
  </si>
  <si>
    <t>Q9H2P0_ADNP</t>
  </si>
  <si>
    <t>Q9H2U1-3_DHX36</t>
  </si>
  <si>
    <t>Q9H2U2_PPA2</t>
  </si>
  <si>
    <t>Q9H2W6_MRPL46</t>
  </si>
  <si>
    <t>Q9H307_PNN</t>
  </si>
  <si>
    <t>Q9H3G5_CPVL</t>
  </si>
  <si>
    <t>Q9H3H3_C11orf68</t>
  </si>
  <si>
    <t>Q9H3K6_BOLA2</t>
  </si>
  <si>
    <t>Q9H3N1_TMX1</t>
  </si>
  <si>
    <t>Q9H3P2_NELFA</t>
  </si>
  <si>
    <t>Q9H3P7_ACBD3</t>
  </si>
  <si>
    <t>Q9H3S7_PTPN23</t>
  </si>
  <si>
    <t>Q9H3U1-2_UNC45A</t>
  </si>
  <si>
    <t>Q9H3Y8_PPDPF</t>
  </si>
  <si>
    <t>Q9H400-2_LIME1</t>
  </si>
  <si>
    <t>Q9H444_CHMP4B</t>
  </si>
  <si>
    <t>Q9H479_FN3K</t>
  </si>
  <si>
    <t>Q9H488_POFUT1</t>
  </si>
  <si>
    <t>Q9H4A4_RNPEP</t>
  </si>
  <si>
    <t>Q9H4B0_OSGEPL1</t>
  </si>
  <si>
    <t>Q9H4I2_ZHX3</t>
  </si>
  <si>
    <t>Q9H4M9_EHD1</t>
  </si>
  <si>
    <t>Q9H5N1_RABEP2</t>
  </si>
  <si>
    <t>Q9H5Q4_TFB2M</t>
  </si>
  <si>
    <t>Q9H5X1_FAM96A</t>
  </si>
  <si>
    <t>Q9H6Q4-3_NARFL</t>
  </si>
  <si>
    <t>Q9H6R3_ACSS3</t>
  </si>
  <si>
    <t>Q9H6S3_EPS8L2</t>
  </si>
  <si>
    <t>Q9H6T0-2_ESRP2</t>
  </si>
  <si>
    <t>Q9H6U6-6_BCAS3</t>
  </si>
  <si>
    <t>Q9H773_DCTPP1</t>
  </si>
  <si>
    <t>Q9H788_SH2D4A</t>
  </si>
  <si>
    <t>Q9H7C9_AAMDC</t>
  </si>
  <si>
    <t>Q9H7D0_DOCK5</t>
  </si>
  <si>
    <t>Q9H7E2-3_TDRD3</t>
  </si>
  <si>
    <t>Q9H7N4_SCAF1</t>
  </si>
  <si>
    <t>Q9H7Z6_KAT8</t>
  </si>
  <si>
    <t>Q9H7Z7_PTGES2</t>
  </si>
  <si>
    <t>Q9H814_PHAX</t>
  </si>
  <si>
    <t>Q9H832_UBE2Z</t>
  </si>
  <si>
    <t>Q9H845_ACAD9</t>
  </si>
  <si>
    <t>Q9H8M7_FAM188A</t>
  </si>
  <si>
    <t>Q9H8S9_MOB1A</t>
  </si>
  <si>
    <t>Q9H8U3_ZFAND3</t>
  </si>
  <si>
    <t>Q9H8W4_PLEKHF2</t>
  </si>
  <si>
    <t>Q9H8Y8_GORASP2</t>
  </si>
  <si>
    <t>Q9H974_QTRTD1</t>
  </si>
  <si>
    <t>Q9H993_C6orf211</t>
  </si>
  <si>
    <t>Q9H999_PANK3</t>
  </si>
  <si>
    <t>Q9H9A5-2_CNOT10</t>
  </si>
  <si>
    <t>Q9H9A6_LRRC40</t>
  </si>
  <si>
    <t>Q9H9B1-4_EHMT1</t>
  </si>
  <si>
    <t>Q9H9C1-2_VIPAS39</t>
  </si>
  <si>
    <t>Q9H9E3_COG4</t>
  </si>
  <si>
    <t>Q9H9G7-2_AGO3</t>
  </si>
  <si>
    <t>Q9H9J2_MRPL44</t>
  </si>
  <si>
    <t>Q9H9Q2-2_COPS7B</t>
  </si>
  <si>
    <t>Q9H9S4_CAB39L</t>
  </si>
  <si>
    <t>Q9H9T3-2_ELP3</t>
  </si>
  <si>
    <t>Q9HA64_FN3KRP</t>
  </si>
  <si>
    <t>Q9HA65_TBC1D17</t>
  </si>
  <si>
    <t>Q9HA77_CARS2</t>
  </si>
  <si>
    <t>Q9HAB8_PPCS</t>
  </si>
  <si>
    <t>Q9HAC7-4_C7orf10</t>
  </si>
  <si>
    <t>Q9HAN9_NMNAT1</t>
  </si>
  <si>
    <t>Q9HAP2_MLXIP</t>
  </si>
  <si>
    <t>Q9HAT2_SIAE</t>
  </si>
  <si>
    <t>Q9HAU0_PLEKHA5</t>
  </si>
  <si>
    <t>Q9HAU5_UPF2</t>
  </si>
  <si>
    <t>Q9HAV7_GRPEL1</t>
  </si>
  <si>
    <t>Q9HB07_C12orf10</t>
  </si>
  <si>
    <t>Q9HB71_CACYBP</t>
  </si>
  <si>
    <t>Q9HB90_RRAGC</t>
  </si>
  <si>
    <t>Q9HBF4-2_ZFYVE1</t>
  </si>
  <si>
    <t>Q9HBH1_PDF</t>
  </si>
  <si>
    <t>Q9HBK9_AS3MT</t>
  </si>
  <si>
    <t>Q9HBL8_NMRAL1</t>
  </si>
  <si>
    <t>Q9HC35_EML4</t>
  </si>
  <si>
    <t>Q9HC38-2_GLOD4</t>
  </si>
  <si>
    <t>Q9HCB6_SPON1</t>
  </si>
  <si>
    <t>Q9HCC0_MCCC2</t>
  </si>
  <si>
    <t>Q9HCE5_METTL14</t>
  </si>
  <si>
    <t>Q9HCE6-3_ARHGEF10L</t>
  </si>
  <si>
    <t>Q9HCN4-3_GPN1</t>
  </si>
  <si>
    <t>Q9HCN8_SDF2L1</t>
  </si>
  <si>
    <t>Q9HD15_SRA1</t>
  </si>
  <si>
    <t>Q9HD26-2_GOPC</t>
  </si>
  <si>
    <t>Q9HD33-2_MRPL47</t>
  </si>
  <si>
    <t>Q9HD40_SEPSECS</t>
  </si>
  <si>
    <t>Q9HD42_CHMP1A</t>
  </si>
  <si>
    <t>Q9HD89_RETN</t>
  </si>
  <si>
    <t>Q9HDC5_JPH1</t>
  </si>
  <si>
    <t>Q9NP61_ARFGAP3</t>
  </si>
  <si>
    <t>Q9NP71-4_MLXIPL</t>
  </si>
  <si>
    <t>Q9NP72_RAB18</t>
  </si>
  <si>
    <t>Q9NP74_PALMD</t>
  </si>
  <si>
    <t>Q9NP79_VTA1</t>
  </si>
  <si>
    <t>Q9NP97_DYNLRB1</t>
  </si>
  <si>
    <t>Q9NPA8-2_ENY2</t>
  </si>
  <si>
    <t>Q9NPD3_EXOSC4</t>
  </si>
  <si>
    <t>Q9NPF4_OSGEP</t>
  </si>
  <si>
    <t>Q9NPH0_ACP6</t>
  </si>
  <si>
    <t>Q9NPJ3_ACOT13</t>
  </si>
  <si>
    <t>Q9NPJ6-2_MED4</t>
  </si>
  <si>
    <t>Q9NPQ8-2_RIC8A</t>
  </si>
  <si>
    <t>Q9NQ88_TIGAR</t>
  </si>
  <si>
    <t>Q9NQ94-2_A1CF</t>
  </si>
  <si>
    <t>Q9NQG5_RPRD1B</t>
  </si>
  <si>
    <t>Q9NQH7-2_XPNPEP3</t>
  </si>
  <si>
    <t>Q9NQP4_PFDN4</t>
  </si>
  <si>
    <t>Q9NQR4_NIT2</t>
  </si>
  <si>
    <t>Q9NQS1_AVEN</t>
  </si>
  <si>
    <t>Q9NQT8_KIF13B</t>
  </si>
  <si>
    <t>Q9NQW7-3_XPNPEP1</t>
  </si>
  <si>
    <t>Q9NQX3_GPHN</t>
  </si>
  <si>
    <t>Q9NR09_BIRC6</t>
  </si>
  <si>
    <t>Q9NR19_ACSS2</t>
  </si>
  <si>
    <t>Q9NR28-2_DIABLO</t>
  </si>
  <si>
    <t>Q9NR31_SAR1A</t>
  </si>
  <si>
    <t>Q9NR33_POLE4</t>
  </si>
  <si>
    <t>Q9NR45_NANS</t>
  </si>
  <si>
    <t>Q9NR46_SH3GLB2</t>
  </si>
  <si>
    <t>Q9NR50_EIF2B3</t>
  </si>
  <si>
    <t>Q9NRF8_CTPS2</t>
  </si>
  <si>
    <t>Q9NRF9_POLE3</t>
  </si>
  <si>
    <t>Q9NRG7-2_SDR39U1</t>
  </si>
  <si>
    <t>Q9NRN7_AASDHPPT</t>
  </si>
  <si>
    <t>Q9NRR5_UBQLN4</t>
  </si>
  <si>
    <t>Q9NRV9_HEBP1</t>
  </si>
  <si>
    <t>Q9NRX4_PHPT1</t>
  </si>
  <si>
    <t>Q9NRY2_INIP</t>
  </si>
  <si>
    <t>Q9NRY4_ARHGAP35</t>
  </si>
  <si>
    <t>Q9NRY5_FAM114A2</t>
  </si>
  <si>
    <t>Q9NS18_GLRX2</t>
  </si>
  <si>
    <t>Q9NS86_LANCL2</t>
  </si>
  <si>
    <t>Q9NSE4_IARS2</t>
  </si>
  <si>
    <t>Q9NSK0_KLC4</t>
  </si>
  <si>
    <t>Q9NSY0_NRBP2</t>
  </si>
  <si>
    <t>Q9NSY1-2_BMP2K</t>
  </si>
  <si>
    <t>Q9NSY2_STARD5</t>
  </si>
  <si>
    <t>Q9NT62_ATG3</t>
  </si>
  <si>
    <t>Q9NTG7_SIRT3</t>
  </si>
  <si>
    <t>Q9NTJ4-3_MAN2C1</t>
  </si>
  <si>
    <t>Q9NTK5-2_OLA1</t>
  </si>
  <si>
    <t>Q9NTK5_OLA1</t>
  </si>
  <si>
    <t>Q9NTX5-6_ECHDC1</t>
  </si>
  <si>
    <t>Q9NTZ6_RBM12</t>
  </si>
  <si>
    <t>Q9NU23_LYRM2</t>
  </si>
  <si>
    <t>Q9NUB1-3_ACSS1</t>
  </si>
  <si>
    <t>Q9NUI1_DECR2</t>
  </si>
  <si>
    <t>Q9NUJ1_ABHD10</t>
  </si>
  <si>
    <t>Q9NUL5-4_C19orf66</t>
  </si>
  <si>
    <t>Q9NUP1_BLOC1S4</t>
  </si>
  <si>
    <t>Q9NUQ3-2_TXLNG</t>
  </si>
  <si>
    <t>Q9NUQ6_SPATS2L</t>
  </si>
  <si>
    <t>Q9NUQ8-2_ABCF3</t>
  </si>
  <si>
    <t>Q9NUQ9_FAM49B</t>
  </si>
  <si>
    <t>Q9NUV9_GIMAP4</t>
  </si>
  <si>
    <t>Q9NUY8-2_TBC1D23</t>
  </si>
  <si>
    <t>Q9NV70-2_EXOC1</t>
  </si>
  <si>
    <t>Q9NVD7_PARVA</t>
  </si>
  <si>
    <t>Q9NVE7_PANK4</t>
  </si>
  <si>
    <t>Q9NVF9_ETNK2</t>
  </si>
  <si>
    <t>Q9NVG8_TBC1D13</t>
  </si>
  <si>
    <t>Q9NVH6_TMLHE</t>
  </si>
  <si>
    <t>Q9NVS9_PNPO</t>
  </si>
  <si>
    <t>Q9NVT9_ARMC1</t>
  </si>
  <si>
    <t>Q9NVX2_NLE1</t>
  </si>
  <si>
    <t>Q9NVZ3_NECAP2</t>
  </si>
  <si>
    <t>Q9NW64_RBM22</t>
  </si>
  <si>
    <t>Q9NW68-4_BSDC1</t>
  </si>
  <si>
    <t>Q9NW82_WDR70</t>
  </si>
  <si>
    <t>Q9NWB6-2_ARGLU1</t>
  </si>
  <si>
    <t>Q9NWH9_SLTM</t>
  </si>
  <si>
    <t>Q9NWT8_AURKAIP1</t>
  </si>
  <si>
    <t>Q9NWU1_OXSM</t>
  </si>
  <si>
    <t>Q9NWV4_C1orf123</t>
  </si>
  <si>
    <t>Q9NWW6_NMRK1</t>
  </si>
  <si>
    <t>Q9NWY4_C4orf27</t>
  </si>
  <si>
    <t>Q9NWZ3_IRAK4</t>
  </si>
  <si>
    <t>Q9NX38_FAM206A</t>
  </si>
  <si>
    <t>Q9NX46_ADPRHL2</t>
  </si>
  <si>
    <t>Q9NX55_HYPK</t>
  </si>
  <si>
    <t>Q9NXA8_SIRT5</t>
  </si>
  <si>
    <t>Q9NXD2_MTMR10</t>
  </si>
  <si>
    <t>Q9NXG2_THUMPD1</t>
  </si>
  <si>
    <t>Q9NXH9-2_TRMT1</t>
  </si>
  <si>
    <t>Q9NXR7-4_BRE</t>
  </si>
  <si>
    <t>Q9NXU5_ARL15</t>
  </si>
  <si>
    <t>Q9NXV6_CDKN2AIP</t>
  </si>
  <si>
    <t>Q9NXW2_DNAJB12</t>
  </si>
  <si>
    <t>Q9NY27_PPP4R2</t>
  </si>
  <si>
    <t>Q9NY33-4_DPP3</t>
  </si>
  <si>
    <t>Q9NYF8-2_BCLAF1</t>
  </si>
  <si>
    <t>Q9NYJ1_COA4</t>
  </si>
  <si>
    <t>Q9NYL2-2_MLTK</t>
  </si>
  <si>
    <t>Q9NYL2_MLTK</t>
  </si>
  <si>
    <t>Q9NYL9_TMOD3</t>
  </si>
  <si>
    <t>Q9NYQ3_HAO2</t>
  </si>
  <si>
    <t>Q9NYU2-2_UGGT1</t>
  </si>
  <si>
    <t>Q9NYY8-2_FASTKD2</t>
  </si>
  <si>
    <t>Q9NZ08_ERAP1</t>
  </si>
  <si>
    <t>Q9NZ32_ACTR10</t>
  </si>
  <si>
    <t>Q9NZ63_C9orf78</t>
  </si>
  <si>
    <t>Q9NZB2_FAM120A</t>
  </si>
  <si>
    <t>Q9NZB8-2_MOCS1</t>
  </si>
  <si>
    <t>Q9NZJ6_COQ3</t>
  </si>
  <si>
    <t>Q9NZJ9_NUDT4</t>
  </si>
  <si>
    <t>Q9NZL4_HSPBP1</t>
  </si>
  <si>
    <t>Q9NZL9_MAT2B</t>
  </si>
  <si>
    <t>Q9NZM3-2_ITSN2</t>
  </si>
  <si>
    <t>Q9NZN5-2_ARHGEF12</t>
  </si>
  <si>
    <t>Q9NZN8-4_CNOT2</t>
  </si>
  <si>
    <t>Q9NZN9-3_AIPL1</t>
  </si>
  <si>
    <t>Q9NZP8_C1RL</t>
  </si>
  <si>
    <t>Q9NZT2-2_OGFR</t>
  </si>
  <si>
    <t>Q9NZU5_LMCD1</t>
  </si>
  <si>
    <t>Q9NZZ3_CHMP5</t>
  </si>
  <si>
    <t>Q9P000_COMMD9</t>
  </si>
  <si>
    <t>Q9P013_CWC15</t>
  </si>
  <si>
    <t>Q9P016_THYN1</t>
  </si>
  <si>
    <t>Q9P032_NDUFAF4</t>
  </si>
  <si>
    <t>Q9P0J1_PDP1</t>
  </si>
  <si>
    <t>Q9P0K7-3_RAI14</t>
  </si>
  <si>
    <t>Q9P0L0_VAPA</t>
  </si>
  <si>
    <t>Q9P0P8_C6orf203</t>
  </si>
  <si>
    <t>Q9P0R6_GSKIP</t>
  </si>
  <si>
    <t>Q9P0Z9_PIPOX</t>
  </si>
  <si>
    <t>Q9P1F3_ABRACL</t>
  </si>
  <si>
    <t>Q9P1Y5_CAMSAP3</t>
  </si>
  <si>
    <t>Q9P1Z2-2_CALCOCO1</t>
  </si>
  <si>
    <t>Q9P206-2_KIAA1522</t>
  </si>
  <si>
    <t>Q9P265_DIP2B</t>
  </si>
  <si>
    <t>Q9P266_KIAA1462</t>
  </si>
  <si>
    <t>Q9P270_SLAIN2</t>
  </si>
  <si>
    <t>Q9P287_BCCIP</t>
  </si>
  <si>
    <t>Q9P299_COPZ2</t>
  </si>
  <si>
    <t>Q9P2D3-3_HEATR5B</t>
  </si>
  <si>
    <t>Q9P2E9-2_RRBP1</t>
  </si>
  <si>
    <t>Q9P2E9_RRBP1</t>
  </si>
  <si>
    <t>Q9P2M7_CGN</t>
  </si>
  <si>
    <t>Q9P2N5_RBM27</t>
  </si>
  <si>
    <t>Q9P2R3_ANKFY1</t>
  </si>
  <si>
    <t>Q9P2X3_IMPACT</t>
  </si>
  <si>
    <t>Q9UBB4_ATXN10</t>
  </si>
  <si>
    <t>Q9UBB5_MBD2</t>
  </si>
  <si>
    <t>Q9UBC2-3_EPS15L1</t>
  </si>
  <si>
    <t>Q9UBE0_SAE1</t>
  </si>
  <si>
    <t>Q9UBF2_COPG2</t>
  </si>
  <si>
    <t>Q9UBF6_RNF7</t>
  </si>
  <si>
    <t>Q9UBK8-2_MTRR</t>
  </si>
  <si>
    <t>Q9UBL3-2_ASH2L</t>
  </si>
  <si>
    <t>Q9UBN7_HDAC6</t>
  </si>
  <si>
    <t>Q9UBP6_METTL1</t>
  </si>
  <si>
    <t>Q9UBQ0_VPS29</t>
  </si>
  <si>
    <t>Q9UBQ7_GRHPR</t>
  </si>
  <si>
    <t>Q9UBR1_UPB1</t>
  </si>
  <si>
    <t>Q9UBR2_CTSZ</t>
  </si>
  <si>
    <t>Q9UBS4_DNAJB11</t>
  </si>
  <si>
    <t>Q9UBS8_RNF14</t>
  </si>
  <si>
    <t>Q9UBT2_UBA2</t>
  </si>
  <si>
    <t>Q9UBV8_PEF1</t>
  </si>
  <si>
    <t>Q9UBW8_COPS7A</t>
  </si>
  <si>
    <t>Q9UBX1_CTSF</t>
  </si>
  <si>
    <t>Q9UDR5_AASS</t>
  </si>
  <si>
    <t>Q9UDX3-2_SEC14L4</t>
  </si>
  <si>
    <t>Q9UDY2-3_TJP2</t>
  </si>
  <si>
    <t>Q9UEE9_CFDP1</t>
  </si>
  <si>
    <t>Q9UEU0_VTI1B</t>
  </si>
  <si>
    <t>Q9UEY8-2_ADD3</t>
  </si>
  <si>
    <t>Q9UFN0_NIPSNAP3A</t>
  </si>
  <si>
    <t>Q9UFW8_CGGBP1</t>
  </si>
  <si>
    <t>Q9UGC7_MTRF1L</t>
  </si>
  <si>
    <t>Q9UGI8_TES</t>
  </si>
  <si>
    <t>Q9UGJ0-3_PRKAG2</t>
  </si>
  <si>
    <t>Q9UGP4_LIMD1</t>
  </si>
  <si>
    <t>Q9UH65_SWAP70</t>
  </si>
  <si>
    <t>Q9UHA4_LAMTOR3</t>
  </si>
  <si>
    <t>Q9UHB6_LIMA1</t>
  </si>
  <si>
    <t>Q9UHB9_SRP68</t>
  </si>
  <si>
    <t>Q9UHD1_CHORDC1</t>
  </si>
  <si>
    <t>Q9UHD8_SEPT9</t>
  </si>
  <si>
    <t>Q9UHD9_UBQLN2</t>
  </si>
  <si>
    <t>Q9UHJ6_SHPK</t>
  </si>
  <si>
    <t>Q9UHL4_DPP7</t>
  </si>
  <si>
    <t>Q9UHN1_POLG2</t>
  </si>
  <si>
    <t>Q9UHV9_PFDN2</t>
  </si>
  <si>
    <t>Q9UHX1-4_PUF60</t>
  </si>
  <si>
    <t>Q9UHY7_ENOPH1</t>
  </si>
  <si>
    <t>Q9UI08_EVL</t>
  </si>
  <si>
    <t>Q9UI10-3_EIF2B4</t>
  </si>
  <si>
    <t>Q9UI10_EIF2B4</t>
  </si>
  <si>
    <t>Q9UI12-2_ATP6V1H</t>
  </si>
  <si>
    <t>Q9UI17_DMGDH</t>
  </si>
  <si>
    <t>Q9UI32_GLS2</t>
  </si>
  <si>
    <t>Q9UIA9_XPO7</t>
  </si>
  <si>
    <t>Q9UID3-2_VPS51</t>
  </si>
  <si>
    <t>Q9UII2_ATPIF1</t>
  </si>
  <si>
    <t>Q9UIJ7_AK3</t>
  </si>
  <si>
    <t>Q9UIV1-2_CNOT7</t>
  </si>
  <si>
    <t>Q9UIX4_KCNG1</t>
  </si>
  <si>
    <t>Q9UJ41-2_RABGEF1</t>
  </si>
  <si>
    <t>Q9UJ68-5_MSRA</t>
  </si>
  <si>
    <t>Q9UJ70_NAGK</t>
  </si>
  <si>
    <t>Q9UJA5-2_TRMT6</t>
  </si>
  <si>
    <t>Q9UJC5_SH3BGRL2</t>
  </si>
  <si>
    <t>Q9UJM3_ERRFI1</t>
  </si>
  <si>
    <t>Q9UJM8_HAO1</t>
  </si>
  <si>
    <t>Q9UJU6_DBNL</t>
  </si>
  <si>
    <t>Q9UJW0_DCTN4</t>
  </si>
  <si>
    <t>Q9UJY5-4_GGA1</t>
  </si>
  <si>
    <t>Q9UK22_FBXO2</t>
  </si>
  <si>
    <t>Q9UK41_VPS28</t>
  </si>
  <si>
    <t>Q9UK59_DBR1</t>
  </si>
  <si>
    <t>Q9UK99-2_FBXO3</t>
  </si>
  <si>
    <t>Q9UKB3-2_DNAJC12</t>
  </si>
  <si>
    <t>Q9UKE5-8_TNIK</t>
  </si>
  <si>
    <t>Q9UKG1_APPL1</t>
  </si>
  <si>
    <t>Q9UKG9_CROT</t>
  </si>
  <si>
    <t>Q9UKJ3_GPATCH8</t>
  </si>
  <si>
    <t>Q9UKK9_NUDT5</t>
  </si>
  <si>
    <t>Q9UKL6_PCTP</t>
  </si>
  <si>
    <t>Q9UKS6_PACSIN3</t>
  </si>
  <si>
    <t>Q9UKT5_FBXO4</t>
  </si>
  <si>
    <t>Q9UKU7_ACAD8</t>
  </si>
  <si>
    <t>Q9UKV8_AGO2</t>
  </si>
  <si>
    <t>Q9UKX7_NUP50</t>
  </si>
  <si>
    <t>Q9UKY7_CDV3</t>
  </si>
  <si>
    <t>Q9UL12_SARDH</t>
  </si>
  <si>
    <t>Q9UL25_RAB21</t>
  </si>
  <si>
    <t>Q9UL26_RAB22A</t>
  </si>
  <si>
    <t>Q9UL42_PNMA2</t>
  </si>
  <si>
    <t>Q9UL46_PSME2</t>
  </si>
  <si>
    <t>Q9ULA0_DNPEP</t>
  </si>
  <si>
    <t>Q9ULC4_MCTS1</t>
  </si>
  <si>
    <t>Q9ULC5_ACSL5</t>
  </si>
  <si>
    <t>Q9ULD0_OGDHL</t>
  </si>
  <si>
    <t>Q9ULD2-2_MTUS1</t>
  </si>
  <si>
    <t>Q9ULH7-4_MKL2</t>
  </si>
  <si>
    <t>Q9ULP9-2_TBC1D24</t>
  </si>
  <si>
    <t>Q9ULT8_HECTD1</t>
  </si>
  <si>
    <t>Q9ULV4_CORO1C</t>
  </si>
  <si>
    <t>Q9UM22-2_EPDR1</t>
  </si>
  <si>
    <t>Q9UMR2-2_DDX19B</t>
  </si>
  <si>
    <t>Q9UMS0-3_NFU1</t>
  </si>
  <si>
    <t>Q9UMS4_PRPF19</t>
  </si>
  <si>
    <t>Q9UMX0-2_UBQLN1</t>
  </si>
  <si>
    <t>Q9UMX5_NENF</t>
  </si>
  <si>
    <t>Q9UMY4-2_SNX12</t>
  </si>
  <si>
    <t>Q9UMZ2-6_SYNRG</t>
  </si>
  <si>
    <t>Q9UN36_NDRG2</t>
  </si>
  <si>
    <t>Q9UN86_G3BP2</t>
  </si>
  <si>
    <t>Q9UNE7_STUB1</t>
  </si>
  <si>
    <t>Q9UNF0-2_PACSIN2</t>
  </si>
  <si>
    <t>Q9UNF1_MAGED2</t>
  </si>
  <si>
    <t>Q9UNH7_SNX6</t>
  </si>
  <si>
    <t>Q9UNM6_PSMD13</t>
  </si>
  <si>
    <t>Q9UNN5_FAF1</t>
  </si>
  <si>
    <t>Q9UNS2_COPS3</t>
  </si>
  <si>
    <t>Q9UNZ2_NSFL1C</t>
  </si>
  <si>
    <t>Q9UP83_COG5</t>
  </si>
  <si>
    <t>Q9UPN6_SCAF8</t>
  </si>
  <si>
    <t>Q9UPN7_PPP6R1</t>
  </si>
  <si>
    <t>Q9UPN9-2_TRIM33</t>
  </si>
  <si>
    <t>Q9UPQ9-1_TNRC6B</t>
  </si>
  <si>
    <t>Q9UPT5-2_EXOC7</t>
  </si>
  <si>
    <t>Q9UPU5_USP24</t>
  </si>
  <si>
    <t>Q9UPU7-2_TBC1D2B</t>
  </si>
  <si>
    <t>Q9UPY3-2_DICER1</t>
  </si>
  <si>
    <t>Q9UPY8-2_MAPRE3</t>
  </si>
  <si>
    <t>Q9UQ35_SRRM2</t>
  </si>
  <si>
    <t>Q9UQ80_PA2G4</t>
  </si>
  <si>
    <t>Q9UQ88-4_CDK11A</t>
  </si>
  <si>
    <t>Q9UQB8-5_BAIAP2</t>
  </si>
  <si>
    <t>Q9UQE7_SMC3</t>
  </si>
  <si>
    <t>Q9UQN3_CHMP2B</t>
  </si>
  <si>
    <t>Q9Y217_MTMR6</t>
  </si>
  <si>
    <t>Q9Y223_GNE</t>
  </si>
  <si>
    <t>Q9Y224_C14orf166</t>
  </si>
  <si>
    <t>Q9Y230_RUVBL2</t>
  </si>
  <si>
    <t>Q9Y237_PIN4</t>
  </si>
  <si>
    <t>Q9Y259_CHKB</t>
  </si>
  <si>
    <t>Q9Y262-2_EIF3L</t>
  </si>
  <si>
    <t>Q9Y263_PLAA</t>
  </si>
  <si>
    <t>Q9Y265_RUVBL1</t>
  </si>
  <si>
    <t>Q9Y266_NUDC</t>
  </si>
  <si>
    <t>Q9Y281_CFL2</t>
  </si>
  <si>
    <t>Q9Y295_DRG1</t>
  </si>
  <si>
    <t>Q9Y2A7_NCKAP1</t>
  </si>
  <si>
    <t>Q9Y2B0_CNPY2</t>
  </si>
  <si>
    <t>Q9Y2D4_EXOC6B</t>
  </si>
  <si>
    <t>Q9Y2D5-6_AKAP2</t>
  </si>
  <si>
    <t>Q9Y2E4_DIP2C</t>
  </si>
  <si>
    <t>Q9Y2H5_PLEKHA6</t>
  </si>
  <si>
    <t>Q9Y2I1-4_NISCH</t>
  </si>
  <si>
    <t>Q9Y2L5-2_TRAPPC8</t>
  </si>
  <si>
    <t>Q9Y2P5_SLC27A5</t>
  </si>
  <si>
    <t>Q9Y2Q3_GSTK1</t>
  </si>
  <si>
    <t>Q9Y2Q5_LAMTOR2</t>
  </si>
  <si>
    <t>Q9Y2Q9_MRPS28</t>
  </si>
  <si>
    <t>Q9Y2S2_CRYL1</t>
  </si>
  <si>
    <t>Q9Y2S6_TMA7</t>
  </si>
  <si>
    <t>Q9Y2S7_POLDIP2</t>
  </si>
  <si>
    <t>Q9Y2T2_AP3M1</t>
  </si>
  <si>
    <t>Q9Y2T3-3_GDA</t>
  </si>
  <si>
    <t>Q9Y2V2_CARHSP1</t>
  </si>
  <si>
    <t>Q9Y2V7-2_COG6</t>
  </si>
  <si>
    <t>Q9Y2W1_THRAP3</t>
  </si>
  <si>
    <t>Q9Y2Z0_SUGT1</t>
  </si>
  <si>
    <t>Q9Y2Z2-4_MTO1</t>
  </si>
  <si>
    <t>Q9Y2Z4_YARS2</t>
  </si>
  <si>
    <t>Q9Y303_AMDHD2</t>
  </si>
  <si>
    <t>Q9Y305_ACOT9</t>
  </si>
  <si>
    <t>Q9Y312_AAR2</t>
  </si>
  <si>
    <t>Q9Y314_NOSIP</t>
  </si>
  <si>
    <t>Q9Y315_DERA</t>
  </si>
  <si>
    <t>Q9Y316_MEMO1</t>
  </si>
  <si>
    <t>Q9Y333_LSM2</t>
  </si>
  <si>
    <t>Q9Y371_SH3GLB1</t>
  </si>
  <si>
    <t>Q9Y376_CAB39</t>
  </si>
  <si>
    <t>Q9Y383_LUC7L2</t>
  </si>
  <si>
    <t>Q9Y385_UBE2J1</t>
  </si>
  <si>
    <t>Q9Y399_MRPS2</t>
  </si>
  <si>
    <t>Q9Y3A5_SBDS</t>
  </si>
  <si>
    <t>Q9Y3B9_RRP15</t>
  </si>
  <si>
    <t>Q9Y3C1_NOP16</t>
  </si>
  <si>
    <t>Q9Y3C4-2_TPRKB</t>
  </si>
  <si>
    <t>Q9Y3C6_PPIL1</t>
  </si>
  <si>
    <t>Q9Y3C8_UFC1</t>
  </si>
  <si>
    <t>Q9Y3D0_FAM96B</t>
  </si>
  <si>
    <t>Q9Y3D2_MSRB2</t>
  </si>
  <si>
    <t>Q9Y3D3_MRPS16</t>
  </si>
  <si>
    <t>Q9Y3D6_FIS1</t>
  </si>
  <si>
    <t>Q9Y3E2_BOLA1</t>
  </si>
  <si>
    <t>Q9Y3F4_STRAP</t>
  </si>
  <si>
    <t>Q9Y3I0_C22orf28</t>
  </si>
  <si>
    <t>Q9Y3I1-3_FBXO7</t>
  </si>
  <si>
    <t>Q9Y3L5_RAP2C</t>
  </si>
  <si>
    <t>Q9Y3P9_RABGAP1</t>
  </si>
  <si>
    <t>Q9Y3R5-2_DOPEY2</t>
  </si>
  <si>
    <t>Q9Y3S2_ZNF330</t>
  </si>
  <si>
    <t>Q9Y3T9_NOC2L</t>
  </si>
  <si>
    <t>Q9Y3X0_CCDC9</t>
  </si>
  <si>
    <t>Q9Y3Y2-4_CHTOP</t>
  </si>
  <si>
    <t>Q9Y3Z3-4_SAMHD1</t>
  </si>
  <si>
    <t>Q9Y446_PKP3</t>
  </si>
  <si>
    <t>Q9Y478_PRKAB1</t>
  </si>
  <si>
    <t>Q9Y490_TLN1</t>
  </si>
  <si>
    <t>Q9Y4B6-3_VPRBP</t>
  </si>
  <si>
    <t>Q9Y4C2-2_FAM115A</t>
  </si>
  <si>
    <t>Q9Y4E8_USP15</t>
  </si>
  <si>
    <t>Q9Y4F1_FARP1</t>
  </si>
  <si>
    <t>Q9Y4G6_TLN2</t>
  </si>
  <si>
    <t>Q9Y4H2_IRS2</t>
  </si>
  <si>
    <t>Q9Y4K1_AIM1</t>
  </si>
  <si>
    <t>Q9Y4K3_TRAF6</t>
  </si>
  <si>
    <t>Q9Y4P8-3_WIPI2</t>
  </si>
  <si>
    <t>Q9Y4X5_ARIH1</t>
  </si>
  <si>
    <t>Q9Y4Z0_LSM4</t>
  </si>
  <si>
    <t>Q9Y520-4_PRRC2C</t>
  </si>
  <si>
    <t>Q9Y570_PPME1</t>
  </si>
  <si>
    <t>Q9Y5A7-2_NUB1</t>
  </si>
  <si>
    <t>Q9Y5A9-2_YTHDF2</t>
  </si>
  <si>
    <t>Q9Y5B0_CTDP1</t>
  </si>
  <si>
    <t>Q9Y5J7_TIMM9</t>
  </si>
  <si>
    <t>Q9Y5J9_TIMM8B</t>
  </si>
  <si>
    <t>Q9Y5K5-2_UCHL5</t>
  </si>
  <si>
    <t>Q9Y5K6_CD2AP</t>
  </si>
  <si>
    <t>Q9Y5K8_ATP6V1D</t>
  </si>
  <si>
    <t>Q9Y5L0_TNPO3</t>
  </si>
  <si>
    <t>Q9Y5L4_TIMM13</t>
  </si>
  <si>
    <t>Q9Y5P4-2_COL4A3BP</t>
  </si>
  <si>
    <t>Q9Y5P6_GMPPB</t>
  </si>
  <si>
    <t>Q9Y5S2_CDC42BPB</t>
  </si>
  <si>
    <t>Q9Y5S9_RBM8A</t>
  </si>
  <si>
    <t>Q9Y5X1_SNX9</t>
  </si>
  <si>
    <t>Q9Y5X3_SNX5</t>
  </si>
  <si>
    <t>Q9Y5Z4_HEBP2</t>
  </si>
  <si>
    <t>Q9Y608-4_LRRFIP2</t>
  </si>
  <si>
    <t>Q9Y617_PSAT1</t>
  </si>
  <si>
    <t>Q9Y646_CPQ</t>
  </si>
  <si>
    <t>Q9Y678_COPG1</t>
  </si>
  <si>
    <t>Q9Y680-3_FKBP7</t>
  </si>
  <si>
    <t>Q9Y696_CLIC4</t>
  </si>
  <si>
    <t>Q9Y697-2_NFS1</t>
  </si>
  <si>
    <t>Q9Y6D5_ARFGEF2</t>
  </si>
  <si>
    <t>Q9Y6D6_ARFGEF1</t>
  </si>
  <si>
    <t>Q9Y6G5_COMMD10</t>
  </si>
  <si>
    <t>Q9Y6G9_DYNC1LI1</t>
  </si>
  <si>
    <t>Q9Y6H1_CHCHD2</t>
  </si>
  <si>
    <t>Q9Y6I3-3_EPN1</t>
  </si>
  <si>
    <t>Q9Y6I9_TEX264</t>
  </si>
  <si>
    <t>Q9Y6K5_OAS3</t>
  </si>
  <si>
    <t>Q9Y6K9_IKBKG</t>
  </si>
  <si>
    <t>Q9Y6N5_SQRDL</t>
  </si>
  <si>
    <t>Q9Y6V0-2_PCLO</t>
  </si>
  <si>
    <t>Q9Y6W3_CAPN7</t>
  </si>
  <si>
    <t>Q9Y6W5_WASF2</t>
  </si>
  <si>
    <t>Q9Y6X8_ZHX2</t>
  </si>
  <si>
    <t>A1A528_ZW10</t>
  </si>
  <si>
    <t>A2ABK1_NELFE</t>
  </si>
  <si>
    <t>A3KFL4_EXOSC2</t>
  </si>
  <si>
    <t>A6H8Z3_RAB3GAP1</t>
  </si>
  <si>
    <t>A6NG79_PRCC</t>
  </si>
  <si>
    <t>A6NGP5_HN1L</t>
  </si>
  <si>
    <t>A6NHN7_ZMYM3</t>
  </si>
  <si>
    <t>A6NIR2_HSPB11</t>
  </si>
  <si>
    <t>A6NML8_DIAPH2</t>
  </si>
  <si>
    <t>A8MTY9_DSCR3</t>
  </si>
  <si>
    <t>A8MU28_NAE1</t>
  </si>
  <si>
    <t>A8MU44_HOOK1</t>
  </si>
  <si>
    <t>A8MUB1_TUBA4A</t>
  </si>
  <si>
    <t>A8MV73_ATF7IP</t>
  </si>
  <si>
    <t>A8MVQ8_GGPS1</t>
  </si>
  <si>
    <t>A9Z1X7_SRRM1</t>
  </si>
  <si>
    <t>B0UX83_BAG6</t>
  </si>
  <si>
    <t>B0V0T3_PSMB9</t>
  </si>
  <si>
    <t>B1AK87_CAPZB</t>
  </si>
  <si>
    <t>B1AKG0_CFHR1</t>
  </si>
  <si>
    <t>B1AKL4_EIF4ENIF1</t>
  </si>
  <si>
    <t>B1AKN7_NFIA</t>
  </si>
  <si>
    <t>B1AKZ5_PEA15</t>
  </si>
  <si>
    <t>B1AL69_CDC37L1</t>
  </si>
  <si>
    <t>B1ALY0_PALM2-AKAP2</t>
  </si>
  <si>
    <t>B1AMX9_TRAF2</t>
  </si>
  <si>
    <t>B1ANH0_GUK1</t>
  </si>
  <si>
    <t>B3KP49_RANBP10</t>
  </si>
  <si>
    <t>B3KSI9_LZTFL1</t>
  </si>
  <si>
    <t>B3KVH8_PHF23</t>
  </si>
  <si>
    <t>B3KWW1_DDX58</t>
  </si>
  <si>
    <t>B3KY83_RXRA</t>
  </si>
  <si>
    <t>B4DDD1_RPUSD2</t>
  </si>
  <si>
    <t>B4DDD6_DBNL</t>
  </si>
  <si>
    <t>B4DDF4_CNN2</t>
  </si>
  <si>
    <t>B4DDZ0_MON1B</t>
  </si>
  <si>
    <t>B4DE16_CTNNBL1</t>
  </si>
  <si>
    <t>B4DFA2_NSF</t>
  </si>
  <si>
    <t>B4DFI9_HUS1</t>
  </si>
  <si>
    <t>B4DFM8_NDUFS3</t>
  </si>
  <si>
    <t>B4DFQ4_COMMD1</t>
  </si>
  <si>
    <t>B4DGU4_CTNNB1</t>
  </si>
  <si>
    <t>B4DGX2_PIP4K2A</t>
  </si>
  <si>
    <t>B4DH53_MAP1S</t>
  </si>
  <si>
    <t>B4DHJ7_BNIP3</t>
  </si>
  <si>
    <t>B4DHT5_ACSF2</t>
  </si>
  <si>
    <t>B4DIT7_TGM2</t>
  </si>
  <si>
    <t>B4DJ85_GLMN</t>
  </si>
  <si>
    <t>B4DJA5_RAB5A</t>
  </si>
  <si>
    <t>B4DJP7_SNRPD3</t>
  </si>
  <si>
    <t>B4DJV2_CS</t>
  </si>
  <si>
    <t>B4DK69_AKR1C2</t>
  </si>
  <si>
    <t>B4DK95_ZYG11B</t>
  </si>
  <si>
    <t>B4DKJ3_COMP</t>
  </si>
  <si>
    <t>B4DKL4_LSR</t>
  </si>
  <si>
    <t>B4DL14_ATP5C1</t>
  </si>
  <si>
    <t>B4DL54_CHURC1-FNTB</t>
  </si>
  <si>
    <t>B4DLW8_DDX5</t>
  </si>
  <si>
    <t>B4DP21_PTGES3</t>
  </si>
  <si>
    <t>B4DP38_WDR77</t>
  </si>
  <si>
    <t>B4DPM9_SHMT1</t>
  </si>
  <si>
    <t>B4DPR4_MKRN2</t>
  </si>
  <si>
    <t>B4DQ14_EIF2A</t>
  </si>
  <si>
    <t>B4DQA8_GOSR1</t>
  </si>
  <si>
    <t>B4DQJ8_PGD</t>
  </si>
  <si>
    <t>B4DR80_STK24</t>
  </si>
  <si>
    <t>B4DRL9_CHM</t>
  </si>
  <si>
    <t>B4DSN5_PTPN1</t>
  </si>
  <si>
    <t>B4DT77_ANXA7</t>
  </si>
  <si>
    <t>B4DTG6_LSM14A</t>
  </si>
  <si>
    <t>B4DUS9_BPNT1</t>
  </si>
  <si>
    <t>B4DV96_RBKS</t>
  </si>
  <si>
    <t>B4DVG8_DHX38</t>
  </si>
  <si>
    <t>B4DVY1_EIF3D</t>
  </si>
  <si>
    <t>B4DWI1_HACL1</t>
  </si>
  <si>
    <t>B4DWW4_MCM3</t>
  </si>
  <si>
    <t>B4DXK4_KRT72</t>
  </si>
  <si>
    <t>B4DXP9_ACTR1A</t>
  </si>
  <si>
    <t>B4DXW4_CLPB</t>
  </si>
  <si>
    <t>B4DZW6_RMDN1</t>
  </si>
  <si>
    <t>B4E072_ACAA1</t>
  </si>
  <si>
    <t>B4E107_ATE1</t>
  </si>
  <si>
    <t>B4E1Z4_CFB</t>
  </si>
  <si>
    <t>B4E241_SFRS3</t>
  </si>
  <si>
    <t>B4E2W0_HADHB</t>
  </si>
  <si>
    <t>B4E3J8_STK38L</t>
  </si>
  <si>
    <t>B4E3Q4_CECR1</t>
  </si>
  <si>
    <t>B5MC59_RPA3</t>
  </si>
  <si>
    <t>B5MCP9_RPS7</t>
  </si>
  <si>
    <t>B5MCX3_SEPT2</t>
  </si>
  <si>
    <t>B7Z1L3_PGRMC1</t>
  </si>
  <si>
    <t>B7Z1R5_ATP6V1A</t>
  </si>
  <si>
    <t>B7Z1T4_CYTH1</t>
  </si>
  <si>
    <t>B7Z1W9_CHN2</t>
  </si>
  <si>
    <t>B7Z242_MAOB</t>
  </si>
  <si>
    <t>B7Z254_PDIA6</t>
  </si>
  <si>
    <t>B7Z2C3_PPM1F</t>
  </si>
  <si>
    <t>B7Z2R9_LAMP2</t>
  </si>
  <si>
    <t>B7Z2X9_ENO2</t>
  </si>
  <si>
    <t>B7Z2Y2_COG2</t>
  </si>
  <si>
    <t>B7Z341_NDRG3</t>
  </si>
  <si>
    <t>B7Z385_CAP2</t>
  </si>
  <si>
    <t>B7Z3B9_GAB1</t>
  </si>
  <si>
    <t>B7Z3I9_ALAD</t>
  </si>
  <si>
    <t>B7Z493_FGD4</t>
  </si>
  <si>
    <t>B7Z4K4_FTSJ1</t>
  </si>
  <si>
    <t>B7Z4K6_DNASE2</t>
  </si>
  <si>
    <t>B7Z4L4_RPN1</t>
  </si>
  <si>
    <t>B7Z4M2_WBP4</t>
  </si>
  <si>
    <t>B7Z583_TANGO2</t>
  </si>
  <si>
    <t>B7Z6B8_DECR1</t>
  </si>
  <si>
    <t>B7Z6P0_NUBP2</t>
  </si>
  <si>
    <t>B7Z729_SMPDL3A</t>
  </si>
  <si>
    <t>B7Z7F3_RANBP3</t>
  </si>
  <si>
    <t>B7Z7F9_GRB14</t>
  </si>
  <si>
    <t>B7Z815_USP7</t>
  </si>
  <si>
    <t>B7Z8V7_NADK2</t>
  </si>
  <si>
    <t>B7Z9K1_STK25</t>
  </si>
  <si>
    <t>B8ZZG1_MPP6</t>
  </si>
  <si>
    <t>B8ZZQ6_PTMA</t>
  </si>
  <si>
    <t>B8ZZU8_TCEB2</t>
  </si>
  <si>
    <t>C0H5X6_PEX7</t>
  </si>
  <si>
    <t>C9IZA5_VCP</t>
  </si>
  <si>
    <t>C9IZG4_CUTA</t>
  </si>
  <si>
    <t>C9J050_PCYT1A</t>
  </si>
  <si>
    <t>C9J0K6_SRI</t>
  </si>
  <si>
    <t>C9J1Z8_ARF5</t>
  </si>
  <si>
    <t>C9J212_UBE2F</t>
  </si>
  <si>
    <t>C9J5D1_NAA50</t>
  </si>
  <si>
    <t>C9J5S3_RINT1</t>
  </si>
  <si>
    <t>C9J9K3_RPSA</t>
  </si>
  <si>
    <t>C9JAX1_FXN</t>
  </si>
  <si>
    <t>C9JB55_TF</t>
  </si>
  <si>
    <t>C9JBI3_PSPH</t>
  </si>
  <si>
    <t>C9JBJ6_POLR2H</t>
  </si>
  <si>
    <t>C9JBY7_MRPS33</t>
  </si>
  <si>
    <t>C9JCD9_BUD31</t>
  </si>
  <si>
    <t>C9JDE9_ACAA1</t>
  </si>
  <si>
    <t>C9JEL3_EIF4E2</t>
  </si>
  <si>
    <t>C9JFE4_GPS1</t>
  </si>
  <si>
    <t>C9JG87_MRPL39</t>
  </si>
  <si>
    <t>C9JG97_AAMP</t>
  </si>
  <si>
    <t>C9JGB2_RMDN2</t>
  </si>
  <si>
    <t>C9JIS1_GNB2</t>
  </si>
  <si>
    <t>C9JJ54_WDFY1</t>
  </si>
  <si>
    <t>C9JJV1_TSSC4</t>
  </si>
  <si>
    <t>C9JNE2_OARD1</t>
  </si>
  <si>
    <t>C9JPM4_ARF4</t>
  </si>
  <si>
    <t>C9JQ41_CCDC58</t>
  </si>
  <si>
    <t>C9JQD4_PPIH</t>
  </si>
  <si>
    <t>C9JS27_NDUFAF7</t>
  </si>
  <si>
    <t>C9JV49_HARS2</t>
  </si>
  <si>
    <t>C9JVE2_DCUN1D1</t>
  </si>
  <si>
    <t>C9JVN9_L2HGDH</t>
  </si>
  <si>
    <t>C9JW69_RCC1</t>
  </si>
  <si>
    <t>C9JWG0_UGP2</t>
  </si>
  <si>
    <t>C9JWU7_NUP35</t>
  </si>
  <si>
    <t>C9JXB8_RPL24</t>
  </si>
  <si>
    <t>C9JXK0_LBR</t>
  </si>
  <si>
    <t>C9JXK9_LPP</t>
  </si>
  <si>
    <t>C9JYZ0_ACY1</t>
  </si>
  <si>
    <t>C9JZP6_DHRS2</t>
  </si>
  <si>
    <t>C9JZY6_UBE2H</t>
  </si>
  <si>
    <t>D3DR31_IFIT1</t>
  </si>
  <si>
    <t>D3YHP0_CXADR</t>
  </si>
  <si>
    <t>D3YTE0_KRI1</t>
  </si>
  <si>
    <t>D6R905_EXOSC9</t>
  </si>
  <si>
    <t>D6R9C7_RWDD4</t>
  </si>
  <si>
    <t>D6R9P3_HNRNPAB</t>
  </si>
  <si>
    <t>D6RB81_AMACR</t>
  </si>
  <si>
    <t>D6RBN5_OCIAD1</t>
  </si>
  <si>
    <t>D6RBS9_RBM47</t>
  </si>
  <si>
    <t>D6RBV0_LEMD2</t>
  </si>
  <si>
    <t>D6RCD0_HSD17B11</t>
  </si>
  <si>
    <t>D6RD47_RPS23</t>
  </si>
  <si>
    <t>D6RD67_MCCC2</t>
  </si>
  <si>
    <t>D6RDG3_BTF3</t>
  </si>
  <si>
    <t>D6RGI3_SEPT11</t>
  </si>
  <si>
    <t>D6RHI9_RNASET2</t>
  </si>
  <si>
    <t>E2QRD0_VWA8</t>
  </si>
  <si>
    <t>E2QRD5_C15orf38-AP3S2</t>
  </si>
  <si>
    <t>E5RFZ8_SLC39A14</t>
  </si>
  <si>
    <t>E5RGX5_STMN2</t>
  </si>
  <si>
    <t>E5RHF4_MRPL15</t>
  </si>
  <si>
    <t>E5RHG8_TCEB1</t>
  </si>
  <si>
    <t>E5RHG9_UQCRB</t>
  </si>
  <si>
    <t>E5RIG5_DMTN</t>
  </si>
  <si>
    <t>E5RJ68_AP3B1</t>
  </si>
  <si>
    <t>E5RJD2_DECR1</t>
  </si>
  <si>
    <t>E5RJR5_SKP1</t>
  </si>
  <si>
    <t>E5RJU9_MTDH</t>
  </si>
  <si>
    <t>E5RK00_DCTN6</t>
  </si>
  <si>
    <t>E7EM64_COPS6</t>
  </si>
  <si>
    <t>E7EMM2_AP3D1</t>
  </si>
  <si>
    <t>E7EMM4_ASAH1</t>
  </si>
  <si>
    <t>E7EMN2_METTL5</t>
  </si>
  <si>
    <t>E7EMZ9_TACC2</t>
  </si>
  <si>
    <t>E7ENN3_SYNE1</t>
  </si>
  <si>
    <t>E7EP00_SEC24C</t>
  </si>
  <si>
    <t>E7EPD0_TOM1</t>
  </si>
  <si>
    <t>E7EPL4_PDXDC1</t>
  </si>
  <si>
    <t>E7EQA9_TANK</t>
  </si>
  <si>
    <t>E7EQI7_KIAA0196</t>
  </si>
  <si>
    <t>E7EQT4_ACIN1</t>
  </si>
  <si>
    <t>E7ER68_FAM91A1</t>
  </si>
  <si>
    <t>E7ERJ0_ITSN1</t>
  </si>
  <si>
    <t>E7ES08_HMGB3</t>
  </si>
  <si>
    <t>E7ET15_U2SURP</t>
  </si>
  <si>
    <t>E7ETA6_PCM1</t>
  </si>
  <si>
    <t>E7ETZ4_BZW2</t>
  </si>
  <si>
    <t>E7EU96_CSNK2A1</t>
  </si>
  <si>
    <t>E7EUG6_GTF2F1</t>
  </si>
  <si>
    <t>E7EUN9_DUS2L</t>
  </si>
  <si>
    <t>E7EVD1_PRPF3</t>
  </si>
  <si>
    <t>E7EVJ5_CYFIP2</t>
  </si>
  <si>
    <t>E7EW52_RPE</t>
  </si>
  <si>
    <t>E7EW69_SEPT10</t>
  </si>
  <si>
    <t>E7EW84_EXOC6</t>
  </si>
  <si>
    <t>E7EX73_EIF4G1</t>
  </si>
  <si>
    <t>E7EX83_MAP4K4</t>
  </si>
  <si>
    <t>E9PB09_HEATR5A</t>
  </si>
  <si>
    <t>E9PB14_PDHX</t>
  </si>
  <si>
    <t>E9PBL8_COG1</t>
  </si>
  <si>
    <t>E9PC74_EIF2B5</t>
  </si>
  <si>
    <t>E9PCG9_BDH1</t>
  </si>
  <si>
    <t>E9PCJ7_UBR7</t>
  </si>
  <si>
    <t>E9PCY7_HNRNPH1</t>
  </si>
  <si>
    <t>E9PDQ5_ARHGEF7</t>
  </si>
  <si>
    <t>E9PDR5_IBTK</t>
  </si>
  <si>
    <t>E9PEG3_AR</t>
  </si>
  <si>
    <t>E9PEZ3_DIAPH1</t>
  </si>
  <si>
    <t>E9PF01_ST7</t>
  </si>
  <si>
    <t>E9PFC1_CEP170B</t>
  </si>
  <si>
    <t>E9PFD7_EGFR</t>
  </si>
  <si>
    <t>E9PFK5_NOP14</t>
  </si>
  <si>
    <t>E9PFR3_PPP2R5D</t>
  </si>
  <si>
    <t>E9PG46_AAK1</t>
  </si>
  <si>
    <t>E9PG73_PPIG</t>
  </si>
  <si>
    <t>E9PGF5_TNS1</t>
  </si>
  <si>
    <t>E9PGF9_MGEA5</t>
  </si>
  <si>
    <t>E9PGM7_FAM13A</t>
  </si>
  <si>
    <t>E9PGT1_TSN</t>
  </si>
  <si>
    <t>E9PGW7_MED22</t>
  </si>
  <si>
    <t>E9PH29_PRDX3</t>
  </si>
  <si>
    <t>E9PHK0_CLEC3B</t>
  </si>
  <si>
    <t>E9PHM2_LARS2</t>
  </si>
  <si>
    <t>E9PHV4_POLR2D</t>
  </si>
  <si>
    <t>E9PHV5_SSFA2</t>
  </si>
  <si>
    <t>E9PHY8_MROH1</t>
  </si>
  <si>
    <t>E9PIB9_GLI1</t>
  </si>
  <si>
    <t>E9PIC2_STX17</t>
  </si>
  <si>
    <t>E9PIR7_TXNRD1</t>
  </si>
  <si>
    <t>E9PJ81_UBXN1</t>
  </si>
  <si>
    <t>E9PJD7_CYHR1</t>
  </si>
  <si>
    <t>E9PJH1_MKNK1</t>
  </si>
  <si>
    <t>E9PK01_EEF1D</t>
  </si>
  <si>
    <t>E9PK26_SNX15</t>
  </si>
  <si>
    <t>E9PK67_PARP10</t>
  </si>
  <si>
    <t>E9PKF3_ACAT1</t>
  </si>
  <si>
    <t>E9PKG1_PRMT1</t>
  </si>
  <si>
    <t>E9PKY5_PPIE</t>
  </si>
  <si>
    <t>E9PL22_HYOU1</t>
  </si>
  <si>
    <t>E9PL57_NEDD8-MDP1</t>
  </si>
  <si>
    <t>E9PLD2_MTFR1L</t>
  </si>
  <si>
    <t>E9PLK3_NPEPPS</t>
  </si>
  <si>
    <t>E9PM46_USP47</t>
  </si>
  <si>
    <t>E9PMI6_CLNS1A</t>
  </si>
  <si>
    <t>E9PMS6_LMO7</t>
  </si>
  <si>
    <t>E9PN48_ARFGAP2</t>
  </si>
  <si>
    <t>E9PNK6_TPD52L1</t>
  </si>
  <si>
    <t>E9PNU4_STX5</t>
  </si>
  <si>
    <t>E9PP36_RPL8</t>
  </si>
  <si>
    <t>E9PPA0_CHID1</t>
  </si>
  <si>
    <t>E9PQ61_ZC3H11A</t>
  </si>
  <si>
    <t>E9PQG4_PDE4DIP</t>
  </si>
  <si>
    <t>E9PQL2_TYK2</t>
  </si>
  <si>
    <t>E9PQP7_PPP6R3</t>
  </si>
  <si>
    <t>E9PQW4_MAPK3</t>
  </si>
  <si>
    <t>E9PQY3_ACP2</t>
  </si>
  <si>
    <t>E9PRE7_PC</t>
  </si>
  <si>
    <t>E9PRI4_RPS6KA1</t>
  </si>
  <si>
    <t>E9PRM4_CYB5R2</t>
  </si>
  <si>
    <t>E9PRZ9_C11orf58</t>
  </si>
  <si>
    <t>F2Z2B9_TUBGCP2</t>
  </si>
  <si>
    <t>F2Z2E1_FAM120B</t>
  </si>
  <si>
    <t>F2Z2V0_CPNE1</t>
  </si>
  <si>
    <t>F2Z2X4_XPO4</t>
  </si>
  <si>
    <t>F2Z3M0_TSEN15</t>
  </si>
  <si>
    <t>F5GWI4_ADA</t>
  </si>
  <si>
    <t>F5GWI9_CCDC53</t>
  </si>
  <si>
    <t>F5GWP8_JUP</t>
  </si>
  <si>
    <t>F5GWT4_WNK1</t>
  </si>
  <si>
    <t>F5GWU7_SMAD5</t>
  </si>
  <si>
    <t>F5GWX5_CHD4</t>
  </si>
  <si>
    <t>F5GX77_TRMT112</t>
  </si>
  <si>
    <t>F5GXC8_SUCLA2</t>
  </si>
  <si>
    <t>F5GY80_C8B</t>
  </si>
  <si>
    <t>F5GYC4_RPS6KA3</t>
  </si>
  <si>
    <t>F5GYJ5_</t>
  </si>
  <si>
    <t>F5GYK2_STRN4</t>
  </si>
  <si>
    <t>F5GYN4_OTUB1</t>
  </si>
  <si>
    <t>F5GZ54_MCEE</t>
  </si>
  <si>
    <t>F5GZ78_PXN</t>
  </si>
  <si>
    <t>F5GZU5_MED15</t>
  </si>
  <si>
    <t>F5GZZ9_CD163</t>
  </si>
  <si>
    <t>F5H012_TRIM21</t>
  </si>
  <si>
    <t>F5H0B0_TPD52</t>
  </si>
  <si>
    <t>F5H0L8_SEC23IP</t>
  </si>
  <si>
    <t>F5H157_RAB35</t>
  </si>
  <si>
    <t>F5H1L4_TXNRD2</t>
  </si>
  <si>
    <t>F5H1X8_LRBA</t>
  </si>
  <si>
    <t>F5H1Z6_STARD10</t>
  </si>
  <si>
    <t>F5H261_FMO3</t>
  </si>
  <si>
    <t>F5H2B9_UACA</t>
  </si>
  <si>
    <t>F5H2Q7_KIAA1715</t>
  </si>
  <si>
    <t>F5H345_HMBS</t>
  </si>
  <si>
    <t>F5H365_SEC23A</t>
  </si>
  <si>
    <t>F5H442_TSG101</t>
  </si>
  <si>
    <t>F5H4G7_KPNA6</t>
  </si>
  <si>
    <t>F5H4J2_PEX14</t>
  </si>
  <si>
    <t>F5H5C2_NUP133</t>
  </si>
  <si>
    <t>F5H5W4_HDAC4</t>
  </si>
  <si>
    <t>F5H604_CLASP2</t>
  </si>
  <si>
    <t>F5H698_LARS</t>
  </si>
  <si>
    <t>F5H715_AIDA</t>
  </si>
  <si>
    <t>F5H721_WBP11</t>
  </si>
  <si>
    <t>F5H780_TXNRD1</t>
  </si>
  <si>
    <t>F5H7D6_TLE3</t>
  </si>
  <si>
    <t>F5H7F6_MGST1</t>
  </si>
  <si>
    <t>F5H801_OGDH</t>
  </si>
  <si>
    <t>F5H897_TRAP1</t>
  </si>
  <si>
    <t>F5H8D7_XRCC1</t>
  </si>
  <si>
    <t>F5H8H2_MVK</t>
  </si>
  <si>
    <t>F6RY50_SIPA1</t>
  </si>
  <si>
    <t>F6T1Q0_PDE12</t>
  </si>
  <si>
    <t>F6TR53_HS1BP3</t>
  </si>
  <si>
    <t>F6XY72_NME2</t>
  </si>
  <si>
    <t>F8VQP2_ATXN2</t>
  </si>
  <si>
    <t>F8VQR7_CSRP2</t>
  </si>
  <si>
    <t>F8VQX6_METTL7A</t>
  </si>
  <si>
    <t>F8VQY6_RPLP0</t>
  </si>
  <si>
    <t>F8VRR3_METAP2</t>
  </si>
  <si>
    <t>F8VSC5_SCYL2</t>
  </si>
  <si>
    <t>F8VSL3_NFYB</t>
  </si>
  <si>
    <t>F8VUA6_RPL18</t>
  </si>
  <si>
    <t>F8VVL1_DENR</t>
  </si>
  <si>
    <t>F8VVM2_SLC25A3</t>
  </si>
  <si>
    <t>F8VWA6_MON2</t>
  </si>
  <si>
    <t>F8VWH9_ARFGAP1</t>
  </si>
  <si>
    <t>F8VXY3_OAS1</t>
  </si>
  <si>
    <t>F8VYH9_CDK4</t>
  </si>
  <si>
    <t>F8VZJ2_NACA</t>
  </si>
  <si>
    <t>F8W038_C17orf49</t>
  </si>
  <si>
    <t>F8W1Q3_BTD</t>
  </si>
  <si>
    <t>F8W1R7_MYL6</t>
  </si>
  <si>
    <t>F8W6K3_MAP3K2</t>
  </si>
  <si>
    <t>F8W720_GMPS</t>
  </si>
  <si>
    <t>F8W785_GOLIM4</t>
  </si>
  <si>
    <t>F8W7S5_RRBP1</t>
  </si>
  <si>
    <t>F8W8I6_TIA1</t>
  </si>
  <si>
    <t>F8W8M4_ABLIM1</t>
  </si>
  <si>
    <t>F8W8V8_SLC2A2</t>
  </si>
  <si>
    <t>F8W914_RTN4</t>
  </si>
  <si>
    <t>F8W9S7_GAPVD1</t>
  </si>
  <si>
    <t>F8W9X7_CCDC93</t>
  </si>
  <si>
    <t>F8WAS3_NDUFA5</t>
  </si>
  <si>
    <t>F8WBM7_F10</t>
  </si>
  <si>
    <t>F8WCM7_TPK1</t>
  </si>
  <si>
    <t>F8WF49_DLGAP4</t>
  </si>
  <si>
    <t>F8WJN3_CPSF6</t>
  </si>
  <si>
    <t>G3V0E8_PCBP2</t>
  </si>
  <si>
    <t>G3V1D4_LIN7C</t>
  </si>
  <si>
    <t>G3V1J5_DIS3</t>
  </si>
  <si>
    <t>G3V1P3_LOH12CR1</t>
  </si>
  <si>
    <t>G3V1Q4_SEPT7</t>
  </si>
  <si>
    <t>G3V1Y8_ASPG</t>
  </si>
  <si>
    <t>G3V2A6_NDRG2</t>
  </si>
  <si>
    <t>G3V2S0_NDRG2</t>
  </si>
  <si>
    <t>G3V2T6_</t>
  </si>
  <si>
    <t>G3V357_RNASE1</t>
  </si>
  <si>
    <t>G3V394_MYO5A</t>
  </si>
  <si>
    <t>G3V3D2_SPATA7</t>
  </si>
  <si>
    <t>G3V3G9_DCAF8</t>
  </si>
  <si>
    <t>G3V3R7_ATXN3</t>
  </si>
  <si>
    <t>G3V4J7_DCAF5</t>
  </si>
  <si>
    <t>G3V4P7_AP4S1</t>
  </si>
  <si>
    <t>G3V4W0_HNRNPC</t>
  </si>
  <si>
    <t>G3V5T0_GSTZ1</t>
  </si>
  <si>
    <t>G3XAA0_ARID1B</t>
  </si>
  <si>
    <t>G3XAH6_PAPOLA</t>
  </si>
  <si>
    <t>G3XAM2_CFI</t>
  </si>
  <si>
    <t>G5E9W7_MRPS22</t>
  </si>
  <si>
    <t>G5EA37_WIPI1</t>
  </si>
  <si>
    <t>G5EA52_PDIA3</t>
  </si>
  <si>
    <t>G8JL86_COBLL1</t>
  </si>
  <si>
    <t>G8JLB3_PUS1</t>
  </si>
  <si>
    <t>G8JLC6_MIA3</t>
  </si>
  <si>
    <t>G8JLI5_WDR45</t>
  </si>
  <si>
    <t>G8JLL7_MVB12B</t>
  </si>
  <si>
    <t>H0Y300_HP</t>
  </si>
  <si>
    <t>H0Y3A0_RPL35</t>
  </si>
  <si>
    <t>H0Y3P2_EIF4G2</t>
  </si>
  <si>
    <t>H0Y4R1_IMPDH2</t>
  </si>
  <si>
    <t>H0Y614_UFM1</t>
  </si>
  <si>
    <t>H0Y638_RASAL2</t>
  </si>
  <si>
    <t>H0Y6A0_ARFGAP3</t>
  </si>
  <si>
    <t>H0Y6C3_PYCRL</t>
  </si>
  <si>
    <t>H0Y6I0_GOLGA4</t>
  </si>
  <si>
    <t>H0YA52_PCBD2</t>
  </si>
  <si>
    <t>H0YA68_MAN2B2</t>
  </si>
  <si>
    <t>H0YBL1_IMPA1</t>
  </si>
  <si>
    <t>H0YBZ4_MTFR1</t>
  </si>
  <si>
    <t>H0YDB2_STIM1</t>
  </si>
  <si>
    <t>H0YDP7_MRPL49</t>
  </si>
  <si>
    <t>H0YDU8_PPP5C</t>
  </si>
  <si>
    <t>H0YEB6_SSSCA1</t>
  </si>
  <si>
    <t>H0YEH2_PUM1</t>
  </si>
  <si>
    <t>H0YEN5_RPS2</t>
  </si>
  <si>
    <t>H0YEP5_SMPD1</t>
  </si>
  <si>
    <t>H0YEZ2_FRG1B</t>
  </si>
  <si>
    <t>H0YF83_C12orf43</t>
  </si>
  <si>
    <t>H0YFI1_LAMTOR1</t>
  </si>
  <si>
    <t>H0YFP3_PPOX</t>
  </si>
  <si>
    <t>H0YGR4_REXO2</t>
  </si>
  <si>
    <t>H0YGX7_ARHGDIB</t>
  </si>
  <si>
    <t>H0YHC3_NAP1L1</t>
  </si>
  <si>
    <t>H0YI02_RAB3IP</t>
  </si>
  <si>
    <t>H0YIA8_LIN7A</t>
  </si>
  <si>
    <t>H0YIX9_R3HDM2</t>
  </si>
  <si>
    <t>H0YKF8_KNSTRN</t>
  </si>
  <si>
    <t>H0YL72_IDH3A</t>
  </si>
  <si>
    <t>H0YLA4_SORD</t>
  </si>
  <si>
    <t>H0YMB1_RMDN3</t>
  </si>
  <si>
    <t>H0YMB3_GMPR2</t>
  </si>
  <si>
    <t>H0YMD0_ANXA2</t>
  </si>
  <si>
    <t>H0YN26_ANP32A</t>
  </si>
  <si>
    <t>H0YN81_WDR61</t>
  </si>
  <si>
    <t>H3BLU7_AKR7A2</t>
  </si>
  <si>
    <t>H3BM42_GLG1</t>
  </si>
  <si>
    <t>H3BM67_NOL3</t>
  </si>
  <si>
    <t>H3BM79_AKTIP</t>
  </si>
  <si>
    <t>H3BMM5_</t>
  </si>
  <si>
    <t>H3BNC0_PRMT7</t>
  </si>
  <si>
    <t>H3BNU9_CARHSP1</t>
  </si>
  <si>
    <t>H3BNZ8_FTSJD1</t>
  </si>
  <si>
    <t>H3BPB8_MPI</t>
  </si>
  <si>
    <t>H3BPE1_MACF1</t>
  </si>
  <si>
    <t>H3BPN3_TRAPPC2L</t>
  </si>
  <si>
    <t>H3BPS8_ALDOA</t>
  </si>
  <si>
    <t>H3BPZ6_CDAN1</t>
  </si>
  <si>
    <t>H3BQV3_COG8</t>
  </si>
  <si>
    <t>H3BQZ7_hCG_2044799</t>
  </si>
  <si>
    <t>H3BRF9_ZFYVE19</t>
  </si>
  <si>
    <t>H3BRL3_UBFD1</t>
  </si>
  <si>
    <t>H3BRQ0_PPCDC</t>
  </si>
  <si>
    <t>H3BRT1_ABAT</t>
  </si>
  <si>
    <t>H3BRV0_EIF3C</t>
  </si>
  <si>
    <t>H3BS10_HEXA</t>
  </si>
  <si>
    <t>H3BSW0_LRRC57</t>
  </si>
  <si>
    <t>H3BTB7_EARS2</t>
  </si>
  <si>
    <t>H3BTL2_BCKDK</t>
  </si>
  <si>
    <t>H3BTP7_RPL4</t>
  </si>
  <si>
    <t>H3BU49_ARL2BP</t>
  </si>
  <si>
    <t>H3BUL2_COMMD4</t>
  </si>
  <si>
    <t>H7BXP5_TPRN</t>
  </si>
  <si>
    <t>H7BY36_EWSR1</t>
  </si>
  <si>
    <t>H7BYG8_LTN1</t>
  </si>
  <si>
    <t>H7BYY1_TPM1</t>
  </si>
  <si>
    <t>H7BZ00_NR4A2</t>
  </si>
  <si>
    <t>H7BZL0_MKI67IP</t>
  </si>
  <si>
    <t>H7C0C0_GTF3C3</t>
  </si>
  <si>
    <t>H7C0E5_ZNF259</t>
  </si>
  <si>
    <t>H7C0I1_AVL9</t>
  </si>
  <si>
    <t>H7C1U3_CC2D1B</t>
  </si>
  <si>
    <t>H7C2B1_NOL7</t>
  </si>
  <si>
    <t>H7C331_SDCCAG3</t>
  </si>
  <si>
    <t>H7C3G7_CWF19L2</t>
  </si>
  <si>
    <t>H7C3P4_GNS</t>
  </si>
  <si>
    <t>H7C462_BUD13</t>
  </si>
  <si>
    <t>H7C485_ARID4A</t>
  </si>
  <si>
    <t>H7C4T5_MBNL1</t>
  </si>
  <si>
    <t>H7C5G1_IAH1</t>
  </si>
  <si>
    <t>H8Y6P7_GCOM1</t>
  </si>
  <si>
    <t>I3L097_</t>
  </si>
  <si>
    <t>I3L0X5_SPAG7</t>
  </si>
  <si>
    <t>I3L1Q3_ELP5</t>
  </si>
  <si>
    <t>I3L276_HMOX2</t>
  </si>
  <si>
    <t>I3L2B0_CLUH</t>
  </si>
  <si>
    <t>I3L2J0_CIC</t>
  </si>
  <si>
    <t>I3L397_EIF5A</t>
  </si>
  <si>
    <t>I3L3P7_RPS15A</t>
  </si>
  <si>
    <t>I3L3T4_TOM1L1</t>
  </si>
  <si>
    <t>I3L4X3_NFKBIB</t>
  </si>
  <si>
    <t>J3KMY5_NPC2</t>
  </si>
  <si>
    <t>J3KN29_PSMD9</t>
  </si>
  <si>
    <t>J3KN75_TBC1D8B</t>
  </si>
  <si>
    <t>J3KND9_ETFDH</t>
  </si>
  <si>
    <t>J3KNF4_CCS</t>
  </si>
  <si>
    <t>J3KNJ2_EIF3M</t>
  </si>
  <si>
    <t>J3KNL6_SEC16A</t>
  </si>
  <si>
    <t>J3KP19_SIPA1L1</t>
  </si>
  <si>
    <t>J3KP29_NUP98</t>
  </si>
  <si>
    <t>J3KP36_FAM21C</t>
  </si>
  <si>
    <t>J3KPV7_MPST</t>
  </si>
  <si>
    <t>J3KQ72_FBXO6</t>
  </si>
  <si>
    <t>J3KQC3_SHANK2</t>
  </si>
  <si>
    <t>J3KQN6_PPP2R5E</t>
  </si>
  <si>
    <t>J3KR05_COBL</t>
  </si>
  <si>
    <t>J3KSB8_MIF4GD</t>
  </si>
  <si>
    <t>J3KSI8_MRPS7</t>
  </si>
  <si>
    <t>J3KSS7_GGA3</t>
  </si>
  <si>
    <t>J3KSW8_MPRIP</t>
  </si>
  <si>
    <t>J3KT51_HN1</t>
  </si>
  <si>
    <t>J3KTF8_ARHGDIA</t>
  </si>
  <si>
    <t>J3QK84_NEB</t>
  </si>
  <si>
    <t>J3QKK8_FAM213B</t>
  </si>
  <si>
    <t>J3QL05_SRSF2</t>
  </si>
  <si>
    <t>J3QL56_SCO1</t>
  </si>
  <si>
    <t>J3QLE5_SNRPN</t>
  </si>
  <si>
    <t>J3QLI9_SNRPD1</t>
  </si>
  <si>
    <t>J3QLV0_NUP85</t>
  </si>
  <si>
    <t>J3QR09_RPL19</t>
  </si>
  <si>
    <t>J3QR64_EIF4A1</t>
  </si>
  <si>
    <t>J3QRD1_ALDH3A2</t>
  </si>
  <si>
    <t>J3QRX6_COPRS</t>
  </si>
  <si>
    <t>J3QSV6_RSL1D1</t>
  </si>
  <si>
    <t>J3QT28_BUB3</t>
  </si>
  <si>
    <t>J3QT87_CRBN</t>
  </si>
  <si>
    <t>J9JIE9_HYI</t>
  </si>
  <si>
    <t>K7EIG1_CLUH</t>
  </si>
  <si>
    <t>K7EIJ0_WBP2</t>
  </si>
  <si>
    <t>K7EIU8_SMAD4</t>
  </si>
  <si>
    <t>K7EJ78_RPS15</t>
  </si>
  <si>
    <t>K7EJB9_CALR</t>
  </si>
  <si>
    <t>K7EJG0_hCG_27535</t>
  </si>
  <si>
    <t>K7EJL1_AP1M1</t>
  </si>
  <si>
    <t>K7EJU8_PIPOX</t>
  </si>
  <si>
    <t>K7EK07_H3F3B</t>
  </si>
  <si>
    <t>K7EK11_NAGS</t>
  </si>
  <si>
    <t>K7EKE6_LONP1</t>
  </si>
  <si>
    <t>K7EKI8_PPL</t>
  </si>
  <si>
    <t>K7ELV2_SEH1L</t>
  </si>
  <si>
    <t>K7EMA2_BECN1</t>
  </si>
  <si>
    <t>K7EME0_ACAA2</t>
  </si>
  <si>
    <t>K7ENR6_PSMG2</t>
  </si>
  <si>
    <t>K7ENT8_PRODH2</t>
  </si>
  <si>
    <t>K7EPS8_C19orf12</t>
  </si>
  <si>
    <t>K7ER15_HDHD2</t>
  </si>
  <si>
    <t>K7ER25_CACNA2D4</t>
  </si>
  <si>
    <t>K7ERI9_APOC1</t>
  </si>
  <si>
    <t>K7ES31_EIF3K</t>
  </si>
  <si>
    <t>K7ESE3_RAD23A</t>
  </si>
  <si>
    <t>M0QWZ7_SARS2</t>
  </si>
  <si>
    <t>M0QX35_PAF1</t>
  </si>
  <si>
    <t>M0QY97_ZC3H4</t>
  </si>
  <si>
    <t>M0R042_TUBB4A</t>
  </si>
  <si>
    <t>M0R0F0_RPS5</t>
  </si>
  <si>
    <t>M0R0I0_BABAM1</t>
  </si>
  <si>
    <t>M0R248_ECH1</t>
  </si>
  <si>
    <t>M0R259_SARS2</t>
  </si>
  <si>
    <t>Q2TAM5_RELA</t>
  </si>
  <si>
    <t>Q32N00_POLD3</t>
  </si>
  <si>
    <t>Q3SYB4_SERPINB12</t>
  </si>
  <si>
    <t>Q53XA7_DKFZp686F13224</t>
  </si>
  <si>
    <t>Q567Q0_PPIA</t>
  </si>
  <si>
    <t>Q5HY54_FLNA</t>
  </si>
  <si>
    <t>Q5JP53_TUBB</t>
  </si>
  <si>
    <t>Q5JR04_MOV10</t>
  </si>
  <si>
    <t>Q5JR08_RHOC</t>
  </si>
  <si>
    <t>Q5JSK8_HMGN5</t>
  </si>
  <si>
    <t>Q5JUA8_VPS16</t>
  </si>
  <si>
    <t>Q5JW30_STAU1</t>
  </si>
  <si>
    <t>Q5JXX6_MORF4L2</t>
  </si>
  <si>
    <t>Q5QNY5_PEX19</t>
  </si>
  <si>
    <t>Q5QPM0_RALY</t>
  </si>
  <si>
    <t>Q5QPM7_PSMF1</t>
  </si>
  <si>
    <t>Q5SSZ3_AGER</t>
  </si>
  <si>
    <t>Q5T123_SH3BGRL3</t>
  </si>
  <si>
    <t>Q5T760_SRSF11</t>
  </si>
  <si>
    <t>Q5T985_ITIH2</t>
  </si>
  <si>
    <t>Q5TA02_GSTO1</t>
  </si>
  <si>
    <t>Q5TA58_AGO1</t>
  </si>
  <si>
    <t>Q5TAQ0_MNF1</t>
  </si>
  <si>
    <t>Q5TBP5_TAF4</t>
  </si>
  <si>
    <t>Q5TBU2_ADIRF</t>
  </si>
  <si>
    <t>Q5TCZ7_CUTC</t>
  </si>
  <si>
    <t>Q5VTU3_DYNLT1</t>
  </si>
  <si>
    <t>Q5VTW1_ADAMTS4</t>
  </si>
  <si>
    <t>Q5VU10_RPP30</t>
  </si>
  <si>
    <t>Q64EX5_PFKFB4</t>
  </si>
  <si>
    <t>Q658Y7_DKFZp313H139</t>
  </si>
  <si>
    <t>Q6ICJ4_Em:AP000351.3</t>
  </si>
  <si>
    <t>Q7Z721_RPS6KB1</t>
  </si>
  <si>
    <t>Q86TV2_LGMN</t>
  </si>
  <si>
    <t>Q86UY0_TXNDC5</t>
  </si>
  <si>
    <t>Q86VQ2_WASF3</t>
  </si>
  <si>
    <t>Q8IYN9_PTK2</t>
  </si>
  <si>
    <t>Q8NBY1_MST4</t>
  </si>
  <si>
    <t>Q96CG1_ETF1</t>
  </si>
  <si>
    <t>Q96G53_SLC27A4</t>
  </si>
  <si>
    <t>Q9BVB1_POLD4</t>
  </si>
  <si>
    <t>Q9UQL0_UBE2D4</t>
  </si>
  <si>
    <t>R4GMR5_PSMD8</t>
  </si>
  <si>
    <t>R4GMX3_BMI1</t>
  </si>
  <si>
    <t>R4GN55_YTHDF3</t>
  </si>
  <si>
    <t>R4GN98_S100A6</t>
  </si>
  <si>
    <t>R4GNB2_DENND4C</t>
  </si>
  <si>
    <t>R4GNG2_AMFR</t>
  </si>
  <si>
    <t>R4GNH3_PSMC3</t>
  </si>
  <si>
    <t>Melting_Curves/meltCurve_sp_A0AVT1_UBA6_HUMAN_.pdf</t>
  </si>
  <si>
    <t>Melting_Curves/meltCurve_sp_A0JNW5_UH1BL_HUMAN_.pdf</t>
  </si>
  <si>
    <t>Melting_Curves/meltCurve_sp_A0MZ66_SHOT1_HUMAN_.pdf</t>
  </si>
  <si>
    <t>Melting_Curves/meltCurve_sp_A1L170_CA226_HUMAN_.pdf</t>
  </si>
  <si>
    <t>Melting_Curves/meltCurve_sp_A1L188_CQ089_HUMAN_.pdf</t>
  </si>
  <si>
    <t>Melting_Curves/meltCurve_sp_A1Z1Q3_2_MACD2_HUMAN_.pdf</t>
  </si>
  <si>
    <t>Melting_Curves/meltCurve_sp_A2VDF0_2_FUCM_HUMAN_.pdf</t>
  </si>
  <si>
    <t>Melting_Curves/meltCurve_sp_A4D126_2_ISPD_HUMAN_.pdf</t>
  </si>
  <si>
    <t>Melting_Curves/meltCurve_sp_A4D1P6_2_WDR91_HUMAN_.pdf</t>
  </si>
  <si>
    <t>Melting_Curves/meltCurve_sp_A4D1U4_LCHN_HUMAN_.pdf</t>
  </si>
  <si>
    <t>Melting_Curves/meltCurve_sp_A5YKK6_2_CNOT1_HUMAN_.pdf</t>
  </si>
  <si>
    <t>Melting_Curves/meltCurve_sp_A6ND91_ASPD_HUMAN_.pdf</t>
  </si>
  <si>
    <t>Melting_Curves/meltCurve_sp_A6NDB9_PALM3_HUMAN_.pdf</t>
  </si>
  <si>
    <t>Melting_Curves/meltCurve_sp_A6NDG6_PGP_HUMAN_.pdf</t>
  </si>
  <si>
    <t>Melting_Curves/meltCurve_sp_A6NDJ8_RB43L_HUMAN_.pdf</t>
  </si>
  <si>
    <t>Melting_Curves/meltCurve_sp_A6NEL2_SWAHB_HUMAN_.pdf</t>
  </si>
  <si>
    <t>Melting_Curves/meltCurve_sp_A6NHL2_2_TBAL3_HUMAN_.pdf</t>
  </si>
  <si>
    <t>Melting_Curves/meltCurve_sp_A6NK44_GLOD5_HUMAN_.pdf</t>
  </si>
  <si>
    <t>Melting_Curves/meltCurve_sp_A6NKN8_PC4L1_HUMAN_.pdf</t>
  </si>
  <si>
    <t>Melting_Curves/meltCurve_sp_A6NLP5_TTC36_HUMAN_.pdf</t>
  </si>
  <si>
    <t>Melting_Curves/meltCurve_sp_A8MSI8_LYRM9_HUMAN_.pdf</t>
  </si>
  <si>
    <t>Melting_Curves/meltCurve_sp_A8MXV4_NUD19_HUMAN_.pdf</t>
  </si>
  <si>
    <t>Melting_Curves/meltCurve_sp_B1AK53_ESPN_HUMAN_.pdf</t>
  </si>
  <si>
    <t>Melting_Curves/meltCurve_sp_B7ZAP0_RBG10_HUMAN_.pdf</t>
  </si>
  <si>
    <t>Melting_Curves/meltCurve_sp_B7ZBB8_PP13G_HUMAN_.pdf</t>
  </si>
  <si>
    <t>Melting_Curves/meltCurve_sp_C4AMC7_WASH3_HUMAN_.pdf</t>
  </si>
  <si>
    <t>Melting_Curves/meltCurve_sp_O00142_KITM_HUMAN_.pdf</t>
  </si>
  <si>
    <t>Melting_Curves/meltCurve_sp_O00151_PDLI1_HUMAN_.pdf</t>
  </si>
  <si>
    <t>Melting_Curves/meltCurve_sp_O00154_4_BACH_HUMAN_.pdf</t>
  </si>
  <si>
    <t>Melting_Curves/meltCurve_sp_O00161_2_SNP23_HUMAN_.pdf</t>
  </si>
  <si>
    <t>Melting_Curves/meltCurve_sp_O00170_AIP_HUMAN_.pdf</t>
  </si>
  <si>
    <t>Melting_Curves/meltCurve_sp_O00178_GTPB1_HUMAN_.pdf</t>
  </si>
  <si>
    <t>Melting_Curves/meltCurve_sp_O00231_PSD11_HUMAN_.pdf</t>
  </si>
  <si>
    <t>Melting_Curves/meltCurve_sp_O00232_PSD12_HUMAN_.pdf</t>
  </si>
  <si>
    <t>Melting_Curves/meltCurve_sp_O00244_ATOX1_HUMAN_.pdf</t>
  </si>
  <si>
    <t>Melting_Curves/meltCurve_sp_O00267_2_SPT5H_HUMAN_.pdf</t>
  </si>
  <si>
    <t>Melting_Curves/meltCurve_sp_O00273_DFFA_HUMAN_.pdf</t>
  </si>
  <si>
    <t>Melting_Curves/meltCurve_sp_O00299_CLIC1_HUMAN_.pdf</t>
  </si>
  <si>
    <t>Melting_Curves/meltCurve_sp_O00303_EIF3F_HUMAN_.pdf</t>
  </si>
  <si>
    <t>Melting_Curves/meltCurve_sp_O00401_WASL_HUMAN_.pdf</t>
  </si>
  <si>
    <t>Melting_Curves/meltCurve_sp_O00410_IPO5_HUMAN_.pdf</t>
  </si>
  <si>
    <t>Melting_Curves/meltCurve_sp_O00429_4_DNM1L_HUMAN_.pdf</t>
  </si>
  <si>
    <t>Melting_Curves/meltCurve_sp_O00459_P85B_HUMAN_.pdf</t>
  </si>
  <si>
    <t>Melting_Curves/meltCurve_sp_O00462_MANBA_HUMAN_.pdf</t>
  </si>
  <si>
    <t>Melting_Curves/meltCurve_sp_O00471_EXOC5_HUMAN_.pdf</t>
  </si>
  <si>
    <t>Melting_Curves/meltCurve_sp_O00479_HMGN4_HUMAN_.pdf</t>
  </si>
  <si>
    <t>Melting_Curves/meltCurve_sp_O00487_PSDE_HUMAN_.pdf</t>
  </si>
  <si>
    <t>Melting_Curves/meltCurve_sp_O00499_6_BIN1_HUMAN_.pdf</t>
  </si>
  <si>
    <t>Melting_Curves/meltCurve_sp_O00505_IMA3_HUMAN_.pdf</t>
  </si>
  <si>
    <t>Melting_Curves/meltCurve_sp_O00515_LAD1_HUMAN_.pdf</t>
  </si>
  <si>
    <t>Melting_Curves/meltCurve_sp_O00534_VMA5A_HUMAN_.pdf</t>
  </si>
  <si>
    <t>Melting_Curves/meltCurve_sp_O00567_NOP56_HUMAN_.pdf</t>
  </si>
  <si>
    <t>Melting_Curves/meltCurve_sp_O00571_DDX3X_HUMAN_.pdf</t>
  </si>
  <si>
    <t>Melting_Curves/meltCurve_sp_O00625_PIR_HUMAN_.pdf</t>
  </si>
  <si>
    <t>Melting_Curves/meltCurve_sp_O00629_IMA4_HUMAN_.pdf</t>
  </si>
  <si>
    <t>Melting_Curves/meltCurve_sp_O00635_TRI38_HUMAN_.pdf</t>
  </si>
  <si>
    <t>Melting_Curves/meltCurve_sp_O00743_PPP6_HUMAN_.pdf</t>
  </si>
  <si>
    <t>Melting_Curves/meltCurve_sp_O00748_EST2_HUMAN_.pdf</t>
  </si>
  <si>
    <t>Melting_Curves/meltCurve_sp_O00754_MA2B1_HUMAN_.pdf</t>
  </si>
  <si>
    <t>Melting_Curves/meltCurve_sp_O00757_F16P2_HUMAN_.pdf</t>
  </si>
  <si>
    <t>Melting_Curves/meltCurve_sp_O00763_ACACB_HUMAN_.pdf</t>
  </si>
  <si>
    <t>Melting_Curves/meltCurve_sp_O00764_PDXK_HUMAN_.pdf</t>
  </si>
  <si>
    <t>Melting_Curves/meltCurve_sp_O14497_ARI1A_HUMAN_.pdf</t>
  </si>
  <si>
    <t>Melting_Curves/meltCurve_sp_O14545_TRAD1_HUMAN_.pdf</t>
  </si>
  <si>
    <t>Melting_Curves/meltCurve_sp_O14561_ACPM_HUMAN_.pdf</t>
  </si>
  <si>
    <t>Melting_Curves/meltCurve_sp_O14579_COPE_HUMAN_.pdf</t>
  </si>
  <si>
    <t>Melting_Curves/meltCurve_sp_O14686_MLL2_HUMAN_.pdf</t>
  </si>
  <si>
    <t>Melting_Curves/meltCurve_sp_O14732_2_IMPA2_HUMAN_.pdf</t>
  </si>
  <si>
    <t>Melting_Curves/meltCurve_sp_O14734_ACOT8_HUMAN_.pdf</t>
  </si>
  <si>
    <t>Melting_Curves/meltCurve_sp_O14737_PDCD5_HUMAN_.pdf</t>
  </si>
  <si>
    <t>Melting_Curves/meltCurve_sp_O14744_ANM5_HUMAN_.pdf</t>
  </si>
  <si>
    <t>Melting_Curves/meltCurve_sp_O14745_NHRF1_HUMAN_.pdf</t>
  </si>
  <si>
    <t>Melting_Curves/meltCurve_sp_O14756_H17B6_HUMAN_.pdf</t>
  </si>
  <si>
    <t>Melting_Curves/meltCurve_sp_O14772_FPGT_HUMAN_.pdf</t>
  </si>
  <si>
    <t>Melting_Curves/meltCurve_sp_O14773_2_TPP1_HUMAN_.pdf</t>
  </si>
  <si>
    <t>Melting_Curves/meltCurve_sp_O14776_2_TCRG1_HUMAN_.pdf</t>
  </si>
  <si>
    <t>Melting_Curves/meltCurve_sp_O14787_2_TNPO2_HUMAN_.pdf</t>
  </si>
  <si>
    <t>Melting_Curves/meltCurve_sp_O14818_PSA7_HUMAN_.pdf</t>
  </si>
  <si>
    <t>Melting_Curves/meltCurve_sp_O14832_PAHX_HUMAN_.pdf</t>
  </si>
  <si>
    <t>Melting_Curves/meltCurve_sp_O14841_OPLA_HUMAN_.pdf</t>
  </si>
  <si>
    <t>Melting_Curves/meltCurve_sp_O14879_IFIT3_HUMAN_.pdf</t>
  </si>
  <si>
    <t>Melting_Curves/meltCurve_sp_O14896_IRF6_HUMAN_.pdf</t>
  </si>
  <si>
    <t>Melting_Curves/meltCurve_sp_O14907_TX1B3_HUMAN_.pdf</t>
  </si>
  <si>
    <t>Melting_Curves/meltCurve_sp_O14908_GIPC1_HUMAN_.pdf</t>
  </si>
  <si>
    <t>Melting_Curves/meltCurve_sp_O14929_HAT1_HUMAN_.pdf</t>
  </si>
  <si>
    <t>Melting_Curves/meltCurve_sp_O14933_UB2L6_HUMAN_.pdf</t>
  </si>
  <si>
    <t>Melting_Curves/meltCurve_sp_O14936_3_CSKP_HUMAN_.pdf</t>
  </si>
  <si>
    <t>Melting_Curves/meltCurve_sp_O14964_HGS_HUMAN_.pdf</t>
  </si>
  <si>
    <t>Melting_Curves/meltCurve_sp_O14974_MYPT1_HUMAN_.pdf</t>
  </si>
  <si>
    <t>Melting_Curves/meltCurve_sp_O14975_2_S27A2_HUMAN_.pdf</t>
  </si>
  <si>
    <t>Melting_Curves/meltCurve_sp_O14979_3_HNRDL_HUMAN_.pdf</t>
  </si>
  <si>
    <t>Melting_Curves/meltCurve_sp_O14980_XPO1_HUMAN_.pdf</t>
  </si>
  <si>
    <t>Melting_Curves/meltCurve_sp_O15020_SPTN2_HUMAN_.pdf</t>
  </si>
  <si>
    <t>Melting_Curves/meltCurve_sp_O15021_2_MAST4_HUMAN_.pdf</t>
  </si>
  <si>
    <t>Melting_Curves/meltCurve_sp_O15067_PUR4_HUMAN_.pdf</t>
  </si>
  <si>
    <t>Melting_Curves/meltCurve_sp_O15084_ANR28_HUMAN_.pdf</t>
  </si>
  <si>
    <t>Melting_Curves/meltCurve_sp_O15143_ARC1B_HUMAN_.pdf</t>
  </si>
  <si>
    <t>Melting_Curves/meltCurve_sp_O15144_ARPC2_HUMAN_.pdf</t>
  </si>
  <si>
    <t>Melting_Curves/meltCurve_sp_O15145_ARPC3_HUMAN_.pdf</t>
  </si>
  <si>
    <t>Melting_Curves/meltCurve_sp_O15212_PFD6_HUMAN_.pdf</t>
  </si>
  <si>
    <t>Melting_Curves/meltCurve_sp_O15217_GSTA4_HUMAN_.pdf</t>
  </si>
  <si>
    <t>Melting_Curves/meltCurve_sp_O15229_3_KMO_HUMAN_.pdf</t>
  </si>
  <si>
    <t>Melting_Curves/meltCurve_sp_O15254_ACOX3_HUMAN_.pdf</t>
  </si>
  <si>
    <t>Melting_Curves/meltCurve_sp_O15294_3_OGT1_HUMAN_.pdf</t>
  </si>
  <si>
    <t>Melting_Curves/meltCurve_sp_O15305_PMM2_HUMAN_.pdf</t>
  </si>
  <si>
    <t>Melting_Curves/meltCurve_sp_O15355_PPM1G_HUMAN_.pdf</t>
  </si>
  <si>
    <t>Melting_Curves/meltCurve_sp_O15357_SHIP2_HUMAN_.pdf</t>
  </si>
  <si>
    <t>Melting_Curves/meltCurve_sp_O15372_EIF3H_HUMAN_.pdf</t>
  </si>
  <si>
    <t>Melting_Curves/meltCurve_sp_O15379_HDAC3_HUMAN_.pdf</t>
  </si>
  <si>
    <t>Melting_Curves/meltCurve_sp_O15382_BCAT2_HUMAN_.pdf</t>
  </si>
  <si>
    <t>Melting_Curves/meltCurve_sp_O15397_IPO8_HUMAN_.pdf</t>
  </si>
  <si>
    <t>Melting_Curves/meltCurve_sp_O15400_2_STX7_HUMAN_.pdf</t>
  </si>
  <si>
    <t>Melting_Curves/meltCurve_sp_O15488_4_GLYG2_HUMAN_.pdf</t>
  </si>
  <si>
    <t>Melting_Curves/meltCurve_sp_O15498_YKT6_HUMAN_.pdf</t>
  </si>
  <si>
    <t>Melting_Curves/meltCurve_sp_O15511_ARPC5_HUMAN_.pdf</t>
  </si>
  <si>
    <t>Melting_Curves/meltCurve_sp_O15541_R113A_HUMAN_.pdf</t>
  </si>
  <si>
    <t>Melting_Curves/meltCurve_sp_O43143_DHX15_HUMAN_.pdf</t>
  </si>
  <si>
    <t>Melting_Curves/meltCurve_sp_O43148_MCES_HUMAN_.pdf</t>
  </si>
  <si>
    <t>Melting_Curves/meltCurve_sp_O43149_ZZEF1_HUMAN_.pdf</t>
  </si>
  <si>
    <t>Melting_Curves/meltCurve_sp_O43172_2_PRP4_HUMAN_.pdf</t>
  </si>
  <si>
    <t>Melting_Curves/meltCurve_sp_O43175_SERA_HUMAN_.pdf</t>
  </si>
  <si>
    <t>Melting_Curves/meltCurve_sp_O43236_5_SEPT4_HUMAN_.pdf</t>
  </si>
  <si>
    <t>Melting_Curves/meltCurve_sp_O43237_DC1L2_HUMAN_.pdf</t>
  </si>
  <si>
    <t>Melting_Curves/meltCurve_sp_O43242_PSMD3_HUMAN_.pdf</t>
  </si>
  <si>
    <t>Melting_Curves/meltCurve_sp_O43252_PAPS1_HUMAN_.pdf</t>
  </si>
  <si>
    <t>Melting_Curves/meltCurve_sp_O43290_SNUT1_HUMAN_.pdf</t>
  </si>
  <si>
    <t>Melting_Curves/meltCurve_sp_O43312_4_MTSS1_HUMAN_.pdf</t>
  </si>
  <si>
    <t>Melting_Curves/meltCurve_sp_O43314_2_VIP2_HUMAN_.pdf</t>
  </si>
  <si>
    <t>Melting_Curves/meltCurve_sp_O43318_2_M3K7_HUMAN_.pdf</t>
  </si>
  <si>
    <t>Melting_Curves/meltCurve_sp_O43324_MCA3_HUMAN_.pdf</t>
  </si>
  <si>
    <t>Melting_Curves/meltCurve_sp_O43325_LYRM1_HUMAN_.pdf</t>
  </si>
  <si>
    <t>Melting_Curves/meltCurve_sp_O43390_HNRPR_HUMAN_.pdf</t>
  </si>
  <si>
    <t>Melting_Curves/meltCurve_sp_O43396_TXNL1_HUMAN_.pdf</t>
  </si>
  <si>
    <t>Melting_Curves/meltCurve_sp_O43399_TPD54_HUMAN_.pdf</t>
  </si>
  <si>
    <t>Melting_Curves/meltCurve_sp_O43414_3_ERI3_HUMAN_.pdf</t>
  </si>
  <si>
    <t>Melting_Curves/meltCurve_sp_O43432_IF4G3_HUMAN_.pdf</t>
  </si>
  <si>
    <t>Melting_Curves/meltCurve_sp_O43464_HTRA2_HUMAN_.pdf</t>
  </si>
  <si>
    <t>Melting_Curves/meltCurve_sp_O43491_3_E41L2_HUMAN_.pdf</t>
  </si>
  <si>
    <t>Melting_Curves/meltCurve_sp_O43493_2_TGON2_HUMAN_.pdf</t>
  </si>
  <si>
    <t>Melting_Curves/meltCurve_sp_O43592_XPOT_HUMAN_.pdf</t>
  </si>
  <si>
    <t>Melting_Curves/meltCurve_sp_O43598_DNPH1_HUMAN_.pdf</t>
  </si>
  <si>
    <t>Melting_Curves/meltCurve_sp_O43615_TIM44_HUMAN_.pdf</t>
  </si>
  <si>
    <t>Melting_Curves/meltCurve_sp_O43617_2_TPPC3_HUMAN_.pdf</t>
  </si>
  <si>
    <t>Melting_Curves/meltCurve_sp_O43633_CHM2A_HUMAN_.pdf</t>
  </si>
  <si>
    <t>Melting_Curves/meltCurve_sp_O43670_2_ZN207_HUMAN_.pdf</t>
  </si>
  <si>
    <t>Melting_Curves/meltCurve_sp_O43678_NDUA2_HUMAN_.pdf</t>
  </si>
  <si>
    <t>Melting_Curves/meltCurve_sp_O43681_ASNA_HUMAN_.pdf</t>
  </si>
  <si>
    <t>Melting_Curves/meltCurve_sp_O43704_ST1B1_HUMAN_.pdf</t>
  </si>
  <si>
    <t>Melting_Curves/meltCurve_sp_O43707_ACTN4_HUMAN_.pdf</t>
  </si>
  <si>
    <t>Melting_Curves/meltCurve_sp_O43708_MAAI_HUMAN_.pdf</t>
  </si>
  <si>
    <t>Melting_Curves/meltCurve_sp_O43715_TRIA1_HUMAN_.pdf</t>
  </si>
  <si>
    <t>Melting_Curves/meltCurve_sp_O43716_GATC_HUMAN_.pdf</t>
  </si>
  <si>
    <t>Melting_Curves/meltCurve_sp_O43719_HTSF1_HUMAN_.pdf</t>
  </si>
  <si>
    <t>Melting_Curves/meltCurve_sp_O43741_AAKB2_HUMAN_.pdf</t>
  </si>
  <si>
    <t>Melting_Curves/meltCurve_sp_O43747_AP1G1_HUMAN_.pdf</t>
  </si>
  <si>
    <t>Melting_Curves/meltCurve_sp_O43765_SGTA_HUMAN_.pdf</t>
  </si>
  <si>
    <t>Melting_Curves/meltCurve_sp_O43766_2_LIAS_HUMAN_.pdf</t>
  </si>
  <si>
    <t>Melting_Curves/meltCurve_sp_O43768_2_ENSA_HUMAN_.pdf</t>
  </si>
  <si>
    <t>Melting_Curves/meltCurve_sp_O43776_SYNC_HUMAN_.pdf</t>
  </si>
  <si>
    <t>Melting_Curves/meltCurve_sp_O43795_2_MYO1B_HUMAN_.pdf</t>
  </si>
  <si>
    <t>Melting_Curves/meltCurve_sp_O43805_SSNA1_HUMAN_.pdf</t>
  </si>
  <si>
    <t>Melting_Curves/meltCurve_sp_O43809_CPSF5_HUMAN_.pdf</t>
  </si>
  <si>
    <t>Melting_Curves/meltCurve_sp_O43813_LANC1_HUMAN_.pdf</t>
  </si>
  <si>
    <t>Melting_Curves/meltCurve_sp_O43815_2_STRN_HUMAN_.pdf</t>
  </si>
  <si>
    <t>Melting_Curves/meltCurve_sp_O43820_4_HYAL3_HUMAN_.pdf</t>
  </si>
  <si>
    <t>Melting_Curves/meltCurve_sp_O43837_IDH3B_HUMAN_.pdf</t>
  </si>
  <si>
    <t>Melting_Curves/meltCurve_sp_O43847_NRDC_HUMAN_.pdf</t>
  </si>
  <si>
    <t>Melting_Curves/meltCurve_sp_O43852_CALU_HUMAN_.pdf</t>
  </si>
  <si>
    <t>Melting_Curves/meltCurve_sp_O43865_SAHH2_HUMAN_.pdf</t>
  </si>
  <si>
    <t>Melting_Curves/meltCurve_sp_O43903_GAS2_HUMAN_.pdf</t>
  </si>
  <si>
    <t>Melting_Curves/meltCurve_sp_O60216_RAD21_HUMAN_.pdf</t>
  </si>
  <si>
    <t>Melting_Curves/meltCurve_sp_O60218_AK1BA_HUMAN_.pdf</t>
  </si>
  <si>
    <t>Melting_Curves/meltCurve_sp_O60220_TIM8A_HUMAN_.pdf</t>
  </si>
  <si>
    <t>Melting_Curves/meltCurve_sp_O60231_DHX16_HUMAN_.pdf</t>
  </si>
  <si>
    <t>Melting_Curves/meltCurve_sp_O60240_PLIN1_HUMAN_.pdf</t>
  </si>
  <si>
    <t>Melting_Curves/meltCurve_sp_O60256_KPRB_HUMAN_.pdf</t>
  </si>
  <si>
    <t>Melting_Curves/meltCurve_sp_O60260_5_PRKN2_HUMAN_.pdf</t>
  </si>
  <si>
    <t>Melting_Curves/meltCurve_sp_O60271_4_JIP4_HUMAN_.pdf</t>
  </si>
  <si>
    <t>Melting_Curves/meltCurve_sp_O60341_KDM1A_HUMAN_.pdf</t>
  </si>
  <si>
    <t>Melting_Curves/meltCurve_sp_O60343_2_TBCD4_HUMAN_.pdf</t>
  </si>
  <si>
    <t>Melting_Curves/meltCurve_sp_O60443_DFNA5_HUMAN_.pdf</t>
  </si>
  <si>
    <t>Melting_Curves/meltCurve_sp_O60493_SNX3_HUMAN_.pdf</t>
  </si>
  <si>
    <t>Melting_Curves/meltCurve_sp_O60504_2_VINEX_HUMAN_.pdf</t>
  </si>
  <si>
    <t>Melting_Curves/meltCurve_sp_O60506_2_HNRPQ_HUMAN_.pdf</t>
  </si>
  <si>
    <t>Melting_Curves/meltCurve_sp_O60547_2_GMDS_HUMAN_.pdf</t>
  </si>
  <si>
    <t>Melting_Curves/meltCurve_sp_O60551_NMT2_HUMAN_.pdf</t>
  </si>
  <si>
    <t>Melting_Curves/meltCurve_sp_O60613_SEP15_HUMAN_.pdf</t>
  </si>
  <si>
    <t>Melting_Curves/meltCurve_sp_O60645_3_EXOC3_HUMAN_.pdf</t>
  </si>
  <si>
    <t>Melting_Curves/meltCurve_sp_O60664_4_PLIN3_HUMAN_.pdf</t>
  </si>
  <si>
    <t>Melting_Curves/meltCurve_sp_O60701_UGDH_HUMAN_.pdf</t>
  </si>
  <si>
    <t>Melting_Curves/meltCurve_sp_O60716_5_CTND1_HUMAN_.pdf</t>
  </si>
  <si>
    <t>Melting_Curves/meltCurve_sp_O60749_SNX2_HUMAN_.pdf</t>
  </si>
  <si>
    <t>Melting_Curves/meltCurve_sp_O60763_USO1_HUMAN_.pdf</t>
  </si>
  <si>
    <t>Melting_Curves/meltCurve_sp_O60826_CCD22_HUMAN_.pdf</t>
  </si>
  <si>
    <t>Melting_Curves/meltCurve_sp_O60828_2_PQBP1_HUMAN_.pdf</t>
  </si>
  <si>
    <t>Melting_Curves/meltCurve_sp_O60832_DKC1_HUMAN_.pdf</t>
  </si>
  <si>
    <t>Melting_Curves/meltCurve_sp_O60841_IF2P_HUMAN_.pdf</t>
  </si>
  <si>
    <t>Melting_Curves/meltCurve_sp_O60869_EDF1_HUMAN_.pdf</t>
  </si>
  <si>
    <t>Melting_Curves/meltCurve_sp_O60884_DNJA2_HUMAN_.pdf</t>
  </si>
  <si>
    <t>Melting_Curves/meltCurve_sp_O60885_BRD4_HUMAN_.pdf</t>
  </si>
  <si>
    <t>Melting_Curves/meltCurve_sp_O60925_PFD1_HUMAN_.pdf</t>
  </si>
  <si>
    <t>Melting_Curves/meltCurve_sp_O60927_PP1RB_HUMAN_.pdf</t>
  </si>
  <si>
    <t>Melting_Curves/meltCurve_sp_O60934_NBN_HUMAN_.pdf</t>
  </si>
  <si>
    <t>Melting_Curves/meltCurve_sp_O60942_3_MCE1_HUMAN_.pdf</t>
  </si>
  <si>
    <t>Melting_Curves/meltCurve_sp_O75081_2_MTG16_HUMAN_.pdf</t>
  </si>
  <si>
    <t>Melting_Curves/meltCurve_sp_O75083_WDR1_HUMAN_.pdf</t>
  </si>
  <si>
    <t>Melting_Curves/meltCurve_sp_O75113_N4BP1_HUMAN_.pdf</t>
  </si>
  <si>
    <t>Melting_Curves/meltCurve_sp_O75116_ROCK2_HUMAN_.pdf</t>
  </si>
  <si>
    <t>Melting_Curves/meltCurve_sp_O75131_CPNE3_HUMAN_.pdf</t>
  </si>
  <si>
    <t>Melting_Curves/meltCurve_sp_O75146_HIP1R_HUMAN_.pdf</t>
  </si>
  <si>
    <t>Melting_Curves/meltCurve_sp_O75150_BRE1B_HUMAN_.pdf</t>
  </si>
  <si>
    <t>Melting_Curves/meltCurve_sp_O75155_2_CAND2_HUMAN_.pdf</t>
  </si>
  <si>
    <t>Melting_Curves/meltCurve_sp_O75165_DJC13_HUMAN_.pdf</t>
  </si>
  <si>
    <t>Melting_Curves/meltCurve_sp_O75170_4_PP6R2_HUMAN_.pdf</t>
  </si>
  <si>
    <t>Melting_Curves/meltCurve_sp_O75175_CNOT3_HUMAN_.pdf</t>
  </si>
  <si>
    <t>Melting_Curves/meltCurve_sp_O75177_CREST_HUMAN_.pdf</t>
  </si>
  <si>
    <t>Melting_Curves/meltCurve_sp_O75185_AT2C2_HUMAN_.pdf</t>
  </si>
  <si>
    <t>Melting_Curves/meltCurve_sp_O75191_XYLB_HUMAN_.pdf</t>
  </si>
  <si>
    <t>Melting_Curves/meltCurve_sp_O75208_COQ9_HUMAN_.pdf</t>
  </si>
  <si>
    <t>Melting_Curves/meltCurve_sp_O75223_GGCT_HUMAN_.pdf</t>
  </si>
  <si>
    <t>Melting_Curves/meltCurve_sp_O75323_NIPS2_HUMAN_.pdf</t>
  </si>
  <si>
    <t>Melting_Curves/meltCurve_sp_O75340_PDCD6_HUMAN_.pdf</t>
  </si>
  <si>
    <t>Melting_Curves/meltCurve_sp_O75347_TBCA_HUMAN_.pdf</t>
  </si>
  <si>
    <t>Melting_Curves/meltCurve_sp_O75348_VATG1_HUMAN_.pdf</t>
  </si>
  <si>
    <t>Melting_Curves/meltCurve_sp_O75351_VPS4B_HUMAN_.pdf</t>
  </si>
  <si>
    <t>Melting_Curves/meltCurve_sp_O75356_ENTP5_HUMAN_.pdf</t>
  </si>
  <si>
    <t>Melting_Curves/meltCurve_sp_O75368_SH3L1_HUMAN_.pdf</t>
  </si>
  <si>
    <t>Melting_Curves/meltCurve_sp_O75369_8_FLNB_HUMAN_.pdf</t>
  </si>
  <si>
    <t>Melting_Curves/meltCurve_sp_O75376_NCOR1_HUMAN_.pdf</t>
  </si>
  <si>
    <t>Melting_Curves/meltCurve_sp_O75380_NDUS6_HUMAN_.pdf</t>
  </si>
  <si>
    <t>Melting_Curves/meltCurve_sp_O75396_SC22B_HUMAN_.pdf</t>
  </si>
  <si>
    <t>Melting_Curves/meltCurve_sp_O75400_2_PR40A_HUMAN_.pdf</t>
  </si>
  <si>
    <t>Melting_Curves/meltCurve_sp_O75414_2_NDK6_HUMAN_.pdf</t>
  </si>
  <si>
    <t>Melting_Curves/meltCurve_sp_O75436_VP26A_HUMAN_.pdf</t>
  </si>
  <si>
    <t>Melting_Curves/meltCurve_sp_O75439_MPPB_HUMAN_.pdf</t>
  </si>
  <si>
    <t>Melting_Curves/meltCurve_sp_O75452_RDH16_HUMAN_.pdf</t>
  </si>
  <si>
    <t>Melting_Curves/meltCurve_sp_O75475_PSIP1_HUMAN_.pdf</t>
  </si>
  <si>
    <t>Melting_Curves/meltCurve_sp_O75503_CLN5_HUMAN_.pdf</t>
  </si>
  <si>
    <t>Melting_Curves/meltCurve_sp_O75521_2_ECI2_HUMAN_.pdf</t>
  </si>
  <si>
    <t>Melting_Curves/meltCurve_sp_O75531_BAF_HUMAN_.pdf</t>
  </si>
  <si>
    <t>Melting_Curves/meltCurve_sp_O75533_SF3B1_HUMAN_.pdf</t>
  </si>
  <si>
    <t>Melting_Curves/meltCurve_sp_O75534_CSDE1_HUMAN_.pdf</t>
  </si>
  <si>
    <t>Melting_Curves/meltCurve_sp_O75570_RF1M_HUMAN_.pdf</t>
  </si>
  <si>
    <t>Melting_Curves/meltCurve_sp_O75600_KBL_HUMAN_.pdf</t>
  </si>
  <si>
    <t>Melting_Curves/meltCurve_sp_O75608_2_LYPA1_HUMAN_.pdf</t>
  </si>
  <si>
    <t>Melting_Curves/meltCurve_sp_O75629_CREG1_HUMAN_.pdf</t>
  </si>
  <si>
    <t>Melting_Curves/meltCurve_sp_O75643_U520_HUMAN_.pdf</t>
  </si>
  <si>
    <t>Melting_Curves/meltCurve_sp_O75663_TIPRL_HUMAN_.pdf</t>
  </si>
  <si>
    <t>Melting_Curves/meltCurve_sp_O75688_PPM1B_HUMAN_.pdf</t>
  </si>
  <si>
    <t>Melting_Curves/meltCurve_sp_O75695_XRP2_HUMAN_.pdf</t>
  </si>
  <si>
    <t>Melting_Curves/meltCurve_sp_O75764_TCEA3_HUMAN_.pdf</t>
  </si>
  <si>
    <t>Melting_Curves/meltCurve_sp_O75821_EIF3G_HUMAN_.pdf</t>
  </si>
  <si>
    <t>Melting_Curves/meltCurve_sp_O75822_EIF3J_HUMAN_.pdf</t>
  </si>
  <si>
    <t>Melting_Curves/meltCurve_sp_O75874_IDHC_HUMAN_.pdf</t>
  </si>
  <si>
    <t>Melting_Curves/meltCurve_sp_O75884_RBBP9_HUMAN_.pdf</t>
  </si>
  <si>
    <t>Melting_Curves/meltCurve_sp_O75886_STAM2_HUMAN_.pdf</t>
  </si>
  <si>
    <t>Melting_Curves/meltCurve_sp_O75891_AL1L1_HUMAN_.pdf</t>
  </si>
  <si>
    <t>Melting_Curves/meltCurve_sp_O75896_TUSC2_HUMAN_.pdf</t>
  </si>
  <si>
    <t>Melting_Curves/meltCurve_sp_O75934_SPF27_HUMAN_.pdf</t>
  </si>
  <si>
    <t>Melting_Curves/meltCurve_sp_O75935_3_DCTN3_HUMAN_.pdf</t>
  </si>
  <si>
    <t>Melting_Curves/meltCurve_sp_O75936_BODG_HUMAN_.pdf</t>
  </si>
  <si>
    <t>Melting_Curves/meltCurve_sp_O75937_DNJC8_HUMAN_.pdf</t>
  </si>
  <si>
    <t>Melting_Curves/meltCurve_sp_O75940_SPF30_HUMAN_.pdf</t>
  </si>
  <si>
    <t>Melting_Curves/meltCurve_sp_O75970_3_MPDZ_HUMAN_.pdf</t>
  </si>
  <si>
    <t>Melting_Curves/meltCurve_sp_O75976_CBPD_HUMAN_.pdf</t>
  </si>
  <si>
    <t>Melting_Curves/meltCurve_sp_O76003_GLRX3_HUMAN_.pdf</t>
  </si>
  <si>
    <t>Melting_Curves/meltCurve_sp_O76024_WFS1_HUMAN_.pdf</t>
  </si>
  <si>
    <t>Melting_Curves/meltCurve_sp_O76031_CLPX_HUMAN_.pdf</t>
  </si>
  <si>
    <t>Melting_Curves/meltCurve_sp_O76054_S14L2_HUMAN_.pdf</t>
  </si>
  <si>
    <t>Melting_Curves/meltCurve_sp_O76071_CIAO1_HUMAN_.pdf</t>
  </si>
  <si>
    <t>Melting_Curves/meltCurve_sp_O76094_SRP72_HUMAN_.pdf</t>
  </si>
  <si>
    <t>Melting_Curves/meltCurve_sp_O94760_DDAH1_HUMAN_.pdf</t>
  </si>
  <si>
    <t>Melting_Curves/meltCurve_sp_O94776_MTA2_HUMAN_.pdf</t>
  </si>
  <si>
    <t>Melting_Curves/meltCurve_sp_O94788_4_AL1A2_HUMAN_.pdf</t>
  </si>
  <si>
    <t>Melting_Curves/meltCurve_sp_O94804_STK10_HUMAN_.pdf</t>
  </si>
  <si>
    <t>Melting_Curves/meltCurve_sp_O94811_TPPP_HUMAN_.pdf</t>
  </si>
  <si>
    <t>Melting_Curves/meltCurve_sp_O94819_KBTBB_HUMAN_.pdf</t>
  </si>
  <si>
    <t>Melting_Curves/meltCurve_sp_O94826_TOM70_HUMAN_.pdf</t>
  </si>
  <si>
    <t>Melting_Curves/meltCurve_sp_O94851_5_MICA2_HUMAN_.pdf</t>
  </si>
  <si>
    <t>Melting_Curves/meltCurve_sp_O94855_SC24D_HUMAN_.pdf</t>
  </si>
  <si>
    <t>Melting_Curves/meltCurve_sp_O94874_UFL1_HUMAN_.pdf</t>
  </si>
  <si>
    <t>Melting_Curves/meltCurve_sp_O94875_12_SRBS2_HUMAN_.pdf</t>
  </si>
  <si>
    <t>Melting_Curves/meltCurve_sp_O94887_FARP2_HUMAN_.pdf</t>
  </si>
  <si>
    <t>Melting_Curves/meltCurve_sp_O94903_PROSC_HUMAN_.pdf</t>
  </si>
  <si>
    <t>Melting_Curves/meltCurve_sp_O94929_2_ABLM3_HUMAN_.pdf</t>
  </si>
  <si>
    <t>Melting_Curves/meltCurve_sp_O94973_AP2A2_HUMAN_.pdf</t>
  </si>
  <si>
    <t>Melting_Curves/meltCurve_sp_O94979_3_SC31A_HUMAN_.pdf</t>
  </si>
  <si>
    <t>Melting_Curves/meltCurve_sp_O94992_HEXI1_HUMAN_.pdf</t>
  </si>
  <si>
    <t>Melting_Curves/meltCurve_sp_O95081_AGFG2_HUMAN_.pdf</t>
  </si>
  <si>
    <t>Melting_Curves/meltCurve_sp_O95104_3_SFR15_HUMAN_.pdf</t>
  </si>
  <si>
    <t>Melting_Curves/meltCurve_sp_O95154_ARK73_HUMAN_.pdf</t>
  </si>
  <si>
    <t>Melting_Curves/meltCurve_sp_O95155_3_UBE4B_HUMAN_.pdf</t>
  </si>
  <si>
    <t>Melting_Curves/meltCurve_sp_O95163_ELP1_HUMAN_.pdf</t>
  </si>
  <si>
    <t>Melting_Curves/meltCurve_sp_O95202_LETM1_HUMAN_.pdf</t>
  </si>
  <si>
    <t>Melting_Curves/meltCurve_sp_O95210_STBD1_HUMAN_.pdf</t>
  </si>
  <si>
    <t>Melting_Curves/meltCurve_sp_O95218_2_ZRAB2_HUMAN_.pdf</t>
  </si>
  <si>
    <t>Melting_Curves/meltCurve_sp_O95219_SNX4_HUMAN_.pdf</t>
  </si>
  <si>
    <t>Melting_Curves/meltCurve_sp_O95232_LC7L3_HUMAN_.pdf</t>
  </si>
  <si>
    <t>Melting_Curves/meltCurve_sp_O95251_2_KAT7_HUMAN_.pdf</t>
  </si>
  <si>
    <t>Melting_Curves/meltCurve_sp_O95278_7_EPM2A_HUMAN_.pdf</t>
  </si>
  <si>
    <t>Melting_Curves/meltCurve_sp_O95292_VAPB_HUMAN_.pdf</t>
  </si>
  <si>
    <t>Melting_Curves/meltCurve_sp_O95295_SNAPN_HUMAN_.pdf</t>
  </si>
  <si>
    <t>Melting_Curves/meltCurve_sp_O95336_6PGL_HUMAN_.pdf</t>
  </si>
  <si>
    <t>Melting_Curves/meltCurve_sp_O95340_PAPS2_HUMAN_.pdf</t>
  </si>
  <si>
    <t>Melting_Curves/meltCurve_sp_O95352_ATG7_HUMAN_.pdf</t>
  </si>
  <si>
    <t>Melting_Curves/meltCurve_sp_O95363_SYFM_HUMAN_.pdf</t>
  </si>
  <si>
    <t>Melting_Curves/meltCurve_sp_O95372_LYPA2_HUMAN_.pdf</t>
  </si>
  <si>
    <t>Melting_Curves/meltCurve_sp_O95373_IPO7_HUMAN_.pdf</t>
  </si>
  <si>
    <t>Melting_Curves/meltCurve_sp_O95376_ARI2_HUMAN_.pdf</t>
  </si>
  <si>
    <t>Melting_Curves/meltCurve_sp_O95394_AGM1_HUMAN_.pdf</t>
  </si>
  <si>
    <t>Melting_Curves/meltCurve_sp_O95396_MOCS3_HUMAN_.pdf</t>
  </si>
  <si>
    <t>Melting_Curves/meltCurve_sp_O95399_UTS2_HUMAN_.pdf</t>
  </si>
  <si>
    <t>Melting_Curves/meltCurve_sp_O95425_2_SVIL_HUMAN_.pdf</t>
  </si>
  <si>
    <t>Melting_Curves/meltCurve_sp_O95429_2_BAG4_HUMAN_.pdf</t>
  </si>
  <si>
    <t>Melting_Curves/meltCurve_sp_O95433_AHSA1_HUMAN_.pdf</t>
  </si>
  <si>
    <t>Melting_Curves/meltCurve_sp_O95456_2_PSMG1_HUMAN_.pdf</t>
  </si>
  <si>
    <t>Melting_Curves/meltCurve_sp_O95479_G6PE_HUMAN_.pdf</t>
  </si>
  <si>
    <t>Melting_Curves/meltCurve_sp_O95486_SC24A_HUMAN_.pdf</t>
  </si>
  <si>
    <t>Melting_Curves/meltCurve_sp_O95487_2_SC24B_HUMAN_.pdf</t>
  </si>
  <si>
    <t>Melting_Curves/meltCurve_sp_O95497_VNN1_HUMAN_.pdf</t>
  </si>
  <si>
    <t>Melting_Curves/meltCurve_sp_O95544_NADK_HUMAN_.pdf</t>
  </si>
  <si>
    <t>Melting_Curves/meltCurve_sp_O95571_ETHE1_HUMAN_.pdf</t>
  </si>
  <si>
    <t>Melting_Curves/meltCurve_sp_O95630_STABP_HUMAN_.pdf</t>
  </si>
  <si>
    <t>Melting_Curves/meltCurve_sp_O95671_2_ASML_HUMAN_.pdf</t>
  </si>
  <si>
    <t>Melting_Curves/meltCurve_sp_O95721_SNP29_HUMAN_.pdf</t>
  </si>
  <si>
    <t>Melting_Curves/meltCurve_sp_O95747_OXSR1_HUMAN_.pdf</t>
  </si>
  <si>
    <t>Melting_Curves/meltCurve_sp_O95757_HS74L_HUMAN_.pdf</t>
  </si>
  <si>
    <t>Melting_Curves/meltCurve_sp_O95777_NAA38_HUMAN_.pdf</t>
  </si>
  <si>
    <t>Melting_Curves/meltCurve_sp_O95782_2_AP2A1_HUMAN_.pdf</t>
  </si>
  <si>
    <t>Melting_Curves/meltCurve_sp_O95810_SDPR_HUMAN_.pdf</t>
  </si>
  <si>
    <t>Melting_Curves/meltCurve_sp_O95816_BAG2_HUMAN_.pdf</t>
  </si>
  <si>
    <t>Melting_Curves/meltCurve_sp_O95817_BAG3_HUMAN_.pdf</t>
  </si>
  <si>
    <t>Melting_Curves/meltCurve_sp_O95822_DCMC_HUMAN_.pdf</t>
  </si>
  <si>
    <t>Melting_Curves/meltCurve_sp_O95825_QORL1_HUMAN_.pdf</t>
  </si>
  <si>
    <t>Melting_Curves/meltCurve_sp_O95831_3_AIFM1_HUMAN_.pdf</t>
  </si>
  <si>
    <t>Melting_Curves/meltCurve_sp_O95834_EMAL2_HUMAN_.pdf</t>
  </si>
  <si>
    <t>Melting_Curves/meltCurve_sp_O95865_DDAH2_HUMAN_.pdf</t>
  </si>
  <si>
    <t>Melting_Curves/meltCurve_sp_O95881_TXD12_HUMAN_.pdf</t>
  </si>
  <si>
    <t>Melting_Curves/meltCurve_sp_O95954_FTCD_HUMAN_.pdf</t>
  </si>
  <si>
    <t>Melting_Curves/meltCurve_sp_O95989_NUDT3_HUMAN_.pdf</t>
  </si>
  <si>
    <t>Melting_Curves/meltCurve_sp_O96007_MOC2B_HUMAN_.pdf</t>
  </si>
  <si>
    <t>Melting_Curves/meltCurve_sp_O96033_MOC2A_HUMAN_.pdf</t>
  </si>
  <si>
    <t>Melting_Curves/meltCurve_sp_P00325_ADH1B_HUMAN_.pdf</t>
  </si>
  <si>
    <t>Melting_Curves/meltCurve_sp_P00326_ADH1G_HUMAN_.pdf</t>
  </si>
  <si>
    <t>Melting_Curves/meltCurve_sp_P00338_LDHA_HUMAN_.pdf</t>
  </si>
  <si>
    <t>Melting_Curves/meltCurve_sp_P00352_AL1A1_HUMAN_.pdf</t>
  </si>
  <si>
    <t>Melting_Curves/meltCurve_sp_P00387_2_NB5R3_HUMAN_.pdf</t>
  </si>
  <si>
    <t>Melting_Curves/meltCurve_sp_P00390_2_GSHR_HUMAN_.pdf</t>
  </si>
  <si>
    <t>Melting_Curves/meltCurve_sp_P00390_5_GSHR_HUMAN_.pdf</t>
  </si>
  <si>
    <t>Melting_Curves/meltCurve_sp_P00439_PH4H_HUMAN_.pdf</t>
  </si>
  <si>
    <t>Melting_Curves/meltCurve_sp_P00450_CERU_HUMAN_.pdf</t>
  </si>
  <si>
    <t>Melting_Curves/meltCurve_sp_P00480_OTC_HUMAN_.pdf</t>
  </si>
  <si>
    <t>Melting_Curves/meltCurve_sp_P00491_PNPH_HUMAN_.pdf</t>
  </si>
  <si>
    <t>Melting_Curves/meltCurve_sp_P00492_HPRT_HUMAN_.pdf</t>
  </si>
  <si>
    <t>Melting_Curves/meltCurve_sp_P00505_AATM_HUMAN_.pdf</t>
  </si>
  <si>
    <t>Melting_Curves/meltCurve_sp_P00558_PGK1_HUMAN_.pdf</t>
  </si>
  <si>
    <t>Melting_Curves/meltCurve_sp_P00568_KAD1_HUMAN_.pdf</t>
  </si>
  <si>
    <t>Melting_Curves/meltCurve_sp_P00734_THRB_HUMAN_.pdf</t>
  </si>
  <si>
    <t>Melting_Curves/meltCurve_sp_P00736_C1R_HUMAN_.pdf</t>
  </si>
  <si>
    <t>Melting_Curves/meltCurve_sp_P00738_HPT_HUMAN_.pdf</t>
  </si>
  <si>
    <t>Melting_Curves/meltCurve_sp_P00740_FA9_HUMAN_.pdf</t>
  </si>
  <si>
    <t>Melting_Curves/meltCurve_sp_P00747_PLMN_HUMAN_.pdf</t>
  </si>
  <si>
    <t>Melting_Curves/meltCurve_sp_P00966_ASSY_HUMAN_.pdf</t>
  </si>
  <si>
    <t>Melting_Curves/meltCurve_sp_P01009_A1AT_HUMAN_.pdf</t>
  </si>
  <si>
    <t>Melting_Curves/meltCurve_sp_P01011_AACT_HUMAN_.pdf</t>
  </si>
  <si>
    <t>Melting_Curves/meltCurve_sp_P01019_ANGT_HUMAN_.pdf</t>
  </si>
  <si>
    <t>Melting_Curves/meltCurve_sp_P01023_A2MG_HUMAN_.pdf</t>
  </si>
  <si>
    <t>Melting_Curves/meltCurve_sp_P01024_CO3_HUMAN_.pdf</t>
  </si>
  <si>
    <t>Melting_Curves/meltCurve_sp_P01034_CYTC_HUMAN_.pdf</t>
  </si>
  <si>
    <t>Melting_Curves/meltCurve_sp_P01040_CYTA_HUMAN_.pdf</t>
  </si>
  <si>
    <t>Melting_Curves/meltCurve_sp_P01042_2_KNG1_HUMAN_.pdf</t>
  </si>
  <si>
    <t>Melting_Curves/meltCurve_sp_P01111_RASN_HUMAN_.pdf</t>
  </si>
  <si>
    <t>Melting_Curves/meltCurve_sp_P01116_2_RASK_HUMAN_.pdf</t>
  </si>
  <si>
    <t>Melting_Curves/meltCurve_sp_P01598_KV106_HUMAN_.pdf</t>
  </si>
  <si>
    <t>Melting_Curves/meltCurve_sp_P01763_HV302_HUMAN_.pdf</t>
  </si>
  <si>
    <t>Melting_Curves/meltCurve_sp_P01765_HV304_HUMAN_.pdf</t>
  </si>
  <si>
    <t>Melting_Curves/meltCurve_sp_P01834_IGKC_HUMAN_.pdf</t>
  </si>
  <si>
    <t>Melting_Curves/meltCurve_sp_P01857_IGHG1_HUMAN_.pdf</t>
  </si>
  <si>
    <t>Melting_Curves/meltCurve_sp_P01860_IGHG3_HUMAN_.pdf</t>
  </si>
  <si>
    <t>Melting_Curves/meltCurve_sp_P01871_IGHM_HUMAN_.pdf</t>
  </si>
  <si>
    <t>Melting_Curves/meltCurve_sp_P01876_IGHA1_HUMAN_.pdf</t>
  </si>
  <si>
    <t>Melting_Curves/meltCurve_sp_P01877_IGHA2_HUMAN_.pdf</t>
  </si>
  <si>
    <t>Melting_Curves/meltCurve_sp_P02462_2_CO4A1_HUMAN_.pdf</t>
  </si>
  <si>
    <t>Melting_Curves/meltCurve_sp_P02533_K1C14_HUMAN_.pdf</t>
  </si>
  <si>
    <t>Melting_Curves/meltCurve_sp_P02538_K2C6A_HUMAN_.pdf</t>
  </si>
  <si>
    <t>Melting_Curves/meltCurve_sp_P02545_LMNA_HUMAN_.pdf</t>
  </si>
  <si>
    <t>Melting_Curves/meltCurve_sp_P02647_APOA1_HUMAN_.pdf</t>
  </si>
  <si>
    <t>Melting_Curves/meltCurve_sp_P02649_APOE_HUMAN_.pdf</t>
  </si>
  <si>
    <t>Melting_Curves/meltCurve_sp_P02652_APOA2_HUMAN_.pdf</t>
  </si>
  <si>
    <t>Melting_Curves/meltCurve_sp_P02656_APOC3_HUMAN_.pdf</t>
  </si>
  <si>
    <t>Melting_Curves/meltCurve_sp_P02671_2_FIBA_HUMAN_.pdf</t>
  </si>
  <si>
    <t>Melting_Curves/meltCurve_sp_P02675_FIBB_HUMAN_.pdf</t>
  </si>
  <si>
    <t>Melting_Curves/meltCurve_sp_P02679_2_FIBG_HUMAN_.pdf</t>
  </si>
  <si>
    <t>Melting_Curves/meltCurve_sp_P02743_SAMP_HUMAN_.pdf</t>
  </si>
  <si>
    <t>Melting_Curves/meltCurve_sp_P02748_CO9_HUMAN_.pdf</t>
  </si>
  <si>
    <t>Melting_Curves/meltCurve_sp_P02749_APOH_HUMAN_.pdf</t>
  </si>
  <si>
    <t>Melting_Curves/meltCurve_sp_P02750_A2GL_HUMAN_.pdf</t>
  </si>
  <si>
    <t>Melting_Curves/meltCurve_sp_P02760_AMBP_HUMAN_.pdf</t>
  </si>
  <si>
    <t>Melting_Curves/meltCurve_sp_P02763_A1AG1_HUMAN_.pdf</t>
  </si>
  <si>
    <t>Melting_Curves/meltCurve_sp_P02765_FETUA_HUMAN_.pdf</t>
  </si>
  <si>
    <t>Melting_Curves/meltCurve_sp_P02766_TTHY_HUMAN_.pdf</t>
  </si>
  <si>
    <t>Melting_Curves/meltCurve_sp_P02771_FETA_HUMAN_.pdf</t>
  </si>
  <si>
    <t>Melting_Curves/meltCurve_sp_P02774_VTDB_HUMAN_.pdf</t>
  </si>
  <si>
    <t>Melting_Curves/meltCurve_sp_P02790_HEMO_HUMAN_.pdf</t>
  </si>
  <si>
    <t>Melting_Curves/meltCurve_sp_P02792_FRIL_HUMAN_.pdf</t>
  </si>
  <si>
    <t>Melting_Curves/meltCurve_sp_P02794_FRIH_HUMAN_.pdf</t>
  </si>
  <si>
    <t>Melting_Curves/meltCurve_sp_P02795_MT2_HUMAN_.pdf</t>
  </si>
  <si>
    <t>Melting_Curves/meltCurve_sp_P03950_ANGI_HUMAN_.pdf</t>
  </si>
  <si>
    <t>Melting_Curves/meltCurve_sp_P04003_C4BPA_HUMAN_.pdf</t>
  </si>
  <si>
    <t>Melting_Curves/meltCurve_sp_P04004_VTNC_HUMAN_.pdf</t>
  </si>
  <si>
    <t>Melting_Curves/meltCurve_sp_P04066_FUCO_HUMAN_.pdf</t>
  </si>
  <si>
    <t>Melting_Curves/meltCurve_sp_P04080_CYTB_HUMAN_.pdf</t>
  </si>
  <si>
    <t>Melting_Curves/meltCurve_sp_P04083_ANXA1_HUMAN_.pdf</t>
  </si>
  <si>
    <t>Melting_Curves/meltCurve_sp_P04114_APOB_HUMAN_.pdf</t>
  </si>
  <si>
    <t>Melting_Curves/meltCurve_sp_P04150_7_GCR_HUMAN_.pdf</t>
  </si>
  <si>
    <t>Melting_Curves/meltCurve_sp_P04179_SODM_HUMAN_.pdf</t>
  </si>
  <si>
    <t>Melting_Curves/meltCurve_sp_P04181_OAT_HUMAN_.pdf</t>
  </si>
  <si>
    <t>Melting_Curves/meltCurve_sp_P04196_HRG_HUMAN_.pdf</t>
  </si>
  <si>
    <t>Melting_Curves/meltCurve_sp_P04206_KV307_HUMAN_.pdf</t>
  </si>
  <si>
    <t>Melting_Curves/meltCurve_sp_P04217_A1BG_HUMAN_.pdf</t>
  </si>
  <si>
    <t>Melting_Curves/meltCurve_sp_P04259_K2C6B_HUMAN_.pdf</t>
  </si>
  <si>
    <t>Melting_Curves/meltCurve_sp_P04264_K2C1_HUMAN_.pdf</t>
  </si>
  <si>
    <t>Melting_Curves/meltCurve_sp_P04406_2_G3P_HUMAN_.pdf</t>
  </si>
  <si>
    <t>Melting_Curves/meltCurve_sp_P04406_G3P_HUMAN_.pdf</t>
  </si>
  <si>
    <t>Melting_Curves/meltCurve_sp_P04424_ARLY_HUMAN_.pdf</t>
  </si>
  <si>
    <t>Melting_Curves/meltCurve_sp_P04632_CPNS1_HUMAN_.pdf</t>
  </si>
  <si>
    <t>Melting_Curves/meltCurve_sp_P04731_MT1A_HUMAN_.pdf</t>
  </si>
  <si>
    <t>Melting_Curves/meltCurve_sp_P04732_MT1E_HUMAN_.pdf</t>
  </si>
  <si>
    <t>Melting_Curves/meltCurve_sp_P04733_MT1F_HUMAN_.pdf</t>
  </si>
  <si>
    <t>Melting_Curves/meltCurve_sp_P04792_HSPB1_HUMAN_.pdf</t>
  </si>
  <si>
    <t>Melting_Curves/meltCurve_sp_P05023_3_AT1A1_HUMAN_.pdf</t>
  </si>
  <si>
    <t>Melting_Curves/meltCurve_sp_P05062_ALDOB_HUMAN_.pdf</t>
  </si>
  <si>
    <t>Melting_Curves/meltCurve_sp_P05089_ARGI1_HUMAN_.pdf</t>
  </si>
  <si>
    <t>Melting_Curves/meltCurve_sp_P05090_APOD_HUMAN_.pdf</t>
  </si>
  <si>
    <t>Melting_Curves/meltCurve_sp_P05091_ALDH2_HUMAN_.pdf</t>
  </si>
  <si>
    <t>Melting_Curves/meltCurve_sp_P05109_S10A8_HUMAN_.pdf</t>
  </si>
  <si>
    <t>Melting_Curves/meltCurve_sp_P05114_HMGN1_HUMAN_.pdf</t>
  </si>
  <si>
    <t>Melting_Curves/meltCurve_sp_P05155_IC1_HUMAN_.pdf</t>
  </si>
  <si>
    <t>Melting_Curves/meltCurve_sp_P05161_ISG15_HUMAN_.pdf</t>
  </si>
  <si>
    <t>Melting_Curves/meltCurve_sp_P05164_2_PERM_HUMAN_.pdf</t>
  </si>
  <si>
    <t>Melting_Curves/meltCurve_sp_P05165_PCCA_HUMAN_.pdf</t>
  </si>
  <si>
    <t>Melting_Curves/meltCurve_sp_P05166_PCCB_HUMAN_.pdf</t>
  </si>
  <si>
    <t>Melting_Curves/meltCurve_sp_P05181_CP2E1_HUMAN_.pdf</t>
  </si>
  <si>
    <t>Melting_Curves/meltCurve_sp_P05186_2_PPBT_HUMAN_.pdf</t>
  </si>
  <si>
    <t>Melting_Curves/meltCurve_sp_P05198_IF2A_HUMAN_.pdf</t>
  </si>
  <si>
    <t>Melting_Curves/meltCurve_sp_P05204_HMGN2_HUMAN_.pdf</t>
  </si>
  <si>
    <t>Melting_Curves/meltCurve_sp_P05387_RLA2_HUMAN_.pdf</t>
  </si>
  <si>
    <t>Melting_Curves/meltCurve_sp_P05455_LA_HUMAN_.pdf</t>
  </si>
  <si>
    <t>Melting_Curves/meltCurve_sp_P05543_THBG_HUMAN_.pdf</t>
  </si>
  <si>
    <t>Melting_Curves/meltCurve_sp_P05546_HEP2_HUMAN_.pdf</t>
  </si>
  <si>
    <t>Melting_Curves/meltCurve_sp_P05556_ITB1_HUMAN_.pdf</t>
  </si>
  <si>
    <t>Melting_Curves/meltCurve_sp_P05783_K1C18_HUMAN_.pdf</t>
  </si>
  <si>
    <t>Melting_Curves/meltCurve_sp_P05787_K2C8_HUMAN_.pdf</t>
  </si>
  <si>
    <t>Melting_Curves/meltCurve_sp_P05976_2_MYL1_HUMAN_.pdf</t>
  </si>
  <si>
    <t>Melting_Curves/meltCurve_sp_P06132_DCUP_HUMAN_.pdf</t>
  </si>
  <si>
    <t>Melting_Curves/meltCurve_sp_P06280_AGAL_HUMAN_.pdf</t>
  </si>
  <si>
    <t>Melting_Curves/meltCurve_sp_P06576_ATPB_HUMAN_.pdf</t>
  </si>
  <si>
    <t>Melting_Curves/meltCurve_sp_P06681_CO2_HUMAN_.pdf</t>
  </si>
  <si>
    <t>Melting_Curves/meltCurve_sp_P06702_S10A9_HUMAN_.pdf</t>
  </si>
  <si>
    <t>Melting_Curves/meltCurve_sp_P06727_APOA4_HUMAN_.pdf</t>
  </si>
  <si>
    <t>Melting_Curves/meltCurve_sp_P06730_IF4E_HUMAN_.pdf</t>
  </si>
  <si>
    <t>Melting_Curves/meltCurve_sp_P06733_ENOA_HUMAN_.pdf</t>
  </si>
  <si>
    <t>Melting_Curves/meltCurve_sp_P06737_2_PYGL_HUMAN_.pdf</t>
  </si>
  <si>
    <t>Melting_Curves/meltCurve_sp_P06744_G6PI_HUMAN_.pdf</t>
  </si>
  <si>
    <t>Melting_Curves/meltCurve_sp_P06748_NPM_HUMAN_.pdf</t>
  </si>
  <si>
    <t>Melting_Curves/meltCurve_sp_P06753_2_TPM3_HUMAN_.pdf</t>
  </si>
  <si>
    <t>Melting_Curves/meltCurve_sp_P06753_5_TPM3_HUMAN_.pdf</t>
  </si>
  <si>
    <t>Melting_Curves/meltCurve_sp_P07099_HYEP_HUMAN_.pdf</t>
  </si>
  <si>
    <t>Melting_Curves/meltCurve_sp_P07108_ACBP_HUMAN_.pdf</t>
  </si>
  <si>
    <t>Melting_Curves/meltCurve_sp_P07148_FABPL_HUMAN_.pdf</t>
  </si>
  <si>
    <t>Melting_Curves/meltCurve_sp_P07195_LDHB_HUMAN_.pdf</t>
  </si>
  <si>
    <t>Melting_Curves/meltCurve_sp_P07203_GPX1_HUMAN_.pdf</t>
  </si>
  <si>
    <t>Melting_Curves/meltCurve_sp_P07237_PDIA1_HUMAN_.pdf</t>
  </si>
  <si>
    <t>Melting_Curves/meltCurve_sp_P07305_2_H10_HUMAN_.pdf</t>
  </si>
  <si>
    <t>Melting_Curves/meltCurve_sp_P07311_ACYP1_HUMAN_.pdf</t>
  </si>
  <si>
    <t>Melting_Curves/meltCurve_sp_P07327_ADH1A_HUMAN_.pdf</t>
  </si>
  <si>
    <t>Melting_Curves/meltCurve_sp_P07357_CO8A_HUMAN_.pdf</t>
  </si>
  <si>
    <t>Melting_Curves/meltCurve_sp_P07384_CAN1_HUMAN_.pdf</t>
  </si>
  <si>
    <t>Melting_Curves/meltCurve_sp_P07438_MT1B_HUMAN_.pdf</t>
  </si>
  <si>
    <t>Melting_Curves/meltCurve_sp_P07602_SAP_HUMAN_.pdf</t>
  </si>
  <si>
    <t>Melting_Curves/meltCurve_sp_P07686_HEXB_HUMAN_.pdf</t>
  </si>
  <si>
    <t>Melting_Curves/meltCurve_sp_P07711_CATL1_HUMAN_.pdf</t>
  </si>
  <si>
    <t>Melting_Curves/meltCurve_sp_P07737_PROF1_HUMAN_.pdf</t>
  </si>
  <si>
    <t>Melting_Curves/meltCurve_sp_P07738_PMGE_HUMAN_.pdf</t>
  </si>
  <si>
    <t>Melting_Curves/meltCurve_sp_P07741_APT_HUMAN_.pdf</t>
  </si>
  <si>
    <t>Melting_Curves/meltCurve_sp_P07814_SYEP_HUMAN_.pdf</t>
  </si>
  <si>
    <t>Melting_Curves/meltCurve_sp_P07858_CATB_HUMAN_.pdf</t>
  </si>
  <si>
    <t>Melting_Curves/meltCurve_sp_P07900_HS90A_HUMAN_.pdf</t>
  </si>
  <si>
    <t>Melting_Curves/meltCurve_sp_P07902_GALT_HUMAN_.pdf</t>
  </si>
  <si>
    <t>Melting_Curves/meltCurve_sp_P07947_YES_HUMAN_.pdf</t>
  </si>
  <si>
    <t>Melting_Curves/meltCurve_sp_P07954_2_FUMH_HUMAN_.pdf</t>
  </si>
  <si>
    <t>Melting_Curves/meltCurve_sp_P07996_TSP1_HUMAN_.pdf</t>
  </si>
  <si>
    <t>Melting_Curves/meltCurve_sp_P08107_HSP71_HUMAN_.pdf</t>
  </si>
  <si>
    <t>Melting_Curves/meltCurve_sp_P08133_2_ANXA6_HUMAN_.pdf</t>
  </si>
  <si>
    <t>Melting_Curves/meltCurve_sp_P08185_CBG_HUMAN_.pdf</t>
  </si>
  <si>
    <t>Melting_Curves/meltCurve_sp_P08236_BGLR_HUMAN_.pdf</t>
  </si>
  <si>
    <t>Melting_Curves/meltCurve_sp_P08238_HS90B_HUMAN_.pdf</t>
  </si>
  <si>
    <t>Melting_Curves/meltCurve_sp_P08240_2_SRPR_HUMAN_.pdf</t>
  </si>
  <si>
    <t>Melting_Curves/meltCurve_sp_P08319_ADH4_HUMAN_.pdf</t>
  </si>
  <si>
    <t>Melting_Curves/meltCurve_sp_P08519_APOA_HUMAN_.pdf</t>
  </si>
  <si>
    <t>Melting_Curves/meltCurve_sp_P08559_3_ODPA_HUMAN_.pdf</t>
  </si>
  <si>
    <t>Melting_Curves/meltCurve_sp_P08579_RU2B_HUMAN_.pdf</t>
  </si>
  <si>
    <t>Melting_Curves/meltCurve_sp_P08603_CFAH_HUMAN_.pdf</t>
  </si>
  <si>
    <t>Melting_Curves/meltCurve_sp_P08621_2_RU17_HUMAN_.pdf</t>
  </si>
  <si>
    <t>Melting_Curves/meltCurve_sp_P08651_2_NFIC_HUMAN_.pdf</t>
  </si>
  <si>
    <t>Melting_Curves/meltCurve_sp_P08670_VIME_HUMAN_.pdf</t>
  </si>
  <si>
    <t>Melting_Curves/meltCurve_sp_P08697_A2AP_HUMAN_.pdf</t>
  </si>
  <si>
    <t>Melting_Curves/meltCurve_sp_P08727_K1C19_HUMAN_.pdf</t>
  </si>
  <si>
    <t>Melting_Curves/meltCurve_sp_P08729_K2C7_HUMAN_.pdf</t>
  </si>
  <si>
    <t>Melting_Curves/meltCurve_sp_P08779_K1C16_HUMAN_.pdf</t>
  </si>
  <si>
    <t>Melting_Curves/meltCurve_sp_P09110_THIK_HUMAN_.pdf</t>
  </si>
  <si>
    <t>Melting_Curves/meltCurve_sp_P09132_SRP19_HUMAN_.pdf</t>
  </si>
  <si>
    <t>Melting_Curves/meltCurve_sp_P09210_GSTA2_HUMAN_.pdf</t>
  </si>
  <si>
    <t>Melting_Curves/meltCurve_sp_P09234_RU1C_HUMAN_.pdf</t>
  </si>
  <si>
    <t>Melting_Curves/meltCurve_sp_P09327_VILI_HUMAN_.pdf</t>
  </si>
  <si>
    <t>Melting_Curves/meltCurve_sp_P09382_LEG1_HUMAN_.pdf</t>
  </si>
  <si>
    <t>Melting_Curves/meltCurve_sp_P09417_DHPR_HUMAN_.pdf</t>
  </si>
  <si>
    <t>Melting_Curves/meltCurve_sp_P09429_HMGB1_HUMAN_.pdf</t>
  </si>
  <si>
    <t>Melting_Curves/meltCurve_sp_P09467_F16P1_HUMAN_.pdf</t>
  </si>
  <si>
    <t>Melting_Curves/meltCurve_sp_P09493_3_TPM1_HUMAN_.pdf</t>
  </si>
  <si>
    <t>Melting_Curves/meltCurve_sp_P09496_2_CLCA_HUMAN_.pdf</t>
  </si>
  <si>
    <t>Melting_Curves/meltCurve_sp_P09497_2_CLCB_HUMAN_.pdf</t>
  </si>
  <si>
    <t>Melting_Curves/meltCurve_sp_P09525_ANXA4_HUMAN_.pdf</t>
  </si>
  <si>
    <t>Melting_Curves/meltCurve_sp_P09543_2_CN37_HUMAN_.pdf</t>
  </si>
  <si>
    <t>Melting_Curves/meltCurve_sp_P09601_HMOX1_HUMAN_.pdf</t>
  </si>
  <si>
    <t>Melting_Curves/meltCurve_sp_P09622_DLDH_HUMAN_.pdf</t>
  </si>
  <si>
    <t>Melting_Curves/meltCurve_sp_P09651_3_ROA1_HUMAN_.pdf</t>
  </si>
  <si>
    <t>Melting_Curves/meltCurve_sp_P09661_RU2A_HUMAN_.pdf</t>
  </si>
  <si>
    <t>Melting_Curves/meltCurve_sp_P09668_CATH_HUMAN_.pdf</t>
  </si>
  <si>
    <t>Melting_Curves/meltCurve_sp_P09871_C1S_HUMAN_.pdf</t>
  </si>
  <si>
    <t>Melting_Curves/meltCurve_sp_P09874_PARP1_HUMAN_.pdf</t>
  </si>
  <si>
    <t>Melting_Curves/meltCurve_sp_P09913_IFIT2_HUMAN_.pdf</t>
  </si>
  <si>
    <t>Melting_Curves/meltCurve_sp_P09960_LKHA4_HUMAN_.pdf</t>
  </si>
  <si>
    <t>Melting_Curves/meltCurve_sp_P09972_ALDOC_HUMAN_.pdf</t>
  </si>
  <si>
    <t>Melting_Curves/meltCurve_sp_P0C024_NUDT7_HUMAN_.pdf</t>
  </si>
  <si>
    <t>Melting_Curves/meltCurve_sp_P0C0L5_CO4B_HUMAN_.pdf</t>
  </si>
  <si>
    <t>Melting_Curves/meltCurve_sp_P0CG05_LAC2_HUMAN_.pdf</t>
  </si>
  <si>
    <t>Melting_Curves/meltCurve_sp_P0CW22_RS17L_HUMAN_.pdf</t>
  </si>
  <si>
    <t>Melting_Curves/meltCurve_sp_P0DJI8_SAA1_HUMAN_.pdf</t>
  </si>
  <si>
    <t>Melting_Curves/meltCurve_sp_P10109_ADX_HUMAN_.pdf</t>
  </si>
  <si>
    <t>Melting_Curves/meltCurve_sp_P10153_RNAS2_HUMAN_.pdf</t>
  </si>
  <si>
    <t>Melting_Curves/meltCurve_sp_P10155_3_RO60_HUMAN_.pdf</t>
  </si>
  <si>
    <t>Melting_Curves/meltCurve_sp_P10253_LYAG_HUMAN_.pdf</t>
  </si>
  <si>
    <t>Melting_Curves/meltCurve_sp_P10398_ARAF_HUMAN_.pdf</t>
  </si>
  <si>
    <t>Melting_Curves/meltCurve_sp_P10412_H14_HUMAN_.pdf</t>
  </si>
  <si>
    <t>Melting_Curves/meltCurve_sp_P10515_ODP2_HUMAN_.pdf</t>
  </si>
  <si>
    <t>Melting_Curves/meltCurve_sp_P10586_2_PTPRF_HUMAN_.pdf</t>
  </si>
  <si>
    <t>Melting_Curves/meltCurve_sp_P10606_COX5B_HUMAN_.pdf</t>
  </si>
  <si>
    <t>Melting_Curves/meltCurve_sp_P10619_PPGB_HUMAN_.pdf</t>
  </si>
  <si>
    <t>Melting_Curves/meltCurve_sp_P10632_2_CP2C8_HUMAN_.pdf</t>
  </si>
  <si>
    <t>Melting_Curves/meltCurve_sp_P10644_KAP0_HUMAN_.pdf</t>
  </si>
  <si>
    <t>Melting_Curves/meltCurve_sp_P10746_HEM4_HUMAN_.pdf</t>
  </si>
  <si>
    <t>Melting_Curves/meltCurve_sp_P10768_ESTD_HUMAN_.pdf</t>
  </si>
  <si>
    <t>Melting_Curves/meltCurve_sp_P10809_CH60_HUMAN_.pdf</t>
  </si>
  <si>
    <t>Melting_Curves/meltCurve_sp_P10909_4_CLUS_HUMAN_.pdf</t>
  </si>
  <si>
    <t>Melting_Curves/meltCurve_sp_P11021_GRP78_HUMAN_.pdf</t>
  </si>
  <si>
    <t>Melting_Curves/meltCurve_sp_P11047_LAMC1_HUMAN_.pdf</t>
  </si>
  <si>
    <t>Melting_Curves/meltCurve_sp_P11142_HSP7C_HUMAN_.pdf</t>
  </si>
  <si>
    <t>Melting_Curves/meltCurve_sp_P11171_4_41_HUMAN_.pdf</t>
  </si>
  <si>
    <t>Melting_Curves/meltCurve_sp_P11172_UMPS_HUMAN_.pdf</t>
  </si>
  <si>
    <t>Melting_Curves/meltCurve_sp_P11177_3_ODPB_HUMAN_.pdf</t>
  </si>
  <si>
    <t>Melting_Curves/meltCurve_sp_P11182_ODB2_HUMAN_.pdf</t>
  </si>
  <si>
    <t>Melting_Curves/meltCurve_sp_P11216_PYGB_HUMAN_.pdf</t>
  </si>
  <si>
    <t>Melting_Curves/meltCurve_sp_P11226_MBL2_HUMAN_.pdf</t>
  </si>
  <si>
    <t>Melting_Curves/meltCurve_sp_P11245_ARY2_HUMAN_.pdf</t>
  </si>
  <si>
    <t>Melting_Curves/meltCurve_sp_P11274_2_BCR_HUMAN_.pdf</t>
  </si>
  <si>
    <t>Melting_Curves/meltCurve_sp_P11277_3_SPTB1_HUMAN_.pdf</t>
  </si>
  <si>
    <t>Melting_Curves/meltCurve_sp_P11310_ACADM_HUMAN_.pdf</t>
  </si>
  <si>
    <t>Melting_Curves/meltCurve_sp_P11413_G6PD_HUMAN_.pdf</t>
  </si>
  <si>
    <t>Melting_Curves/meltCurve_sp_P11441_UBL4A_HUMAN_.pdf</t>
  </si>
  <si>
    <t>Melting_Curves/meltCurve_sp_P11498_PYC_HUMAN_.pdf</t>
  </si>
  <si>
    <t>Melting_Curves/meltCurve_sp_P11509_CP2A6_HUMAN_.pdf</t>
  </si>
  <si>
    <t>Melting_Curves/meltCurve_sp_P11532_3_DMD_HUMAN_.pdf</t>
  </si>
  <si>
    <t>Melting_Curves/meltCurve_sp_P11532_5_DMD_HUMAN_.pdf</t>
  </si>
  <si>
    <t>Melting_Curves/meltCurve_sp_P11586_C1TC_HUMAN_.pdf</t>
  </si>
  <si>
    <t>Melting_Curves/meltCurve_sp_P11712_CP2C9_HUMAN_.pdf</t>
  </si>
  <si>
    <t>Melting_Curves/meltCurve_sp_P11766_ADHX_HUMAN_.pdf</t>
  </si>
  <si>
    <t>Melting_Curves/meltCurve_sp_P11908_PRPS2_HUMAN_.pdf</t>
  </si>
  <si>
    <t>Melting_Curves/meltCurve_sp_P11940_2_PABP1_HUMAN_.pdf</t>
  </si>
  <si>
    <t>Melting_Curves/meltCurve_sp_P12004_PCNA_HUMAN_.pdf</t>
  </si>
  <si>
    <t>Melting_Curves/meltCurve_sp_P12270_TPR_HUMAN_.pdf</t>
  </si>
  <si>
    <t>Melting_Curves/meltCurve_sp_P12694_ODBA_HUMAN_.pdf</t>
  </si>
  <si>
    <t>Melting_Curves/meltCurve_sp_P12724_ECP_HUMAN_.pdf</t>
  </si>
  <si>
    <t>Melting_Curves/meltCurve_sp_P12814_ACTN1_HUMAN_.pdf</t>
  </si>
  <si>
    <t>Melting_Curves/meltCurve_sp_P12955_PEPD_HUMAN_.pdf</t>
  </si>
  <si>
    <t>Melting_Curves/meltCurve_sp_P12956_XRCC6_HUMAN_.pdf</t>
  </si>
  <si>
    <t>Melting_Curves/meltCurve_sp_P13010_XRCC5_HUMAN_.pdf</t>
  </si>
  <si>
    <t>Melting_Curves/meltCurve_sp_P13073_COX41_HUMAN_.pdf</t>
  </si>
  <si>
    <t>Melting_Curves/meltCurve_sp_P13196_HEM1_HUMAN_.pdf</t>
  </si>
  <si>
    <t>Melting_Curves/meltCurve_sp_P13284_GILT_HUMAN_.pdf</t>
  </si>
  <si>
    <t>Melting_Curves/meltCurve_sp_P13489_RINI_HUMAN_.pdf</t>
  </si>
  <si>
    <t>Melting_Curves/meltCurve_sp_P13639_EF2_HUMAN_.pdf</t>
  </si>
  <si>
    <t>Melting_Curves/meltCurve_sp_P13640_2_MT1G_HUMAN_.pdf</t>
  </si>
  <si>
    <t>Melting_Curves/meltCurve_sp_P13647_K2C5_HUMAN_.pdf</t>
  </si>
  <si>
    <t>Melting_Curves/meltCurve_sp_P13667_PDIA4_HUMAN_.pdf</t>
  </si>
  <si>
    <t>Melting_Curves/meltCurve_sp_P13671_CO6_HUMAN_.pdf</t>
  </si>
  <si>
    <t>Melting_Curves/meltCurve_sp_P13674_P4HA1_HUMAN_.pdf</t>
  </si>
  <si>
    <t>Melting_Curves/meltCurve_sp_P13693_TCTP_HUMAN_.pdf</t>
  </si>
  <si>
    <t>Melting_Curves/meltCurve_sp_P13796_PLSL_HUMAN_.pdf</t>
  </si>
  <si>
    <t>Melting_Curves/meltCurve_sp_P13797_PLST_HUMAN_.pdf</t>
  </si>
  <si>
    <t>Melting_Curves/meltCurve_sp_P13798_ACPH_HUMAN_.pdf</t>
  </si>
  <si>
    <t>Melting_Curves/meltCurve_sp_P13804_ETFA_HUMAN_.pdf</t>
  </si>
  <si>
    <t>Melting_Curves/meltCurve_sp_P13861_KAP2_HUMAN_.pdf</t>
  </si>
  <si>
    <t>Melting_Curves/meltCurve_sp_P13929_ENOB_HUMAN_.pdf</t>
  </si>
  <si>
    <t>Melting_Curves/meltCurve_sp_P14174_MIF_HUMAN_.pdf</t>
  </si>
  <si>
    <t>Melting_Curves/meltCurve_sp_P14314_2_GLU2B_HUMAN_.pdf</t>
  </si>
  <si>
    <t>Melting_Curves/meltCurve_sp_P14317_HCLS1_HUMAN_.pdf</t>
  </si>
  <si>
    <t>Melting_Curves/meltCurve_sp_P14324_2_FPPS_HUMAN_.pdf</t>
  </si>
  <si>
    <t>Melting_Curves/meltCurve_sp_P14543_NID1_HUMAN_.pdf</t>
  </si>
  <si>
    <t>Melting_Curves/meltCurve_sp_P14550_AK1A1_HUMAN_.pdf</t>
  </si>
  <si>
    <t>Melting_Curves/meltCurve_sp_P14618_KPYM_HUMAN_.pdf</t>
  </si>
  <si>
    <t>Melting_Curves/meltCurve_sp_P14621_ACYP2_HUMAN_.pdf</t>
  </si>
  <si>
    <t>Melting_Curves/meltCurve_sp_P14625_ENPL_HUMAN_.pdf</t>
  </si>
  <si>
    <t>Melting_Curves/meltCurve_sp_P14735_IDE_HUMAN_.pdf</t>
  </si>
  <si>
    <t>Melting_Curves/meltCurve_sp_P14854_CX6B1_HUMAN_.pdf</t>
  </si>
  <si>
    <t>Melting_Curves/meltCurve_sp_P14866_HNRPL_HUMAN_.pdf</t>
  </si>
  <si>
    <t>Melting_Curves/meltCurve_sp_P14868_SYDC_HUMAN_.pdf</t>
  </si>
  <si>
    <t>Melting_Curves/meltCurve_sp_P14920_OXDA_HUMAN_.pdf</t>
  </si>
  <si>
    <t>Melting_Curves/meltCurve_sp_P14923_PLAK_HUMAN_.pdf</t>
  </si>
  <si>
    <t>Melting_Curves/meltCurve_sp_P15104_GLNA_HUMAN_.pdf</t>
  </si>
  <si>
    <t>Melting_Curves/meltCurve_sp_P15121_ALDR_HUMAN_.pdf</t>
  </si>
  <si>
    <t>Melting_Curves/meltCurve_sp_P15144_AMPN_HUMAN_.pdf</t>
  </si>
  <si>
    <t>Melting_Curves/meltCurve_sp_P15170_2_ERF3A_HUMAN_.pdf</t>
  </si>
  <si>
    <t>Melting_Curves/meltCurve_sp_P15289_2_ARSA_HUMAN_.pdf</t>
  </si>
  <si>
    <t>Melting_Curves/meltCurve_sp_P15289_ARSA_HUMAN_.pdf</t>
  </si>
  <si>
    <t>Melting_Curves/meltCurve_sp_P15311_EZRI_HUMAN_.pdf</t>
  </si>
  <si>
    <t>Melting_Curves/meltCurve_sp_P15374_UCHL3_HUMAN_.pdf</t>
  </si>
  <si>
    <t>Melting_Curves/meltCurve_sp_P15428_PGDH_HUMAN_.pdf</t>
  </si>
  <si>
    <t>Melting_Curves/meltCurve_sp_P15529_16_MCP_HUMAN_.pdf</t>
  </si>
  <si>
    <t>Melting_Curves/meltCurve_sp_P15531_NDKA_HUMAN_.pdf</t>
  </si>
  <si>
    <t>Melting_Curves/meltCurve_sp_P15735_2_PHKG2_HUMAN_.pdf</t>
  </si>
  <si>
    <t>Melting_Curves/meltCurve_sp_P15848_ARSB_HUMAN_.pdf</t>
  </si>
  <si>
    <t>Melting_Curves/meltCurve_sp_P15924_DESP_HUMAN_.pdf</t>
  </si>
  <si>
    <t>Melting_Curves/meltCurve_sp_P15927_RFA2_HUMAN_.pdf</t>
  </si>
  <si>
    <t>Melting_Curves/meltCurve_sp_P16118_F261_HUMAN_.pdf</t>
  </si>
  <si>
    <t>Melting_Curves/meltCurve_sp_P16152_CBR1_HUMAN_.pdf</t>
  </si>
  <si>
    <t>Melting_Curves/meltCurve_sp_P16219_ACADS_HUMAN_.pdf</t>
  </si>
  <si>
    <t>Melting_Curves/meltCurve_sp_P16278_3_BGAL_HUMAN_.pdf</t>
  </si>
  <si>
    <t>Melting_Curves/meltCurve_sp_P16298_3_PP2BB_HUMAN_.pdf</t>
  </si>
  <si>
    <t>Melting_Curves/meltCurve_sp_P16333_NCK1_HUMAN_.pdf</t>
  </si>
  <si>
    <t>Melting_Curves/meltCurve_sp_P16383_2_GCFC2_HUMAN_.pdf</t>
  </si>
  <si>
    <t>Melting_Curves/meltCurve_sp_P16435_NCPR_HUMAN_.pdf</t>
  </si>
  <si>
    <t>Melting_Curves/meltCurve_sp_P16455_MGMT_HUMAN_.pdf</t>
  </si>
  <si>
    <t>Melting_Curves/meltCurve_sp_P16885_PLCG2_HUMAN_.pdf</t>
  </si>
  <si>
    <t>Melting_Curves/meltCurve_sp_P16930_FAAA_HUMAN_.pdf</t>
  </si>
  <si>
    <t>Melting_Curves/meltCurve_sp_P16949_STMN1_HUMAN_.pdf</t>
  </si>
  <si>
    <t>Melting_Curves/meltCurve_sp_P16989_2_YBOX3_HUMAN_.pdf</t>
  </si>
  <si>
    <t>Melting_Curves/meltCurve_sp_P17029_ZKSC1_HUMAN_.pdf</t>
  </si>
  <si>
    <t>Melting_Curves/meltCurve_sp_P17050_NAGAB_HUMAN_.pdf</t>
  </si>
  <si>
    <t>Melting_Curves/meltCurve_sp_P17066_HSP76_HUMAN_.pdf</t>
  </si>
  <si>
    <t>Melting_Curves/meltCurve_sp_P17174_AATC_HUMAN_.pdf</t>
  </si>
  <si>
    <t>Melting_Curves/meltCurve_sp_P17516_AK1C4_HUMAN_.pdf</t>
  </si>
  <si>
    <t>Melting_Curves/meltCurve_sp_P17612_KAPCA_HUMAN_.pdf</t>
  </si>
  <si>
    <t>Melting_Curves/meltCurve_sp_P17655_CAN2_HUMAN_.pdf</t>
  </si>
  <si>
    <t>Melting_Curves/meltCurve_sp_P17735_ATTY_HUMAN_.pdf</t>
  </si>
  <si>
    <t>Melting_Curves/meltCurve_sp_P17812_PYRG1_HUMAN_.pdf</t>
  </si>
  <si>
    <t>Melting_Curves/meltCurve_sp_P17858_K6PL_HUMAN_.pdf</t>
  </si>
  <si>
    <t>Melting_Curves/meltCurve_sp_P17900_SAP3_HUMAN_.pdf</t>
  </si>
  <si>
    <t>Melting_Curves/meltCurve_sp_P17931_LEG3_HUMAN_.pdf</t>
  </si>
  <si>
    <t>Melting_Curves/meltCurve_sp_P17987_TCPA_HUMAN_.pdf</t>
  </si>
  <si>
    <t>Melting_Curves/meltCurve_sp_P18065_IBP2_HUMAN_.pdf</t>
  </si>
  <si>
    <t>Melting_Curves/meltCurve_sp_P18206_2_VINC_HUMAN_.pdf</t>
  </si>
  <si>
    <t>Melting_Curves/meltCurve_sp_P18283_GPX2_HUMAN_.pdf</t>
  </si>
  <si>
    <t>Melting_Curves/meltCurve_sp_P18510_4_IL1RA_HUMAN_.pdf</t>
  </si>
  <si>
    <t>Melting_Curves/meltCurve_sp_P18583_2_SON_HUMAN_.pdf</t>
  </si>
  <si>
    <t>Melting_Curves/meltCurve_sp_P18621_2_RL17_HUMAN_.pdf</t>
  </si>
  <si>
    <t>Melting_Curves/meltCurve_sp_P18669_PGAM1_HUMAN_.pdf</t>
  </si>
  <si>
    <t>Melting_Curves/meltCurve_sp_P18859_ATP5J_HUMAN_.pdf</t>
  </si>
  <si>
    <t>Melting_Curves/meltCurve_sp_P19105_ML12A_HUMAN_.pdf</t>
  </si>
  <si>
    <t>Melting_Curves/meltCurve_sp_P19174_PLCG1_HUMAN_.pdf</t>
  </si>
  <si>
    <t>Melting_Curves/meltCurve_sp_P19338_NUCL_HUMAN_.pdf</t>
  </si>
  <si>
    <t>Melting_Curves/meltCurve_sp_P19388_RPAB1_HUMAN_.pdf</t>
  </si>
  <si>
    <t>Melting_Curves/meltCurve_sp_P19404_NDUV2_HUMAN_.pdf</t>
  </si>
  <si>
    <t>Melting_Curves/meltCurve_sp_P19525_2_E2AK2_HUMAN_.pdf</t>
  </si>
  <si>
    <t>Melting_Curves/meltCurve_sp_P19623_SPEE_HUMAN_.pdf</t>
  </si>
  <si>
    <t>Melting_Curves/meltCurve_sp_P19652_A1AG2_HUMAN_.pdf</t>
  </si>
  <si>
    <t>Melting_Curves/meltCurve_sp_P19784_CSK22_HUMAN_.pdf</t>
  </si>
  <si>
    <t>Melting_Curves/meltCurve_sp_P19827_ITIH1_HUMAN_.pdf</t>
  </si>
  <si>
    <t>Melting_Curves/meltCurve_sp_P19838_NFKB1_HUMAN_.pdf</t>
  </si>
  <si>
    <t>Melting_Curves/meltCurve_sp_P19971_TYPH_HUMAN_.pdf</t>
  </si>
  <si>
    <t>Melting_Curves/meltCurve_sp_P20042_IF2B_HUMAN_.pdf</t>
  </si>
  <si>
    <t>Melting_Curves/meltCurve_sp_P20132_SDHL_HUMAN_.pdf</t>
  </si>
  <si>
    <t>Melting_Curves/meltCurve_sp_P20290_BTF3_HUMAN_.pdf</t>
  </si>
  <si>
    <t>Melting_Curves/meltCurve_sp_P20338_RAB4A_HUMAN_.pdf</t>
  </si>
  <si>
    <t>Melting_Curves/meltCurve_sp_P20340_2_RAB6A_HUMAN_.pdf</t>
  </si>
  <si>
    <t>Melting_Curves/meltCurve_sp_P20591_MX1_HUMAN_.pdf</t>
  </si>
  <si>
    <t>Melting_Curves/meltCurve_sp_P20618_PSB1_HUMAN_.pdf</t>
  </si>
  <si>
    <t>Melting_Curves/meltCurve_sp_P20674_COX5A_HUMAN_.pdf</t>
  </si>
  <si>
    <t>Melting_Curves/meltCurve_sp_P20700_LMNB1_HUMAN_.pdf</t>
  </si>
  <si>
    <t>Melting_Curves/meltCurve_sp_P20711_3_DDC_HUMAN_.pdf</t>
  </si>
  <si>
    <t>Melting_Curves/meltCurve_sp_P20742_PZP_HUMAN_.pdf</t>
  </si>
  <si>
    <t>Melting_Curves/meltCurve_sp_P20810_5_ICAL_HUMAN_.pdf</t>
  </si>
  <si>
    <t>Melting_Curves/meltCurve_sp_P20930_FILA_HUMAN_.pdf</t>
  </si>
  <si>
    <t>Melting_Curves/meltCurve_sp_P20933_ASPG_HUMAN_.pdf</t>
  </si>
  <si>
    <t>Melting_Curves/meltCurve_sp_P20962_PTMS_HUMAN_.pdf</t>
  </si>
  <si>
    <t>Melting_Curves/meltCurve_sp_P21266_GSTM3_HUMAN_.pdf</t>
  </si>
  <si>
    <t>Melting_Curves/meltCurve_sp_P21281_VATB2_HUMAN_.pdf</t>
  </si>
  <si>
    <t>Melting_Curves/meltCurve_sp_P21283_VATC1_HUMAN_.pdf</t>
  </si>
  <si>
    <t>Melting_Curves/meltCurve_sp_P21291_CSRP1_HUMAN_.pdf</t>
  </si>
  <si>
    <t>Melting_Curves/meltCurve_sp_P21397_2_AOFA_HUMAN_.pdf</t>
  </si>
  <si>
    <t>Melting_Curves/meltCurve_sp_P21399_ACOC_HUMAN_.pdf</t>
  </si>
  <si>
    <t>Melting_Curves/meltCurve_sp_P21549_SPYA_HUMAN_.pdf</t>
  </si>
  <si>
    <t>Melting_Curves/meltCurve_sp_P21695_2_GPDA_HUMAN_.pdf</t>
  </si>
  <si>
    <t>Melting_Curves/meltCurve_sp_P21912_DHSB_HUMAN_.pdf</t>
  </si>
  <si>
    <t>Melting_Curves/meltCurve_sp_P21964_2_COMT_HUMAN_.pdf</t>
  </si>
  <si>
    <t>Melting_Curves/meltCurve_sp_P22033_MUTA_HUMAN_.pdf</t>
  </si>
  <si>
    <t>Melting_Curves/meltCurve_sp_P22059_OSBP1_HUMAN_.pdf</t>
  </si>
  <si>
    <t>Melting_Curves/meltCurve_sp_P22061_PIMT_HUMAN_.pdf</t>
  </si>
  <si>
    <t>Melting_Curves/meltCurve_sp_P22102_PUR2_HUMAN_.pdf</t>
  </si>
  <si>
    <t>Melting_Curves/meltCurve_sp_P22234_PUR6_HUMAN_.pdf</t>
  </si>
  <si>
    <t>Melting_Curves/meltCurve_sp_P22307_2_NLTP_HUMAN_.pdf</t>
  </si>
  <si>
    <t>Melting_Curves/meltCurve_sp_P22307_NLTP_HUMAN_.pdf</t>
  </si>
  <si>
    <t>Melting_Curves/meltCurve_sp_P22314_UBA1_HUMAN_.pdf</t>
  </si>
  <si>
    <t>Melting_Curves/meltCurve_sp_P22392_2_NDKB_HUMAN_.pdf</t>
  </si>
  <si>
    <t>Melting_Curves/meltCurve_sp_P22570_ADRO_HUMAN_.pdf</t>
  </si>
  <si>
    <t>Melting_Curves/meltCurve_sp_P22626_ROA2_HUMAN_.pdf</t>
  </si>
  <si>
    <t>Melting_Curves/meltCurve_sp_P22670_RFX1_HUMAN_.pdf</t>
  </si>
  <si>
    <t>Melting_Curves/meltCurve_sp_P22694_4_KAPCB_HUMAN_.pdf</t>
  </si>
  <si>
    <t>Melting_Curves/meltCurve_sp_P22830_HEMH_HUMAN_.pdf</t>
  </si>
  <si>
    <t>Melting_Curves/meltCurve_sp_P23141_3_EST1_HUMAN_.pdf</t>
  </si>
  <si>
    <t>Melting_Curves/meltCurve_sp_P23142_3_FBLN1_HUMAN_.pdf</t>
  </si>
  <si>
    <t>Melting_Curves/meltCurve_sp_P23193_TCEA1_HUMAN_.pdf</t>
  </si>
  <si>
    <t>Melting_Curves/meltCurve_sp_P23246_SFPQ_HUMAN_.pdf</t>
  </si>
  <si>
    <t>Melting_Curves/meltCurve_sp_P23284_PPIB_HUMAN_.pdf</t>
  </si>
  <si>
    <t>Melting_Curves/meltCurve_sp_P23368_MAOM_HUMAN_.pdf</t>
  </si>
  <si>
    <t>Melting_Curves/meltCurve_sp_P23378_GCSP_HUMAN_.pdf</t>
  </si>
  <si>
    <t>Melting_Curves/meltCurve_sp_P23381_SYWC_HUMAN_.pdf</t>
  </si>
  <si>
    <t>Melting_Curves/meltCurve_sp_P23396_RS3_HUMAN_.pdf</t>
  </si>
  <si>
    <t>Melting_Curves/meltCurve_sp_P23409_MYF6_HUMAN_.pdf</t>
  </si>
  <si>
    <t>Melting_Curves/meltCurve_sp_P23434_GCSH_HUMAN_.pdf</t>
  </si>
  <si>
    <t>Melting_Curves/meltCurve_sp_P23497_SP100_HUMAN_.pdf</t>
  </si>
  <si>
    <t>Melting_Curves/meltCurve_sp_P23508_CRCM_HUMAN_.pdf</t>
  </si>
  <si>
    <t>Melting_Curves/meltCurve_sp_P23526_SAHH_HUMAN_.pdf</t>
  </si>
  <si>
    <t>Melting_Curves/meltCurve_sp_P23528_COF1_HUMAN_.pdf</t>
  </si>
  <si>
    <t>Melting_Curves/meltCurve_sp_P23588_IF4B_HUMAN_.pdf</t>
  </si>
  <si>
    <t>Melting_Curves/meltCurve_sp_P23786_CPT2_HUMAN_.pdf</t>
  </si>
  <si>
    <t>Melting_Curves/meltCurve_sp_P23919_KTHY_HUMAN_.pdf</t>
  </si>
  <si>
    <t>Melting_Curves/meltCurve_sp_P23921_RIR1_HUMAN_.pdf</t>
  </si>
  <si>
    <t>Melting_Curves/meltCurve_sp_P24298_ALAT1_HUMAN_.pdf</t>
  </si>
  <si>
    <t>Melting_Curves/meltCurve_sp_P24534_EF1B_HUMAN_.pdf</t>
  </si>
  <si>
    <t>Melting_Curves/meltCurve_sp_P24666_2_PPAC_HUMAN_.pdf</t>
  </si>
  <si>
    <t>Melting_Curves/meltCurve_sp_P24666_PPAC_HUMAN_.pdf</t>
  </si>
  <si>
    <t>Melting_Curves/meltCurve_sp_P24752_THIL_HUMAN_.pdf</t>
  </si>
  <si>
    <t>Melting_Curves/meltCurve_sp_P24928_RPB1_HUMAN_.pdf</t>
  </si>
  <si>
    <t>Melting_Curves/meltCurve_sp_P24941_CDK2_HUMAN_.pdf</t>
  </si>
  <si>
    <t>Melting_Curves/meltCurve_sp_P25054_2_APC_HUMAN_.pdf</t>
  </si>
  <si>
    <t>Melting_Curves/meltCurve_sp_P25311_ZA2G_HUMAN_.pdf</t>
  </si>
  <si>
    <t>Melting_Curves/meltCurve_sp_P25398_RS12_HUMAN_.pdf</t>
  </si>
  <si>
    <t>Melting_Curves/meltCurve_sp_P25685_DNJB1_HUMAN_.pdf</t>
  </si>
  <si>
    <t>Melting_Curves/meltCurve_sp_P25705_ATPA_HUMAN_.pdf</t>
  </si>
  <si>
    <t>Melting_Curves/meltCurve_sp_P25774_CATS_HUMAN_.pdf</t>
  </si>
  <si>
    <t>Melting_Curves/meltCurve_sp_P25786_PSA1_HUMAN_.pdf</t>
  </si>
  <si>
    <t>Melting_Curves/meltCurve_sp_P25787_PSA2_HUMAN_.pdf</t>
  </si>
  <si>
    <t>Melting_Curves/meltCurve_sp_P25788_2_PSA3_HUMAN_.pdf</t>
  </si>
  <si>
    <t>Melting_Curves/meltCurve_sp_P25789_PSA4_HUMAN_.pdf</t>
  </si>
  <si>
    <t>Melting_Curves/meltCurve_sp_P26038_MOES_HUMAN_.pdf</t>
  </si>
  <si>
    <t>Melting_Curves/meltCurve_sp_P26196_DDX6_HUMAN_.pdf</t>
  </si>
  <si>
    <t>Melting_Curves/meltCurve_sp_P26358_DNMT1_HUMAN_.pdf</t>
  </si>
  <si>
    <t>Melting_Curves/meltCurve_sp_P26368_2_U2AF2_HUMAN_.pdf</t>
  </si>
  <si>
    <t>Melting_Curves/meltCurve_sp_P26373_RL13_HUMAN_.pdf</t>
  </si>
  <si>
    <t>Melting_Curves/meltCurve_sp_P26440_IVD_HUMAN_.pdf</t>
  </si>
  <si>
    <t>Melting_Curves/meltCurve_sp_P26447_S10A4_HUMAN_.pdf</t>
  </si>
  <si>
    <t>Melting_Curves/meltCurve_sp_P26583_HMGB2_HUMAN_.pdf</t>
  </si>
  <si>
    <t>Melting_Curves/meltCurve_sp_P26599_PTBP1_HUMAN_.pdf</t>
  </si>
  <si>
    <t>Melting_Curves/meltCurve_sp_P26639_SYTC_HUMAN_.pdf</t>
  </si>
  <si>
    <t>Melting_Curves/meltCurve_sp_P26640_SYVC_HUMAN_.pdf</t>
  </si>
  <si>
    <t>Melting_Curves/meltCurve_sp_P26641_EF1G_HUMAN_.pdf</t>
  </si>
  <si>
    <t>Melting_Curves/meltCurve_sp_P26885_FKBP2_HUMAN_.pdf</t>
  </si>
  <si>
    <t>Melting_Curves/meltCurve_sp_P27144_KAD4_HUMAN_.pdf</t>
  </si>
  <si>
    <t>Melting_Curves/meltCurve_sp_P27348_1433T_HUMAN_.pdf</t>
  </si>
  <si>
    <t>Melting_Curves/meltCurve_sp_P27487_DPP4_HUMAN_.pdf</t>
  </si>
  <si>
    <t>Melting_Curves/meltCurve_sp_P27694_RFA1_HUMAN_.pdf</t>
  </si>
  <si>
    <t>Melting_Curves/meltCurve_sp_P27695_APEX1_HUMAN_.pdf</t>
  </si>
  <si>
    <t>Melting_Curves/meltCurve_sp_P27797_CALR_HUMAN_.pdf</t>
  </si>
  <si>
    <t>Melting_Curves/meltCurve_sp_P27816_6_MAP4_HUMAN_.pdf</t>
  </si>
  <si>
    <t>Melting_Curves/meltCurve_sp_P27986_P85A_HUMAN_.pdf</t>
  </si>
  <si>
    <t>Melting_Curves/meltCurve_sp_P28062_2_PSB8_HUMAN_.pdf</t>
  </si>
  <si>
    <t>Melting_Curves/meltCurve_sp_P28066_PSA5_HUMAN_.pdf</t>
  </si>
  <si>
    <t>Melting_Curves/meltCurve_sp_P28070_PSB4_HUMAN_.pdf</t>
  </si>
  <si>
    <t>Melting_Curves/meltCurve_sp_P28072_PSB6_HUMAN_.pdf</t>
  </si>
  <si>
    <t>Melting_Curves/meltCurve_sp_P28074_PSB5_HUMAN_.pdf</t>
  </si>
  <si>
    <t>Melting_Curves/meltCurve_sp_P28289_TMOD1_HUMAN_.pdf</t>
  </si>
  <si>
    <t>Melting_Curves/meltCurve_sp_P28330_ACADL_HUMAN_.pdf</t>
  </si>
  <si>
    <t>Melting_Curves/meltCurve_sp_P28331_NDUS1_HUMAN_.pdf</t>
  </si>
  <si>
    <t>Melting_Curves/meltCurve_sp_P28332_ADH6_HUMAN_.pdf</t>
  </si>
  <si>
    <t>Melting_Curves/meltCurve_sp_P28340_DPOD1_HUMAN_.pdf</t>
  </si>
  <si>
    <t>Melting_Curves/meltCurve_sp_P28482_MK01_HUMAN_.pdf</t>
  </si>
  <si>
    <t>Melting_Curves/meltCurve_sp_P28799_GRN_HUMAN_.pdf</t>
  </si>
  <si>
    <t>Melting_Curves/meltCurve_sp_P28838_AMPL_HUMAN_.pdf</t>
  </si>
  <si>
    <t>Melting_Curves/meltCurve_sp_P29083_T2EA_HUMAN_.pdf</t>
  </si>
  <si>
    <t>Melting_Curves/meltCurve_sp_P29144_TPP2_HUMAN_.pdf</t>
  </si>
  <si>
    <t>Melting_Curves/meltCurve_sp_P29350_PTN6_HUMAN_.pdf</t>
  </si>
  <si>
    <t>Melting_Curves/meltCurve_sp_P29353_7_SHC1_HUMAN_.pdf</t>
  </si>
  <si>
    <t>Melting_Curves/meltCurve_sp_P29401_TKT_HUMAN_.pdf</t>
  </si>
  <si>
    <t>Melting_Curves/meltCurve_sp_P29590_PML_HUMAN_.pdf</t>
  </si>
  <si>
    <t>Melting_Curves/meltCurve_sp_P29966_MARCS_HUMAN_.pdf</t>
  </si>
  <si>
    <t>Melting_Curves/meltCurve_sp_P30038_AL4A1_HUMAN_.pdf</t>
  </si>
  <si>
    <t>Melting_Curves/meltCurve_sp_P30039_PBLD_HUMAN_.pdf</t>
  </si>
  <si>
    <t>Melting_Curves/meltCurve_sp_P30040_ERP29_HUMAN_.pdf</t>
  </si>
  <si>
    <t>Melting_Curves/meltCurve_sp_P30041_PRDX6_HUMAN_.pdf</t>
  </si>
  <si>
    <t>Melting_Curves/meltCurve_sp_P30042_ES1_HUMAN_.pdf</t>
  </si>
  <si>
    <t>Melting_Curves/meltCurve_sp_P30043_BLVRB_HUMAN_.pdf</t>
  </si>
  <si>
    <t>Melting_Curves/meltCurve_sp_P30044_2_PRDX5_HUMAN_.pdf</t>
  </si>
  <si>
    <t>Melting_Curves/meltCurve_sp_P30046_DOPD_HUMAN_.pdf</t>
  </si>
  <si>
    <t>Melting_Curves/meltCurve_sp_P30047_GFRP_HUMAN_.pdf</t>
  </si>
  <si>
    <t>Melting_Curves/meltCurve_sp_P30049_ATPD_HUMAN_.pdf</t>
  </si>
  <si>
    <t>Melting_Curves/meltCurve_sp_P30050_RL12_HUMAN_.pdf</t>
  </si>
  <si>
    <t>Melting_Curves/meltCurve_sp_P30084_ECHM_HUMAN_.pdf</t>
  </si>
  <si>
    <t>Melting_Curves/meltCurve_sp_P30085_KCY_HUMAN_.pdf</t>
  </si>
  <si>
    <t>Melting_Curves/meltCurve_sp_P30086_PEBP1_HUMAN_.pdf</t>
  </si>
  <si>
    <t>Melting_Curves/meltCurve_sp_P30153_2AAA_HUMAN_.pdf</t>
  </si>
  <si>
    <t>Melting_Curves/meltCurve_sp_P30154_4_2AAB_HUMAN_.pdf</t>
  </si>
  <si>
    <t>Melting_Curves/meltCurve_sp_P30405_PPIF_HUMAN_.pdf</t>
  </si>
  <si>
    <t>Melting_Curves/meltCurve_sp_P30414_NKTR_HUMAN_.pdf</t>
  </si>
  <si>
    <t>Melting_Curves/meltCurve_sp_P30419_NMT1_HUMAN_.pdf</t>
  </si>
  <si>
    <t>Melting_Curves/meltCurve_sp_P30520_PURA2_HUMAN_.pdf</t>
  </si>
  <si>
    <t>Melting_Curves/meltCurve_sp_P30533_AMRP_HUMAN_.pdf</t>
  </si>
  <si>
    <t>Melting_Curves/meltCurve_sp_P30566_PUR8_HUMAN_.pdf</t>
  </si>
  <si>
    <t>Melting_Curves/meltCurve_sp_P30613_2_KPYR_HUMAN_.pdf</t>
  </si>
  <si>
    <t>Melting_Curves/meltCurve_sp_P30622_2_CLIP1_HUMAN_.pdf</t>
  </si>
  <si>
    <t>Melting_Curves/meltCurve_sp_P30711_GSTT1_HUMAN_.pdf</t>
  </si>
  <si>
    <t>Melting_Curves/meltCurve_sp_P30740_ILEU_HUMAN_.pdf</t>
  </si>
  <si>
    <t>Melting_Curves/meltCurve_sp_P30793_GCH1_HUMAN_.pdf</t>
  </si>
  <si>
    <t>Melting_Curves/meltCurve_sp_P30837_AL1B1_HUMAN_.pdf</t>
  </si>
  <si>
    <t>Melting_Curves/meltCurve_sp_P31040_DHSA_HUMAN_.pdf</t>
  </si>
  <si>
    <t>Melting_Curves/meltCurve_sp_P31146_COR1A_HUMAN_.pdf</t>
  </si>
  <si>
    <t>Melting_Curves/meltCurve_sp_P31150_GDIA_HUMAN_.pdf</t>
  </si>
  <si>
    <t>Melting_Curves/meltCurve_sp_P31153_METK2_HUMAN_.pdf</t>
  </si>
  <si>
    <t>Melting_Curves/meltCurve_sp_P31321_KAP1_HUMAN_.pdf</t>
  </si>
  <si>
    <t>Melting_Curves/meltCurve_sp_P31327_CPSM_HUMAN_.pdf</t>
  </si>
  <si>
    <t>Melting_Curves/meltCurve_sp_P31689_DNJA1_HUMAN_.pdf</t>
  </si>
  <si>
    <t>Melting_Curves/meltCurve_sp_P31749_AKT1_HUMAN_.pdf</t>
  </si>
  <si>
    <t>Melting_Curves/meltCurve_sp_P31751_AKT2_HUMAN_.pdf</t>
  </si>
  <si>
    <t>Melting_Curves/meltCurve_sp_P31930_QCR1_HUMAN_.pdf</t>
  </si>
  <si>
    <t>Melting_Curves/meltCurve_sp_P31937_3HIDH_HUMAN_.pdf</t>
  </si>
  <si>
    <t>Melting_Curves/meltCurve_sp_P31939_PUR9_HUMAN_.pdf</t>
  </si>
  <si>
    <t>Melting_Curves/meltCurve_sp_P31942_2_HNRH3_HUMAN_.pdf</t>
  </si>
  <si>
    <t>Melting_Curves/meltCurve_sp_P31944_CASPE_HUMAN_.pdf</t>
  </si>
  <si>
    <t>Melting_Curves/meltCurve_sp_P31946_2_1433B_HUMAN_.pdf</t>
  </si>
  <si>
    <t>Melting_Curves/meltCurve_sp_P31947_2_1433S_HUMAN_.pdf</t>
  </si>
  <si>
    <t>Melting_Curves/meltCurve_sp_P31948_STIP1_HUMAN_.pdf</t>
  </si>
  <si>
    <t>Melting_Curves/meltCurve_sp_P31949_S10AB_HUMAN_.pdf</t>
  </si>
  <si>
    <t>Melting_Curves/meltCurve_sp_P32119_PRDX2_HUMAN_.pdf</t>
  </si>
  <si>
    <t>Melting_Curves/meltCurve_sp_P32189_1_GLPK_HUMAN_.pdf</t>
  </si>
  <si>
    <t>Melting_Curves/meltCurve_sp_P32320_CDD_HUMAN_.pdf</t>
  </si>
  <si>
    <t>Melting_Curves/meltCurve_sp_P32321_DCTD_HUMAN_.pdf</t>
  </si>
  <si>
    <t>Melting_Curves/meltCurve_sp_P32455_GBP1_HUMAN_.pdf</t>
  </si>
  <si>
    <t>Melting_Curves/meltCurve_sp_P32456_GBP2_HUMAN_.pdf</t>
  </si>
  <si>
    <t>Melting_Curves/meltCurve_sp_P32519_2_ELF1_HUMAN_.pdf</t>
  </si>
  <si>
    <t>Melting_Curves/meltCurve_sp_P32754_2_HPPD_HUMAN_.pdf</t>
  </si>
  <si>
    <t>Melting_Curves/meltCurve_sp_P32754_HPPD_HUMAN_.pdf</t>
  </si>
  <si>
    <t>Melting_Curves/meltCurve_sp_P32929_CGL_HUMAN_.pdf</t>
  </si>
  <si>
    <t>Melting_Curves/meltCurve_sp_P33121_ACSL1_HUMAN_.pdf</t>
  </si>
  <si>
    <t>Melting_Curves/meltCurve_sp_P33176_KINH_HUMAN_.pdf</t>
  </si>
  <si>
    <t>Melting_Curves/meltCurve_sp_P33240_2_CSTF2_HUMAN_.pdf</t>
  </si>
  <si>
    <t>Melting_Curves/meltCurve_sp_P33241_LSP1_HUMAN_.pdf</t>
  </si>
  <si>
    <t>Melting_Curves/meltCurve_sp_P33316_DUT_HUMAN_.pdf</t>
  </si>
  <si>
    <t>Melting_Curves/meltCurve_sp_P33991_MCM4_HUMAN_.pdf</t>
  </si>
  <si>
    <t>Melting_Curves/meltCurve_sp_P33992_MCM5_HUMAN_.pdf</t>
  </si>
  <si>
    <t>Melting_Curves/meltCurve_sp_P33993_MCM7_HUMAN_.pdf</t>
  </si>
  <si>
    <t>Melting_Curves/meltCurve_sp_P34059_GALNS_HUMAN_.pdf</t>
  </si>
  <si>
    <t>Melting_Curves/meltCurve_sp_P34096_RNAS4_HUMAN_.pdf</t>
  </si>
  <si>
    <t>Melting_Curves/meltCurve_sp_P34896_2_GLYC_HUMAN_.pdf</t>
  </si>
  <si>
    <t>Melting_Curves/meltCurve_sp_P34897_3_GLYM_HUMAN_.pdf</t>
  </si>
  <si>
    <t>Melting_Curves/meltCurve_sp_P34913_HYES_HUMAN_.pdf</t>
  </si>
  <si>
    <t>Melting_Curves/meltCurve_sp_P34932_HSP74_HUMAN_.pdf</t>
  </si>
  <si>
    <t>Melting_Curves/meltCurve_sp_P35030_2_TRY3_HUMAN_.pdf</t>
  </si>
  <si>
    <t>Melting_Curves/meltCurve_sp_P35218_CAH5A_HUMAN_.pdf</t>
  </si>
  <si>
    <t>Melting_Curves/meltCurve_sp_P35221_CTNA1_HUMAN_.pdf</t>
  </si>
  <si>
    <t>Melting_Curves/meltCurve_sp_P35237_SPB6_HUMAN_.pdf</t>
  </si>
  <si>
    <t>Melting_Curves/meltCurve_sp_P35241_RADI_HUMAN_.pdf</t>
  </si>
  <si>
    <t>Melting_Curves/meltCurve_sp_P35251_2_RFC1_HUMAN_.pdf</t>
  </si>
  <si>
    <t>Melting_Curves/meltCurve_sp_P35268_RL22_HUMAN_.pdf</t>
  </si>
  <si>
    <t>Melting_Curves/meltCurve_sp_P35270_SPRE_HUMAN_.pdf</t>
  </si>
  <si>
    <t>Melting_Curves/meltCurve_sp_P35520_CBS_HUMAN_.pdf</t>
  </si>
  <si>
    <t>Melting_Curves/meltCurve_sp_P35558_PCKGC_HUMAN_.pdf</t>
  </si>
  <si>
    <t>Melting_Curves/meltCurve_sp_P35568_IRS1_HUMAN_.pdf</t>
  </si>
  <si>
    <t>Melting_Curves/meltCurve_sp_P35573_GDE_HUMAN_.pdf</t>
  </si>
  <si>
    <t>Melting_Curves/meltCurve_sp_P35579_MYH9_HUMAN_.pdf</t>
  </si>
  <si>
    <t>Melting_Curves/meltCurve_sp_P35580_MYH10_HUMAN_.pdf</t>
  </si>
  <si>
    <t>Melting_Curves/meltCurve_sp_P35606_COPB2_HUMAN_.pdf</t>
  </si>
  <si>
    <t>Melting_Curves/meltCurve_sp_P35611_2_ADDA_HUMAN_.pdf</t>
  </si>
  <si>
    <t>Melting_Curves/meltCurve_sp_P35637_2_FUS_HUMAN_.pdf</t>
  </si>
  <si>
    <t>Melting_Curves/meltCurve_sp_P35658_2_NU214_HUMAN_.pdf</t>
  </si>
  <si>
    <t>Melting_Curves/meltCurve_sp_P35659_DEK_HUMAN_.pdf</t>
  </si>
  <si>
    <t>Melting_Curves/meltCurve_sp_P35754_GLRX1_HUMAN_.pdf</t>
  </si>
  <si>
    <t>Melting_Curves/meltCurve_sp_P35813_PPM1A_HUMAN_.pdf</t>
  </si>
  <si>
    <t>Melting_Curves/meltCurve_sp_P35858_ALS_HUMAN_.pdf</t>
  </si>
  <si>
    <t>Melting_Curves/meltCurve_sp_P35914_HMGCL_HUMAN_.pdf</t>
  </si>
  <si>
    <t>Melting_Curves/meltCurve_sp_P35998_PRS7_HUMAN_.pdf</t>
  </si>
  <si>
    <t>Melting_Curves/meltCurve_sp_P36405_ARL3_HUMAN_.pdf</t>
  </si>
  <si>
    <t>Melting_Curves/meltCurve_sp_P36507_MP2K2_HUMAN_.pdf</t>
  </si>
  <si>
    <t>Melting_Curves/meltCurve_sp_P36543_VATE1_HUMAN_.pdf</t>
  </si>
  <si>
    <t>Melting_Curves/meltCurve_sp_P36551_HEM6_HUMAN_.pdf</t>
  </si>
  <si>
    <t>Melting_Curves/meltCurve_sp_P36871_PGM1_HUMAN_.pdf</t>
  </si>
  <si>
    <t>Melting_Curves/meltCurve_sp_P36873_PP1G_HUMAN_.pdf</t>
  </si>
  <si>
    <t>Melting_Curves/meltCurve_sp_P36915_GNL1_HUMAN_.pdf</t>
  </si>
  <si>
    <t>Melting_Curves/meltCurve_sp_P36955_PEDF_HUMAN_.pdf</t>
  </si>
  <si>
    <t>Melting_Curves/meltCurve_sp_P36957_ODO2_HUMAN_.pdf</t>
  </si>
  <si>
    <t>Melting_Curves/meltCurve_sp_P36959_GMPR1_HUMAN_.pdf</t>
  </si>
  <si>
    <t>Melting_Curves/meltCurve_sp_P36969_2_GPX4_HUMAN_.pdf</t>
  </si>
  <si>
    <t>Melting_Curves/meltCurve_sp_P36980_2_FHR2_HUMAN_.pdf</t>
  </si>
  <si>
    <t>Melting_Curves/meltCurve_sp_P37108_SRP14_HUMAN_.pdf</t>
  </si>
  <si>
    <t>Melting_Curves/meltCurve_sp_P37198_NUP62_HUMAN_.pdf</t>
  </si>
  <si>
    <t>Melting_Curves/meltCurve_sp_P37235_HPCL1_HUMAN_.pdf</t>
  </si>
  <si>
    <t>Melting_Curves/meltCurve_sp_P37802_TAGL2_HUMAN_.pdf</t>
  </si>
  <si>
    <t>Melting_Curves/meltCurve_sp_P37837_TALDO_HUMAN_.pdf</t>
  </si>
  <si>
    <t>Melting_Curves/meltCurve_sp_P38117_ETFB_HUMAN_.pdf</t>
  </si>
  <si>
    <t>Melting_Curves/meltCurve_sp_P38159_RBMX_HUMAN_.pdf</t>
  </si>
  <si>
    <t>Melting_Curves/meltCurve_sp_P38432_COIL_HUMAN_.pdf</t>
  </si>
  <si>
    <t>Melting_Curves/meltCurve_sp_P38570_ITAE_HUMAN_.pdf</t>
  </si>
  <si>
    <t>Melting_Curves/meltCurve_sp_P38646_GRP75_HUMAN_.pdf</t>
  </si>
  <si>
    <t>Melting_Curves/meltCurve_sp_P38919_IF4A3_HUMAN_.pdf</t>
  </si>
  <si>
    <t>Melting_Curves/meltCurve_sp_P39019_RS19_HUMAN_.pdf</t>
  </si>
  <si>
    <t>Melting_Curves/meltCurve_sp_P39060_2_COIA1_HUMAN_.pdf</t>
  </si>
  <si>
    <t>Melting_Curves/meltCurve_sp_P39748_FEN1_HUMAN_.pdf</t>
  </si>
  <si>
    <t>Melting_Curves/meltCurve_sp_P40222_TXLNA_HUMAN_.pdf</t>
  </si>
  <si>
    <t>Melting_Curves/meltCurve_sp_P40227_TCPZ_HUMAN_.pdf</t>
  </si>
  <si>
    <t>Melting_Curves/meltCurve_sp_P40261_NNMT_HUMAN_.pdf</t>
  </si>
  <si>
    <t>Melting_Curves/meltCurve_sp_P40306_PSB10_HUMAN_.pdf</t>
  </si>
  <si>
    <t>Melting_Curves/meltCurve_sp_P40394_ADH7_HUMAN_.pdf</t>
  </si>
  <si>
    <t>Melting_Curves/meltCurve_sp_P40763_2_STAT3_HUMAN_.pdf</t>
  </si>
  <si>
    <t>Melting_Curves/meltCurve_sp_P40763_STAT3_HUMAN_.pdf</t>
  </si>
  <si>
    <t>Melting_Curves/meltCurve_sp_P40818_UBP8_HUMAN_.pdf</t>
  </si>
  <si>
    <t>Melting_Curves/meltCurve_sp_P40925_MDHC_HUMAN_.pdf</t>
  </si>
  <si>
    <t>Melting_Curves/meltCurve_sp_P40926_MDHM_HUMAN_.pdf</t>
  </si>
  <si>
    <t>Melting_Curves/meltCurve_sp_P40939_ECHA_HUMAN_.pdf</t>
  </si>
  <si>
    <t>Melting_Curves/meltCurve_sp_P41091_IF2G_HUMAN_.pdf</t>
  </si>
  <si>
    <t>Melting_Curves/meltCurve_sp_P41208_CETN2_HUMAN_.pdf</t>
  </si>
  <si>
    <t>Melting_Curves/meltCurve_sp_P41226_UBA7_HUMAN_.pdf</t>
  </si>
  <si>
    <t>Melting_Curves/meltCurve_sp_P41227_2_NAA10_HUMAN_.pdf</t>
  </si>
  <si>
    <t>Melting_Curves/meltCurve_sp_P41236_IPP2_HUMAN_.pdf</t>
  </si>
  <si>
    <t>Melting_Curves/meltCurve_sp_P41240_CSK_HUMAN_.pdf</t>
  </si>
  <si>
    <t>Melting_Curves/meltCurve_sp_P41250_SYG_HUMAN_.pdf</t>
  </si>
  <si>
    <t>Melting_Curves/meltCurve_sp_P41252_SYIC_HUMAN_.pdf</t>
  </si>
  <si>
    <t>Melting_Curves/meltCurve_sp_P41567_EIF1_HUMAN_.pdf</t>
  </si>
  <si>
    <t>Melting_Curves/meltCurve_sp_P41743_KPCI_HUMAN_.pdf</t>
  </si>
  <si>
    <t>Melting_Curves/meltCurve_sp_P42025_ACTY_HUMAN_.pdf</t>
  </si>
  <si>
    <t>Melting_Curves/meltCurve_sp_P42126_2_ECI1_HUMAN_.pdf</t>
  </si>
  <si>
    <t>Melting_Curves/meltCurve_sp_P42166_LAP2A_HUMAN_.pdf</t>
  </si>
  <si>
    <t>Melting_Curves/meltCurve_sp_P42224_2_STAT1_HUMAN_.pdf</t>
  </si>
  <si>
    <t>Melting_Curves/meltCurve_sp_P42226_3_STAT6_HUMAN_.pdf</t>
  </si>
  <si>
    <t>Melting_Curves/meltCurve_sp_P42285_SK2L2_HUMAN_.pdf</t>
  </si>
  <si>
    <t>Melting_Curves/meltCurve_sp_P42330_AK1C3_HUMAN_.pdf</t>
  </si>
  <si>
    <t>Melting_Curves/meltCurve_sp_P42336_PK3CA_HUMAN_.pdf</t>
  </si>
  <si>
    <t>Melting_Curves/meltCurve_sp_P42338_PK3CB_HUMAN_.pdf</t>
  </si>
  <si>
    <t>Melting_Curves/meltCurve_sp_P42345_MTOR_HUMAN_.pdf</t>
  </si>
  <si>
    <t>Melting_Curves/meltCurve_sp_P42357_HUTH_HUMAN_.pdf</t>
  </si>
  <si>
    <t>Melting_Curves/meltCurve_sp_P42566_EPS15_HUMAN_.pdf</t>
  </si>
  <si>
    <t>Melting_Curves/meltCurve_sp_P42574_CASP3_HUMAN_.pdf</t>
  </si>
  <si>
    <t>Melting_Curves/meltCurve_sp_P42704_LPPRC_HUMAN_.pdf</t>
  </si>
  <si>
    <t>Melting_Curves/meltCurve_sp_P42765_THIM_HUMAN_.pdf</t>
  </si>
  <si>
    <t>Melting_Curves/meltCurve_sp_P42773_CDN2C_HUMAN_.pdf</t>
  </si>
  <si>
    <t>Melting_Curves/meltCurve_sp_P42785_PCP_HUMAN_.pdf</t>
  </si>
  <si>
    <t>Melting_Curves/meltCurve_sp_P42858_HD_HUMAN_.pdf</t>
  </si>
  <si>
    <t>Melting_Curves/meltCurve_sp_P43034_LIS1_HUMAN_.pdf</t>
  </si>
  <si>
    <t>Melting_Curves/meltCurve_sp_P43155_2_CACP_HUMAN_.pdf</t>
  </si>
  <si>
    <t>Melting_Curves/meltCurve_sp_P43243_MATR3_HUMAN_.pdf</t>
  </si>
  <si>
    <t>Melting_Curves/meltCurve_sp_P43246_MSH2_HUMAN_.pdf</t>
  </si>
  <si>
    <t>Melting_Curves/meltCurve_sp_P43487_RANG_HUMAN_.pdf</t>
  </si>
  <si>
    <t>Melting_Curves/meltCurve_sp_P43490_NAMPT_HUMAN_.pdf</t>
  </si>
  <si>
    <t>Melting_Curves/meltCurve_sp_P43652_AFAM_HUMAN_.pdf</t>
  </si>
  <si>
    <t>Melting_Curves/meltCurve_sp_P43686_PRS6B_HUMAN_.pdf</t>
  </si>
  <si>
    <t>Melting_Curves/meltCurve_sp_P43897_EFTS_HUMAN_.pdf</t>
  </si>
  <si>
    <t>Melting_Curves/meltCurve_sp_P45381_ACY2_HUMAN_.pdf</t>
  </si>
  <si>
    <t>Melting_Curves/meltCurve_sp_P45954_ACDSB_HUMAN_.pdf</t>
  </si>
  <si>
    <t>Melting_Curves/meltCurve_sp_P45974_2_UBP5_HUMAN_.pdf</t>
  </si>
  <si>
    <t>Melting_Curves/meltCurve_sp_P45984_2_MK09_HUMAN_.pdf</t>
  </si>
  <si>
    <t>Melting_Curves/meltCurve_sp_P45985_MP2K4_HUMAN_.pdf</t>
  </si>
  <si>
    <t>Melting_Curves/meltCurve_sp_P46013_2_KI67_HUMAN_.pdf</t>
  </si>
  <si>
    <t>Melting_Curves/meltCurve_sp_P46019_KPB2_HUMAN_.pdf</t>
  </si>
  <si>
    <t>Melting_Curves/meltCurve_sp_P46060_RAGP1_HUMAN_.pdf</t>
  </si>
  <si>
    <t>Melting_Curves/meltCurve_sp_P46063_RECQ1_HUMAN_.pdf</t>
  </si>
  <si>
    <t>Melting_Curves/meltCurve_sp_P46087_2_NOP2_HUMAN_.pdf</t>
  </si>
  <si>
    <t>Melting_Curves/meltCurve_sp_P46100_2_ATRX_HUMAN_.pdf</t>
  </si>
  <si>
    <t>Melting_Curves/meltCurve_sp_P46108_CRK_HUMAN_.pdf</t>
  </si>
  <si>
    <t>Melting_Curves/meltCurve_sp_P46109_CRKL_HUMAN_.pdf</t>
  </si>
  <si>
    <t>Melting_Curves/meltCurve_sp_P46199_IF2M_HUMAN_.pdf</t>
  </si>
  <si>
    <t>Melting_Curves/meltCurve_sp_P46527_CDN1B_HUMAN_.pdf</t>
  </si>
  <si>
    <t>Melting_Curves/meltCurve_sp_P46736_2_BRCC3_HUMAN_.pdf</t>
  </si>
  <si>
    <t>Melting_Curves/meltCurve_sp_P46777_RL5_HUMAN_.pdf</t>
  </si>
  <si>
    <t>Melting_Curves/meltCurve_sp_P46781_RS9_HUMAN_.pdf</t>
  </si>
  <si>
    <t>Melting_Curves/meltCurve_sp_P46783_RS10_HUMAN_.pdf</t>
  </si>
  <si>
    <t>Melting_Curves/meltCurve_sp_P46926_GNPI1_HUMAN_.pdf</t>
  </si>
  <si>
    <t>Melting_Curves/meltCurve_sp_P46934_4_NEDD4_HUMAN_.pdf</t>
  </si>
  <si>
    <t>Melting_Curves/meltCurve_sp_P46937_YAP1_HUMAN_.pdf</t>
  </si>
  <si>
    <t>Melting_Curves/meltCurve_sp_P46939_UTRO_HUMAN_.pdf</t>
  </si>
  <si>
    <t>Melting_Curves/meltCurve_sp_P46940_IQGA1_HUMAN_.pdf</t>
  </si>
  <si>
    <t>Melting_Curves/meltCurve_sp_P46952_3HAO_HUMAN_.pdf</t>
  </si>
  <si>
    <t>Melting_Curves/meltCurve_sp_P46976_2_GLYG_HUMAN_.pdf</t>
  </si>
  <si>
    <t>Melting_Curves/meltCurve_sp_P47224_MSS4_HUMAN_.pdf</t>
  </si>
  <si>
    <t>Melting_Curves/meltCurve_sp_P47755_CAZA2_HUMAN_.pdf</t>
  </si>
  <si>
    <t>Melting_Curves/meltCurve_sp_P47813_IF1AX_HUMAN_.pdf</t>
  </si>
  <si>
    <t>Melting_Curves/meltCurve_sp_P47897_SYQ_HUMAN_.pdf</t>
  </si>
  <si>
    <t>Melting_Curves/meltCurve_sp_P47985_UCRI_HUMAN_.pdf</t>
  </si>
  <si>
    <t>Melting_Curves/meltCurve_sp_P47989_XDH_HUMAN_.pdf</t>
  </si>
  <si>
    <t>Melting_Curves/meltCurve_sp_P48059_LIMS1_HUMAN_.pdf</t>
  </si>
  <si>
    <t>Melting_Curves/meltCurve_sp_P48147_PPCE_HUMAN_.pdf</t>
  </si>
  <si>
    <t>Melting_Curves/meltCurve_sp_P48163_MAOX_HUMAN_.pdf</t>
  </si>
  <si>
    <t>Melting_Curves/meltCurve_sp_P48200_IREB2_HUMAN_.pdf</t>
  </si>
  <si>
    <t>Melting_Curves/meltCurve_sp_P48444_COPD_HUMAN_.pdf</t>
  </si>
  <si>
    <t>Melting_Curves/meltCurve_sp_P48449_3_ERG7_HUMAN_.pdf</t>
  </si>
  <si>
    <t>Melting_Curves/meltCurve_sp_P48506_GSH1_HUMAN_.pdf</t>
  </si>
  <si>
    <t>Melting_Curves/meltCurve_sp_P48507_GSH0_HUMAN_.pdf</t>
  </si>
  <si>
    <t>Melting_Curves/meltCurve_sp_P48553_TPC10_HUMAN_.pdf</t>
  </si>
  <si>
    <t>Melting_Curves/meltCurve_sp_P48634_PRC2A_HUMAN_.pdf</t>
  </si>
  <si>
    <t>Melting_Curves/meltCurve_sp_P48637_GSHB_HUMAN_.pdf</t>
  </si>
  <si>
    <t>Melting_Curves/meltCurve_sp_P48643_TCPE_HUMAN_.pdf</t>
  </si>
  <si>
    <t>Melting_Curves/meltCurve_sp_P48668_K2C6C_HUMAN_.pdf</t>
  </si>
  <si>
    <t>Melting_Curves/meltCurve_sp_P48728_GCST_HUMAN_.pdf</t>
  </si>
  <si>
    <t>Melting_Curves/meltCurve_sp_P48735_IDHP_HUMAN_.pdf</t>
  </si>
  <si>
    <t>Melting_Curves/meltCurve_sp_P48739_PIPNB_HUMAN_.pdf</t>
  </si>
  <si>
    <t>Melting_Curves/meltCurve_sp_P49006_MRP_HUMAN_.pdf</t>
  </si>
  <si>
    <t>Melting_Curves/meltCurve_sp_P49137_MAPK2_HUMAN_.pdf</t>
  </si>
  <si>
    <t>Melting_Curves/meltCurve_sp_P49189_AL9A1_HUMAN_.pdf</t>
  </si>
  <si>
    <t>Melting_Curves/meltCurve_sp_P49247_RPIA_HUMAN_.pdf</t>
  </si>
  <si>
    <t>Melting_Curves/meltCurve_sp_P49321_NASP_HUMAN_.pdf</t>
  </si>
  <si>
    <t>Melting_Curves/meltCurve_sp_P49326_FMO5_HUMAN_.pdf</t>
  </si>
  <si>
    <t>Melting_Curves/meltCurve_sp_P49327_FAS_HUMAN_.pdf</t>
  </si>
  <si>
    <t>Melting_Curves/meltCurve_sp_P49354_FNTA_HUMAN_.pdf</t>
  </si>
  <si>
    <t>Melting_Curves/meltCurve_sp_P49366_DHYS_HUMAN_.pdf</t>
  </si>
  <si>
    <t>Melting_Curves/meltCurve_sp_P49368_TCPG_HUMAN_.pdf</t>
  </si>
  <si>
    <t>Melting_Curves/meltCurve_sp_P49407_2_ARRB1_HUMAN_.pdf</t>
  </si>
  <si>
    <t>Melting_Curves/meltCurve_sp_P49411_EFTU_HUMAN_.pdf</t>
  </si>
  <si>
    <t>Melting_Curves/meltCurve_sp_P49419_2_AL7A1_HUMAN_.pdf</t>
  </si>
  <si>
    <t>Melting_Curves/meltCurve_sp_P49427_UB2R1_HUMAN_.pdf</t>
  </si>
  <si>
    <t>Melting_Curves/meltCurve_sp_P49441_INPP_HUMAN_.pdf</t>
  </si>
  <si>
    <t>Melting_Curves/meltCurve_sp_P49448_DHE4_HUMAN_.pdf</t>
  </si>
  <si>
    <t>Melting_Curves/meltCurve_sp_P49458_SRP09_HUMAN_.pdf</t>
  </si>
  <si>
    <t>Melting_Curves/meltCurve_sp_P49459_UBE2A_HUMAN_.pdf</t>
  </si>
  <si>
    <t>Melting_Curves/meltCurve_sp_P49588_SYAC_HUMAN_.pdf</t>
  </si>
  <si>
    <t>Melting_Curves/meltCurve_sp_P49589_3_SYCC_HUMAN_.pdf</t>
  </si>
  <si>
    <t>Melting_Curves/meltCurve_sp_P49591_SYSC_HUMAN_.pdf</t>
  </si>
  <si>
    <t>Melting_Curves/meltCurve_sp_P49638_TTPA_HUMAN_.pdf</t>
  </si>
  <si>
    <t>Melting_Curves/meltCurve_sp_P49662_CASP4_HUMAN_.pdf</t>
  </si>
  <si>
    <t>Melting_Curves/meltCurve_sp_P49711_CTCF_HUMAN_.pdf</t>
  </si>
  <si>
    <t>Melting_Curves/meltCurve_sp_P49720_PSB3_HUMAN_.pdf</t>
  </si>
  <si>
    <t>Melting_Curves/meltCurve_sp_P49721_PSB2_HUMAN_.pdf</t>
  </si>
  <si>
    <t>Melting_Curves/meltCurve_sp_P49736_MCM2_HUMAN_.pdf</t>
  </si>
  <si>
    <t>Melting_Curves/meltCurve_sp_P49748_ACADV_HUMAN_.pdf</t>
  </si>
  <si>
    <t>Melting_Curves/meltCurve_sp_P49750_4_YLPM1_HUMAN_.pdf</t>
  </si>
  <si>
    <t>Melting_Curves/meltCurve_sp_P49756_RBM25_HUMAN_.pdf</t>
  </si>
  <si>
    <t>Melting_Curves/meltCurve_sp_P49757_4_NUMB_HUMAN_.pdf</t>
  </si>
  <si>
    <t>Melting_Curves/meltCurve_sp_P49770_EI2BB_HUMAN_.pdf</t>
  </si>
  <si>
    <t>Melting_Curves/meltCurve_sp_P49773_HINT1_HUMAN_.pdf</t>
  </si>
  <si>
    <t>Melting_Curves/meltCurve_sp_P49789_FHIT_HUMAN_.pdf</t>
  </si>
  <si>
    <t>Melting_Curves/meltCurve_sp_P49790_NU153_HUMAN_.pdf</t>
  </si>
  <si>
    <t>Melting_Curves/meltCurve_sp_P49792_RBP2_HUMAN_.pdf</t>
  </si>
  <si>
    <t>Melting_Curves/meltCurve_sp_P49821_2_NDUV1_HUMAN_.pdf</t>
  </si>
  <si>
    <t>Melting_Curves/meltCurve_sp_P49840_GSK3A_HUMAN_.pdf</t>
  </si>
  <si>
    <t>Melting_Curves/meltCurve_sp_P49888_ST1E1_HUMAN_.pdf</t>
  </si>
  <si>
    <t>Melting_Curves/meltCurve_sp_P49902_5NTC_HUMAN_.pdf</t>
  </si>
  <si>
    <t>Melting_Curves/meltCurve_sp_P49903_SPS1_HUMAN_.pdf</t>
  </si>
  <si>
    <t>Melting_Curves/meltCurve_sp_P49914_MTHFS_HUMAN_.pdf</t>
  </si>
  <si>
    <t>Melting_Curves/meltCurve_sp_P49959_MRE11_HUMAN_.pdf</t>
  </si>
  <si>
    <t>Melting_Curves/meltCurve_sp_P50053_2_KHK_HUMAN_.pdf</t>
  </si>
  <si>
    <t>Melting_Curves/meltCurve_sp_P50053_KHK_HUMAN_.pdf</t>
  </si>
  <si>
    <t>Melting_Curves/meltCurve_sp_P50135_HNMT_HUMAN_.pdf</t>
  </si>
  <si>
    <t>Melting_Curves/meltCurve_sp_P50225_ST1A1_HUMAN_.pdf</t>
  </si>
  <si>
    <t>Melting_Curves/meltCurve_sp_P50226_ST1A2_HUMAN_.pdf</t>
  </si>
  <si>
    <t>Melting_Curves/meltCurve_sp_P50395_GDIB_HUMAN_.pdf</t>
  </si>
  <si>
    <t>Melting_Curves/meltCurve_sp_P50402_EMD_HUMAN_.pdf</t>
  </si>
  <si>
    <t>Melting_Curves/meltCurve_sp_P50440_GATM_HUMAN_.pdf</t>
  </si>
  <si>
    <t>Melting_Curves/meltCurve_sp_P50452_SPB8_HUMAN_.pdf</t>
  </si>
  <si>
    <t>Melting_Curves/meltCurve_sp_P50453_SPB9_HUMAN_.pdf</t>
  </si>
  <si>
    <t>Melting_Curves/meltCurve_sp_P50454_SERPH_HUMAN_.pdf</t>
  </si>
  <si>
    <t>Melting_Curves/meltCurve_sp_P50502_F10A1_HUMAN_.pdf</t>
  </si>
  <si>
    <t>Melting_Curves/meltCurve_sp_P50542_2_PEX5_HUMAN_.pdf</t>
  </si>
  <si>
    <t>Melting_Curves/meltCurve_sp_P50552_VASP_HUMAN_.pdf</t>
  </si>
  <si>
    <t>Melting_Curves/meltCurve_sp_P50570_2_DYN2_HUMAN_.pdf</t>
  </si>
  <si>
    <t>Melting_Curves/meltCurve_sp_P50583_AP4A_HUMAN_.pdf</t>
  </si>
  <si>
    <t>Melting_Curves/meltCurve_sp_P50747_BPL1_HUMAN_.pdf</t>
  </si>
  <si>
    <t>Melting_Curves/meltCurve_sp_P50750_CDK9_HUMAN_.pdf</t>
  </si>
  <si>
    <t>Melting_Curves/meltCurve_sp_P50897_PPT1_HUMAN_.pdf</t>
  </si>
  <si>
    <t>Melting_Curves/meltCurve_sp_P50990_TCPQ_HUMAN_.pdf</t>
  </si>
  <si>
    <t>Melting_Curves/meltCurve_sp_P50991_TCPD_HUMAN_.pdf</t>
  </si>
  <si>
    <t>Melting_Curves/meltCurve_sp_P51114_3_FXR1_HUMAN_.pdf</t>
  </si>
  <si>
    <t>Melting_Curves/meltCurve_sp_P51116_FXR2_HUMAN_.pdf</t>
  </si>
  <si>
    <t>Melting_Curves/meltCurve_sp_P51148_RAB5C_HUMAN_.pdf</t>
  </si>
  <si>
    <t>Melting_Curves/meltCurve_sp_P51149_RAB7A_HUMAN_.pdf</t>
  </si>
  <si>
    <t>Melting_Curves/meltCurve_sp_P51153_RAB13_HUMAN_.pdf</t>
  </si>
  <si>
    <t>Melting_Curves/meltCurve_sp_P51178_PLCD1_HUMAN_.pdf</t>
  </si>
  <si>
    <t>Melting_Curves/meltCurve_sp_P51398_2_RT29_HUMAN_.pdf</t>
  </si>
  <si>
    <t>Melting_Curves/meltCurve_sp_P51452_DUS3_HUMAN_.pdf</t>
  </si>
  <si>
    <t>Melting_Curves/meltCurve_sp_P51553_IDH3G_HUMAN_.pdf</t>
  </si>
  <si>
    <t>Melting_Curves/meltCurve_sp_P51570_GALK1_HUMAN_.pdf</t>
  </si>
  <si>
    <t>Melting_Curves/meltCurve_sp_P51572_BAP31_HUMAN_.pdf</t>
  </si>
  <si>
    <t>Melting_Curves/meltCurve_sp_P51580_TPMT_HUMAN_.pdf</t>
  </si>
  <si>
    <t>Melting_Curves/meltCurve_sp_P51608_MECP2_HUMAN_.pdf</t>
  </si>
  <si>
    <t>Melting_Curves/meltCurve_sp_P51610_4_HCFC1_HUMAN_.pdf</t>
  </si>
  <si>
    <t>Melting_Curves/meltCurve_sp_P51649_SSDH_HUMAN_.pdf</t>
  </si>
  <si>
    <t>Melting_Curves/meltCurve_sp_P51659_DHB4_HUMAN_.pdf</t>
  </si>
  <si>
    <t>Melting_Curves/meltCurve_sp_P51665_PSD7_HUMAN_.pdf</t>
  </si>
  <si>
    <t>Melting_Curves/meltCurve_sp_P51687_SUOX_HUMAN_.pdf</t>
  </si>
  <si>
    <t>Melting_Curves/meltCurve_sp_P51688_SPHM_HUMAN_.pdf</t>
  </si>
  <si>
    <t>Melting_Curves/meltCurve_sp_P51692_STA5B_HUMAN_.pdf</t>
  </si>
  <si>
    <t>Melting_Curves/meltCurve_sp_P51857_AK1D1_HUMAN_.pdf</t>
  </si>
  <si>
    <t>Melting_Curves/meltCurve_sp_P51858_HDGF_HUMAN_.pdf</t>
  </si>
  <si>
    <t>Melting_Curves/meltCurve_sp_P51991_ROA3_HUMAN_.pdf</t>
  </si>
  <si>
    <t>Melting_Curves/meltCurve_sp_P52272_2_HNRPM_HUMAN_.pdf</t>
  </si>
  <si>
    <t>Melting_Curves/meltCurve_sp_P52292_IMA2_HUMAN_.pdf</t>
  </si>
  <si>
    <t>Melting_Curves/meltCurve_sp_P52294_IMA1_HUMAN_.pdf</t>
  </si>
  <si>
    <t>Melting_Curves/meltCurve_sp_P52306_GDS1_HUMAN_.pdf</t>
  </si>
  <si>
    <t>Melting_Curves/meltCurve_sp_P52594_2_AGFG1_HUMAN_.pdf</t>
  </si>
  <si>
    <t>Melting_Curves/meltCurve_sp_P52597_HNRPF_HUMAN_.pdf</t>
  </si>
  <si>
    <t>Melting_Curves/meltCurve_sp_P52630_4_STAT2_HUMAN_.pdf</t>
  </si>
  <si>
    <t>Melting_Curves/meltCurve_sp_P52732_KIF11_HUMAN_.pdf</t>
  </si>
  <si>
    <t>Melting_Curves/meltCurve_sp_P52735_3_VAV2_HUMAN_.pdf</t>
  </si>
  <si>
    <t>Melting_Curves/meltCurve_sp_P52758_UK114_HUMAN_.pdf</t>
  </si>
  <si>
    <t>Melting_Curves/meltCurve_sp_P52788_SPSY_HUMAN_.pdf</t>
  </si>
  <si>
    <t>Melting_Curves/meltCurve_sp_P52790_HXK3_HUMAN_.pdf</t>
  </si>
  <si>
    <t>Melting_Curves/meltCurve_sp_P52815_RM12_HUMAN_.pdf</t>
  </si>
  <si>
    <t>Melting_Curves/meltCurve_sp_P52888_THOP1_HUMAN_.pdf</t>
  </si>
  <si>
    <t>Melting_Curves/meltCurve_sp_P52907_CAZA1_HUMAN_.pdf</t>
  </si>
  <si>
    <t>Melting_Curves/meltCurve_sp_P52943_CRIP2_HUMAN_.pdf</t>
  </si>
  <si>
    <t>Melting_Curves/meltCurve_sp_P53004_BIEA_HUMAN_.pdf</t>
  </si>
  <si>
    <t>Melting_Curves/meltCurve_sp_P53367_ARFP1_HUMAN_.pdf</t>
  </si>
  <si>
    <t>Melting_Curves/meltCurve_sp_P53370_NUDT6_HUMAN_.pdf</t>
  </si>
  <si>
    <t>Melting_Curves/meltCurve_sp_P53384_2_NUBP1_HUMAN_.pdf</t>
  </si>
  <si>
    <t>Melting_Curves/meltCurve_sp_P53396_ACLY_HUMAN_.pdf</t>
  </si>
  <si>
    <t>Melting_Curves/meltCurve_sp_P53597_SUCA_HUMAN_.pdf</t>
  </si>
  <si>
    <t>Melting_Curves/meltCurve_sp_P53602_MVD1_HUMAN_.pdf</t>
  </si>
  <si>
    <t>Melting_Curves/meltCurve_sp_P53609_PGTB1_HUMAN_.pdf</t>
  </si>
  <si>
    <t>Melting_Curves/meltCurve_sp_P53611_PGTB2_HUMAN_.pdf</t>
  </si>
  <si>
    <t>Melting_Curves/meltCurve_sp_P53618_COPB_HUMAN_.pdf</t>
  </si>
  <si>
    <t>Melting_Curves/meltCurve_sp_P53621_COPA_HUMAN_.pdf</t>
  </si>
  <si>
    <t>Melting_Curves/meltCurve_sp_P53634_CATC_HUMAN_.pdf</t>
  </si>
  <si>
    <t>Melting_Curves/meltCurve_sp_P53675_2_CLH2_HUMAN_.pdf</t>
  </si>
  <si>
    <t>Melting_Curves/meltCurve_sp_P53680_AP2S1_HUMAN_.pdf</t>
  </si>
  <si>
    <t>Melting_Curves/meltCurve_sp_P53990_2_IST1_HUMAN_.pdf</t>
  </si>
  <si>
    <t>Melting_Curves/meltCurve_sp_P53999_TCP4_HUMAN_.pdf</t>
  </si>
  <si>
    <t>Melting_Curves/meltCurve_sp_P54098_DPOG1_HUMAN_.pdf</t>
  </si>
  <si>
    <t>Melting_Curves/meltCurve_sp_P54136_SYRC_HUMAN_.pdf</t>
  </si>
  <si>
    <t>Melting_Curves/meltCurve_sp_P54577_SYYC_HUMAN_.pdf</t>
  </si>
  <si>
    <t>Melting_Curves/meltCurve_sp_P54578_2_UBP14_HUMAN_.pdf</t>
  </si>
  <si>
    <t>Melting_Curves/meltCurve_sp_P54619_2_AAKG1_HUMAN_.pdf</t>
  </si>
  <si>
    <t>Melting_Curves/meltCurve_sp_P54727_RD23B_HUMAN_.pdf</t>
  </si>
  <si>
    <t>Melting_Curves/meltCurve_sp_P54802_ANAG_HUMAN_.pdf</t>
  </si>
  <si>
    <t>Melting_Curves/meltCurve_sp_P54819_5_KAD2_HUMAN_.pdf</t>
  </si>
  <si>
    <t>Melting_Curves/meltCurve_sp_P54840_GYS2_HUMAN_.pdf</t>
  </si>
  <si>
    <t>Melting_Curves/meltCurve_sp_P54868_HMCS2_HUMAN_.pdf</t>
  </si>
  <si>
    <t>Melting_Curves/meltCurve_sp_P54886_2_P5CS_HUMAN_.pdf</t>
  </si>
  <si>
    <t>Melting_Curves/meltCurve_sp_P54920_SNAA_HUMAN_.pdf</t>
  </si>
  <si>
    <t>Melting_Curves/meltCurve_sp_P55008_AIF1_HUMAN_.pdf</t>
  </si>
  <si>
    <t>Melting_Curves/meltCurve_sp_P55010_IF5_HUMAN_.pdf</t>
  </si>
  <si>
    <t>Melting_Curves/meltCurve_sp_P55036_PSMD4_HUMAN_.pdf</t>
  </si>
  <si>
    <t>Melting_Curves/meltCurve_sp_P55039_DRG2_HUMAN_.pdf</t>
  </si>
  <si>
    <t>Melting_Curves/meltCurve_sp_P55060_3_XPO2_HUMAN_.pdf</t>
  </si>
  <si>
    <t>Melting_Curves/meltCurve_sp_P55072_TERA_HUMAN_.pdf</t>
  </si>
  <si>
    <t>Melting_Curves/meltCurve_sp_P55081_MFAP1_HUMAN_.pdf</t>
  </si>
  <si>
    <t>Melting_Curves/meltCurve_sp_P55145_MANF_HUMAN_.pdf</t>
  </si>
  <si>
    <t>Melting_Curves/meltCurve_sp_P55157_MTP_HUMAN_.pdf</t>
  </si>
  <si>
    <t>Melting_Curves/meltCurve_sp_P55196_AFAD_HUMAN_.pdf</t>
  </si>
  <si>
    <t>Melting_Curves/meltCurve_sp_P55210_CASP7_HUMAN_.pdf</t>
  </si>
  <si>
    <t>Melting_Curves/meltCurve_sp_P55212_CASP6_HUMAN_.pdf</t>
  </si>
  <si>
    <t>Melting_Curves/meltCurve_sp_P55263_ADK_HUMAN_.pdf</t>
  </si>
  <si>
    <t>Melting_Curves/meltCurve_sp_P55265_5_DSRAD_HUMAN_.pdf</t>
  </si>
  <si>
    <t>Melting_Curves/meltCurve_sp_P55268_LAMB2_HUMAN_.pdf</t>
  </si>
  <si>
    <t>Melting_Curves/meltCurve_sp_P55735_SEC13_HUMAN_.pdf</t>
  </si>
  <si>
    <t>Melting_Curves/meltCurve_sp_P55769_NH2L1_HUMAN_.pdf</t>
  </si>
  <si>
    <t>Melting_Curves/meltCurve_sp_P55795_HNRH2_HUMAN_.pdf</t>
  </si>
  <si>
    <t>Melting_Curves/meltCurve_sp_P55854_SUMO3_HUMAN_.pdf</t>
  </si>
  <si>
    <t>Melting_Curves/meltCurve_sp_P55884_EIF3B_HUMAN_.pdf</t>
  </si>
  <si>
    <t>Melting_Curves/meltCurve_sp_P56181_2_NDUV3_HUMAN_.pdf</t>
  </si>
  <si>
    <t>Melting_Curves/meltCurve_sp_P56181_NDUV3_HUMAN_.pdf</t>
  </si>
  <si>
    <t>Melting_Curves/meltCurve_sp_P56192_SYMC_HUMAN_.pdf</t>
  </si>
  <si>
    <t>Melting_Curves/meltCurve_sp_P56211_2_ARP19_HUMAN_.pdf</t>
  </si>
  <si>
    <t>Melting_Curves/meltCurve_sp_P56277_CMC4_HUMAN_.pdf</t>
  </si>
  <si>
    <t>Melting_Curves/meltCurve_sp_P56470_LEG4_HUMAN_.pdf</t>
  </si>
  <si>
    <t>Melting_Curves/meltCurve_sp_P56537_IF6_HUMAN_.pdf</t>
  </si>
  <si>
    <t>Melting_Curves/meltCurve_sp_P57105_SYJ2B_HUMAN_.pdf</t>
  </si>
  <si>
    <t>Melting_Curves/meltCurve_sp_P57740_NU107_HUMAN_.pdf</t>
  </si>
  <si>
    <t>Melting_Curves/meltCurve_sp_P57764_GSDMD_HUMAN_.pdf</t>
  </si>
  <si>
    <t>Melting_Curves/meltCurve_sp_P57772_SELB_HUMAN_.pdf</t>
  </si>
  <si>
    <t>Melting_Curves/meltCurve_sp_P58546_MTPN_HUMAN_.pdf</t>
  </si>
  <si>
    <t>Melting_Curves/meltCurve_sp_P59666_DEF3_HUMAN_.pdf</t>
  </si>
  <si>
    <t>Melting_Curves/meltCurve_sp_P59998_ARPC4_HUMAN_.pdf</t>
  </si>
  <si>
    <t>Melting_Curves/meltCurve_sp_P60174_1_TPIS_HUMAN_.pdf</t>
  </si>
  <si>
    <t>Melting_Curves/meltCurve_sp_P60228_EIF3E_HUMAN_.pdf</t>
  </si>
  <si>
    <t>Melting_Curves/meltCurve_sp_P60468_SC61B_HUMAN_.pdf</t>
  </si>
  <si>
    <t>Melting_Curves/meltCurve_sp_P60510_PP4C_HUMAN_.pdf</t>
  </si>
  <si>
    <t>Melting_Curves/meltCurve_sp_P60842_IF4A1_HUMAN_.pdf</t>
  </si>
  <si>
    <t>Melting_Curves/meltCurve_sp_P60866_RS20_HUMAN_.pdf</t>
  </si>
  <si>
    <t>Melting_Curves/meltCurve_sp_P60891_PRPS1_HUMAN_.pdf</t>
  </si>
  <si>
    <t>Melting_Curves/meltCurve_sp_P60900_PSA6_HUMAN_.pdf</t>
  </si>
  <si>
    <t>Melting_Curves/meltCurve_sp_P60953_CDC42_HUMAN_.pdf</t>
  </si>
  <si>
    <t>Melting_Curves/meltCurve_sp_P60981_DEST_HUMAN_.pdf</t>
  </si>
  <si>
    <t>Melting_Curves/meltCurve_sp_P60983_GMFB_HUMAN_.pdf</t>
  </si>
  <si>
    <t>Melting_Curves/meltCurve_sp_P61006_RAB8A_HUMAN_.pdf</t>
  </si>
  <si>
    <t>Melting_Curves/meltCurve_sp_P61011_2_SRP54_HUMAN_.pdf</t>
  </si>
  <si>
    <t>Melting_Curves/meltCurve_sp_P61019_RAB2A_HUMAN_.pdf</t>
  </si>
  <si>
    <t>Melting_Curves/meltCurve_sp_P61020_RAB5B_HUMAN_.pdf</t>
  </si>
  <si>
    <t>Melting_Curves/meltCurve_sp_P61077_UB2D3_HUMAN_.pdf</t>
  </si>
  <si>
    <t>Melting_Curves/meltCurve_sp_P61081_UBC12_HUMAN_.pdf</t>
  </si>
  <si>
    <t>Melting_Curves/meltCurve_sp_P61086_UBE2K_HUMAN_.pdf</t>
  </si>
  <si>
    <t>Melting_Curves/meltCurve_sp_P61088_UBE2N_HUMAN_.pdf</t>
  </si>
  <si>
    <t>Melting_Curves/meltCurve_sp_P61106_RAB14_HUMAN_.pdf</t>
  </si>
  <si>
    <t>Melting_Curves/meltCurve_sp_P61158_ARP3_HUMAN_.pdf</t>
  </si>
  <si>
    <t>Melting_Curves/meltCurve_sp_P61160_ARP2_HUMAN_.pdf</t>
  </si>
  <si>
    <t>Melting_Curves/meltCurve_sp_P61163_ACTZ_HUMAN_.pdf</t>
  </si>
  <si>
    <t>Melting_Curves/meltCurve_sp_P61201_CSN2_HUMAN_.pdf</t>
  </si>
  <si>
    <t>Melting_Curves/meltCurve_sp_P61221_ABCE1_HUMAN_.pdf</t>
  </si>
  <si>
    <t>Melting_Curves/meltCurve_sp_P61224_3_RAP1B_HUMAN_.pdf</t>
  </si>
  <si>
    <t>Melting_Curves/meltCurve_sp_P61247_RS3A_HUMAN_.pdf</t>
  </si>
  <si>
    <t>Melting_Curves/meltCurve_sp_P61289_PSME3_HUMAN_.pdf</t>
  </si>
  <si>
    <t>Melting_Curves/meltCurve_sp_P61326_MGN_HUMAN_.pdf</t>
  </si>
  <si>
    <t>Melting_Curves/meltCurve_sp_P61353_RL27_HUMAN_.pdf</t>
  </si>
  <si>
    <t>Melting_Curves/meltCurve_sp_P61457_PHS_HUMAN_.pdf</t>
  </si>
  <si>
    <t>Melting_Curves/meltCurve_sp_P61586_RHOA_HUMAN_.pdf</t>
  </si>
  <si>
    <t>Melting_Curves/meltCurve_sp_P61604_CH10_HUMAN_.pdf</t>
  </si>
  <si>
    <t>Melting_Curves/meltCurve_sp_P61758_PFD3_HUMAN_.pdf</t>
  </si>
  <si>
    <t>Melting_Curves/meltCurve_sp_P61923_COPZ1_HUMAN_.pdf</t>
  </si>
  <si>
    <t>Melting_Curves/meltCurve_sp_P61956_2_SUMO2_HUMAN_.pdf</t>
  </si>
  <si>
    <t>Melting_Curves/meltCurve_sp_P61962_DCAF7_HUMAN_.pdf</t>
  </si>
  <si>
    <t>Melting_Curves/meltCurve_sp_P61966_AP1S1_HUMAN_.pdf</t>
  </si>
  <si>
    <t>Melting_Curves/meltCurve_sp_P61970_NTF2_HUMAN_.pdf</t>
  </si>
  <si>
    <t>Melting_Curves/meltCurve_sp_P61978_3_HNRPK_HUMAN_.pdf</t>
  </si>
  <si>
    <t>Melting_Curves/meltCurve_sp_P61981_1433G_HUMAN_.pdf</t>
  </si>
  <si>
    <t>Melting_Curves/meltCurve_sp_P62070_RRAS2_HUMAN_.pdf</t>
  </si>
  <si>
    <t>Melting_Curves/meltCurve_sp_P62072_TIM10_HUMAN_.pdf</t>
  </si>
  <si>
    <t>Melting_Curves/meltCurve_sp_P62136_PP1A_HUMAN_.pdf</t>
  </si>
  <si>
    <t>Melting_Curves/meltCurve_sp_P62140_PP1B_HUMAN_.pdf</t>
  </si>
  <si>
    <t>Melting_Curves/meltCurve_sp_P62158_CALM_HUMAN_.pdf</t>
  </si>
  <si>
    <t>Melting_Curves/meltCurve_sp_P62191_PRS4_HUMAN_.pdf</t>
  </si>
  <si>
    <t>Melting_Curves/meltCurve_sp_P62195_2_PRS8_HUMAN_.pdf</t>
  </si>
  <si>
    <t>Melting_Curves/meltCurve_sp_P62241_RS8_HUMAN_.pdf</t>
  </si>
  <si>
    <t>Melting_Curves/meltCurve_sp_P62258_1433E_HUMAN_.pdf</t>
  </si>
  <si>
    <t>Melting_Curves/meltCurve_sp_P62263_RS14_HUMAN_.pdf</t>
  </si>
  <si>
    <t>Melting_Curves/meltCurve_sp_P62269_RS18_HUMAN_.pdf</t>
  </si>
  <si>
    <t>Melting_Curves/meltCurve_sp_P62277_RS13_HUMAN_.pdf</t>
  </si>
  <si>
    <t>Melting_Curves/meltCurve_sp_P62280_RS11_HUMAN_.pdf</t>
  </si>
  <si>
    <t>Melting_Curves/meltCurve_sp_P62304_RUXE_HUMAN_.pdf</t>
  </si>
  <si>
    <t>Melting_Curves/meltCurve_sp_P62310_LSM3_HUMAN_.pdf</t>
  </si>
  <si>
    <t>Melting_Curves/meltCurve_sp_P62312_LSM6_HUMAN_.pdf</t>
  </si>
  <si>
    <t>Melting_Curves/meltCurve_sp_P62316_SMD2_HUMAN_.pdf</t>
  </si>
  <si>
    <t>Melting_Curves/meltCurve_sp_P62328_TYB4_HUMAN_.pdf</t>
  </si>
  <si>
    <t>Melting_Curves/meltCurve_sp_P62330_ARF6_HUMAN_.pdf</t>
  </si>
  <si>
    <t>Melting_Curves/meltCurve_sp_P62333_PRS10_HUMAN_.pdf</t>
  </si>
  <si>
    <t>Melting_Curves/meltCurve_sp_P62633_2_CNBP_HUMAN_.pdf</t>
  </si>
  <si>
    <t>Melting_Curves/meltCurve_sp_P62701_RS4X_HUMAN_.pdf</t>
  </si>
  <si>
    <t>Melting_Curves/meltCurve_sp_P62714_PP2AB_HUMAN_.pdf</t>
  </si>
  <si>
    <t>Melting_Curves/meltCurve_sp_P62750_RL23A_HUMAN_.pdf</t>
  </si>
  <si>
    <t>Melting_Curves/meltCurve_sp_P62753_RS6_HUMAN_.pdf</t>
  </si>
  <si>
    <t>Melting_Curves/meltCurve_sp_P62760_VISL1_HUMAN_.pdf</t>
  </si>
  <si>
    <t>Melting_Curves/meltCurve_sp_P62805_H4_HUMAN_.pdf</t>
  </si>
  <si>
    <t>Melting_Curves/meltCurve_sp_P62820_RAB1A_HUMAN_.pdf</t>
  </si>
  <si>
    <t>Melting_Curves/meltCurve_sp_P62826_RAN_HUMAN_.pdf</t>
  </si>
  <si>
    <t>Melting_Curves/meltCurve_sp_P62837_UB2D2_HUMAN_.pdf</t>
  </si>
  <si>
    <t>Melting_Curves/meltCurve_sp_P62851_RS25_HUMAN_.pdf</t>
  </si>
  <si>
    <t>Melting_Curves/meltCurve_sp_P62854_RS26_HUMAN_.pdf</t>
  </si>
  <si>
    <t>Melting_Curves/meltCurve_sp_P62857_RS28_HUMAN_.pdf</t>
  </si>
  <si>
    <t>Melting_Curves/meltCurve_sp_P62877_RBX1_HUMAN_.pdf</t>
  </si>
  <si>
    <t>Melting_Curves/meltCurve_sp_P62906_RL10A_HUMAN_.pdf</t>
  </si>
  <si>
    <t>Melting_Curves/meltCurve_sp_P62942_FKB1A_HUMAN_.pdf</t>
  </si>
  <si>
    <t>Melting_Curves/meltCurve_sp_P62993_GRB2_HUMAN_.pdf</t>
  </si>
  <si>
    <t>Melting_Curves/meltCurve_sp_P62995_3_TRA2B_HUMAN_.pdf</t>
  </si>
  <si>
    <t>Melting_Curves/meltCurve_sp_P63000_RAC1_HUMAN_.pdf</t>
  </si>
  <si>
    <t>Melting_Curves/meltCurve_sp_P63010_AP2B1_HUMAN_.pdf</t>
  </si>
  <si>
    <t>Melting_Curves/meltCurve_sp_P63096_GNAI1_HUMAN_.pdf</t>
  </si>
  <si>
    <t>Melting_Curves/meltCurve_sp_P63104_1433Z_HUMAN_.pdf</t>
  </si>
  <si>
    <t>Melting_Curves/meltCurve_sp_P63151_2ABA_HUMAN_.pdf</t>
  </si>
  <si>
    <t>Melting_Curves/meltCurve_sp_P63244_GBLP_HUMAN_.pdf</t>
  </si>
  <si>
    <t>Melting_Curves/meltCurve_sp_P63261_ACTG_HUMAN_.pdf</t>
  </si>
  <si>
    <t>Melting_Curves/meltCurve_sp_P63302_SELW_HUMAN_.pdf</t>
  </si>
  <si>
    <t>Melting_Curves/meltCurve_sp_P63313_TYB10_HUMAN_.pdf</t>
  </si>
  <si>
    <t>Melting_Curves/meltCurve_sp_P67775_PP2AA_HUMAN_.pdf</t>
  </si>
  <si>
    <t>Melting_Curves/meltCurve_sp_P67809_YBOX1_HUMAN_.pdf</t>
  </si>
  <si>
    <t>Melting_Curves/meltCurve_sp_P67870_CSK2B_HUMAN_.pdf</t>
  </si>
  <si>
    <t>Melting_Curves/meltCurve_sp_P67936_TPM4_HUMAN_.pdf</t>
  </si>
  <si>
    <t>Melting_Curves/meltCurve_sp_P68036_UB2L3_HUMAN_.pdf</t>
  </si>
  <si>
    <t>Melting_Curves/meltCurve_sp_P68133_ACTS_HUMAN_.pdf</t>
  </si>
  <si>
    <t>Melting_Curves/meltCurve_sp_P68363_TBA1B_HUMAN_.pdf</t>
  </si>
  <si>
    <t>Melting_Curves/meltCurve_sp_P68371_TBB4B_HUMAN_.pdf</t>
  </si>
  <si>
    <t>Melting_Curves/meltCurve_sp_P68402_PA1B2_HUMAN_.pdf</t>
  </si>
  <si>
    <t>Melting_Curves/meltCurve_sp_P78314_3BP2_HUMAN_.pdf</t>
  </si>
  <si>
    <t>Melting_Curves/meltCurve_sp_P78318_IGBP1_HUMAN_.pdf</t>
  </si>
  <si>
    <t>Melting_Curves/meltCurve_sp_P78329_CP4F2_HUMAN_.pdf</t>
  </si>
  <si>
    <t>Melting_Curves/meltCurve_sp_P78347_2_GTF2I_HUMAN_.pdf</t>
  </si>
  <si>
    <t>Melting_Curves/meltCurve_sp_P78371_TCPB_HUMAN_.pdf</t>
  </si>
  <si>
    <t>Melting_Curves/meltCurve_sp_P78417_GSTO1_HUMAN_.pdf</t>
  </si>
  <si>
    <t>Melting_Curves/meltCurve_sp_P78524_ST5_HUMAN_.pdf</t>
  </si>
  <si>
    <t>Melting_Curves/meltCurve_sp_P78527_PRKDC_HUMAN_.pdf</t>
  </si>
  <si>
    <t>Melting_Curves/meltCurve_sp_P78560_CRADD_HUMAN_.pdf</t>
  </si>
  <si>
    <t>Melting_Curves/meltCurve_sp_P80217_IN35_HUMAN_.pdf</t>
  </si>
  <si>
    <t>Melting_Curves/meltCurve_sp_P80294_MT1H_HUMAN_.pdf</t>
  </si>
  <si>
    <t>Melting_Curves/meltCurve_sp_P80297_MT1X_HUMAN_.pdf</t>
  </si>
  <si>
    <t>Melting_Curves/meltCurve_sp_P80303_2_NUCB2_HUMAN_.pdf</t>
  </si>
  <si>
    <t>Melting_Curves/meltCurve_sp_P80404_GABT_HUMAN_.pdf</t>
  </si>
  <si>
    <t>Melting_Curves/meltCurve_sp_P80723_BASP1_HUMAN_.pdf</t>
  </si>
  <si>
    <t>Melting_Curves/meltCurve_sp_P82094_TMF1_HUMAN_.pdf</t>
  </si>
  <si>
    <t>Melting_Curves/meltCurve_sp_P82673_2_RT35_HUMAN_.pdf</t>
  </si>
  <si>
    <t>Melting_Curves/meltCurve_sp_P82675_RT05_HUMAN_.pdf</t>
  </si>
  <si>
    <t>Melting_Curves/meltCurve_sp_P82909_RT36_HUMAN_.pdf</t>
  </si>
  <si>
    <t>Melting_Curves/meltCurve_sp_P82914_RT15_HUMAN_.pdf</t>
  </si>
  <si>
    <t>Melting_Curves/meltCurve_sp_P82930_RT34_HUMAN_.pdf</t>
  </si>
  <si>
    <t>Melting_Curves/meltCurve_sp_P82979_SARNP_HUMAN_.pdf</t>
  </si>
  <si>
    <t>Melting_Curves/meltCurve_sp_P82980_RET5_HUMAN_.pdf</t>
  </si>
  <si>
    <t>Melting_Curves/meltCurve_sp_P83111_LACTB_HUMAN_.pdf</t>
  </si>
  <si>
    <t>Melting_Curves/meltCurve_sp_P84077_ARF1_HUMAN_.pdf</t>
  </si>
  <si>
    <t>Melting_Curves/meltCurve_sp_P84090_ERH_HUMAN_.pdf</t>
  </si>
  <si>
    <t>Melting_Curves/meltCurve_sp_P84101_4_SERF2_HUMAN_.pdf</t>
  </si>
  <si>
    <t>Melting_Curves/meltCurve_sp_P85037_FOXK1_HUMAN_.pdf</t>
  </si>
  <si>
    <t>Melting_Curves/meltCurve_sp_P98160_PGBM_HUMAN_.pdf</t>
  </si>
  <si>
    <t>Melting_Curves/meltCurve_sp_P98170_XIAP_HUMAN_.pdf</t>
  </si>
  <si>
    <t>Melting_Curves/meltCurve_sp_P98179_RBM3_HUMAN_.pdf</t>
  </si>
  <si>
    <t>Melting_Curves/meltCurve_sp_Q00059_TFAM_HUMAN_.pdf</t>
  </si>
  <si>
    <t>Melting_Curves/meltCurve_sp_Q00169_PIPNA_HUMAN_.pdf</t>
  </si>
  <si>
    <t>Melting_Curves/meltCurve_sp_Q00266_METK1_HUMAN_.pdf</t>
  </si>
  <si>
    <t>Melting_Curves/meltCurve_sp_Q00341_VIGLN_HUMAN_.pdf</t>
  </si>
  <si>
    <t>Melting_Curves/meltCurve_sp_Q00403_TF2B_HUMAN_.pdf</t>
  </si>
  <si>
    <t>Melting_Curves/meltCurve_sp_Q00534_CDK6_HUMAN_.pdf</t>
  </si>
  <si>
    <t>Melting_Curves/meltCurve_sp_Q00577_PURA_HUMAN_.pdf</t>
  </si>
  <si>
    <t>Melting_Curves/meltCurve_sp_Q00610_2_CLH1_HUMAN_.pdf</t>
  </si>
  <si>
    <t>Melting_Curves/meltCurve_sp_Q00653_NFKB2_HUMAN_.pdf</t>
  </si>
  <si>
    <t>Melting_Curves/meltCurve_sp_Q00688_FKBP3_HUMAN_.pdf</t>
  </si>
  <si>
    <t>Melting_Curves/meltCurve_sp_Q00765_REEP5_HUMAN_.pdf</t>
  </si>
  <si>
    <t>Melting_Curves/meltCurve_sp_Q00796_DHSO_HUMAN_.pdf</t>
  </si>
  <si>
    <t>Melting_Curves/meltCurve_sp_Q00839_HNRPU_HUMAN_.pdf</t>
  </si>
  <si>
    <t>Melting_Curves/meltCurve_sp_Q01081_U2AF1_HUMAN_.pdf</t>
  </si>
  <si>
    <t>Melting_Curves/meltCurve_sp_Q01082_3_SPTB2_HUMAN_.pdf</t>
  </si>
  <si>
    <t>Melting_Curves/meltCurve_sp_Q01082_SPTB2_HUMAN_.pdf</t>
  </si>
  <si>
    <t>Melting_Curves/meltCurve_sp_Q01085_2_TIAR_HUMAN_.pdf</t>
  </si>
  <si>
    <t>Melting_Curves/meltCurve_sp_Q01105_SET_HUMAN_.pdf</t>
  </si>
  <si>
    <t>Melting_Curves/meltCurve_sp_Q01415_GALK2_HUMAN_.pdf</t>
  </si>
  <si>
    <t>Melting_Curves/meltCurve_sp_Q01433_2_AMPD2_HUMAN_.pdf</t>
  </si>
  <si>
    <t>Melting_Curves/meltCurve_sp_Q01459_DIAC_HUMAN_.pdf</t>
  </si>
  <si>
    <t>Melting_Curves/meltCurve_sp_Q01469_FABP5_HUMAN_.pdf</t>
  </si>
  <si>
    <t>Melting_Curves/meltCurve_sp_Q01518_2_CAP1_HUMAN_.pdf</t>
  </si>
  <si>
    <t>Melting_Curves/meltCurve_sp_Q01581_HMCS1_HUMAN_.pdf</t>
  </si>
  <si>
    <t>Melting_Curves/meltCurve_sp_Q01658_NC2B_HUMAN_.pdf</t>
  </si>
  <si>
    <t>Melting_Curves/meltCurve_sp_Q01804_OTUD4_HUMAN_.pdf</t>
  </si>
  <si>
    <t>Melting_Curves/meltCurve_sp_Q01844_6_EWS_HUMAN_.pdf</t>
  </si>
  <si>
    <t>Melting_Curves/meltCurve_sp_Q01995_TAGL_HUMAN_.pdf</t>
  </si>
  <si>
    <t>Melting_Curves/meltCurve_sp_Q02083_2_NAAA_HUMAN_.pdf</t>
  </si>
  <si>
    <t>Melting_Curves/meltCurve_sp_Q02224_3_CENPE_HUMAN_.pdf</t>
  </si>
  <si>
    <t>Melting_Curves/meltCurve_sp_Q02252_MMSA_HUMAN_.pdf</t>
  </si>
  <si>
    <t>Melting_Curves/meltCurve_sp_Q02318_CP27A_HUMAN_.pdf</t>
  </si>
  <si>
    <t>Melting_Curves/meltCurve_sp_Q02325_PLGB_HUMAN_.pdf</t>
  </si>
  <si>
    <t>Melting_Curves/meltCurve_sp_Q02410_APBA1_HUMAN_.pdf</t>
  </si>
  <si>
    <t>Melting_Curves/meltCurve_sp_Q02413_DSG1_HUMAN_.pdf</t>
  </si>
  <si>
    <t>Melting_Curves/meltCurve_sp_Q02750_MP2K1_HUMAN_.pdf</t>
  </si>
  <si>
    <t>Melting_Curves/meltCurve_sp_Q02790_FKBP4_HUMAN_.pdf</t>
  </si>
  <si>
    <t>Melting_Curves/meltCurve_sp_Q02818_NUCB1_HUMAN_.pdf</t>
  </si>
  <si>
    <t>Melting_Curves/meltCurve_sp_Q02928_CP4AB_HUMAN_.pdf</t>
  </si>
  <si>
    <t>Melting_Curves/meltCurve_sp_Q03001_8_DYST_HUMAN_.pdf</t>
  </si>
  <si>
    <t>Melting_Curves/meltCurve_sp_Q03013_2_GSTM4_HUMAN_.pdf</t>
  </si>
  <si>
    <t>Melting_Curves/meltCurve_sp_Q03154_ACY1_HUMAN_.pdf</t>
  </si>
  <si>
    <t>Melting_Curves/meltCurve_sp_Q03252_LMNB2_HUMAN_.pdf</t>
  </si>
  <si>
    <t>Melting_Curves/meltCurve_sp_Q03393_PTPS_HUMAN_.pdf</t>
  </si>
  <si>
    <t>Melting_Curves/meltCurve_sp_Q04446_GLGB_HUMAN_.pdf</t>
  </si>
  <si>
    <t>Melting_Curves/meltCurve_sp_Q04637_5_IF4G1_HUMAN_.pdf</t>
  </si>
  <si>
    <t>Melting_Curves/meltCurve_sp_Q04695_K1C17_HUMAN_.pdf</t>
  </si>
  <si>
    <t>Melting_Curves/meltCurve_sp_Q04760_LGUL_HUMAN_.pdf</t>
  </si>
  <si>
    <t>Melting_Curves/meltCurve_sp_Q04828_AK1C1_HUMAN_.pdf</t>
  </si>
  <si>
    <t>Melting_Curves/meltCurve_sp_Q04837_SSBP_HUMAN_.pdf</t>
  </si>
  <si>
    <t>Melting_Curves/meltCurve_sp_Q04917_1433F_HUMAN_.pdf</t>
  </si>
  <si>
    <t>Melting_Curves/meltCurve_sp_Q05048_CSTF1_HUMAN_.pdf</t>
  </si>
  <si>
    <t>Melting_Curves/meltCurve_sp_Q05086_2_UBE3A_HUMAN_.pdf</t>
  </si>
  <si>
    <t>Melting_Curves/meltCurve_sp_Q05682_5_CALD1_HUMAN_.pdf</t>
  </si>
  <si>
    <t>Melting_Curves/meltCurve_sp_Q06033_2_ITIH3_HUMAN_.pdf</t>
  </si>
  <si>
    <t>Melting_Curves/meltCurve_sp_Q06124_2_PTN11_HUMAN_.pdf</t>
  </si>
  <si>
    <t>Melting_Curves/meltCurve_sp_Q06203_PUR1_HUMAN_.pdf</t>
  </si>
  <si>
    <t>Melting_Curves/meltCurve_sp_Q06210_2_GFPT1_HUMAN_.pdf</t>
  </si>
  <si>
    <t>Melting_Curves/meltCurve_sp_Q06278_ADO_HUMAN_.pdf</t>
  </si>
  <si>
    <t>Melting_Curves/meltCurve_sp_Q06323_PSME1_HUMAN_.pdf</t>
  </si>
  <si>
    <t>Melting_Curves/meltCurve_sp_Q06520_ST2A1_HUMAN_.pdf</t>
  </si>
  <si>
    <t>Melting_Curves/meltCurve_sp_Q06787_8_FMR1_HUMAN_.pdf</t>
  </si>
  <si>
    <t>Melting_Curves/meltCurve_sp_Q07021_C1QBP_HUMAN_.pdf</t>
  </si>
  <si>
    <t>Melting_Curves/meltCurve_sp_Q07065_CKAP4_HUMAN_.pdf</t>
  </si>
  <si>
    <t>Melting_Curves/meltCurve_sp_Q07075_AMPE_HUMAN_.pdf</t>
  </si>
  <si>
    <t>Melting_Curves/meltCurve_sp_Q07157_ZO1_HUMAN_.pdf</t>
  </si>
  <si>
    <t>Melting_Curves/meltCurve_sp_Q07283_TRHY_HUMAN_.pdf</t>
  </si>
  <si>
    <t>Melting_Curves/meltCurve_sp_Q07666_KHDR1_HUMAN_.pdf</t>
  </si>
  <si>
    <t>Melting_Curves/meltCurve_sp_Q07812_5_BAX_HUMAN_.pdf</t>
  </si>
  <si>
    <t>Melting_Curves/meltCurve_sp_Q07820_2_MCL1_HUMAN_.pdf</t>
  </si>
  <si>
    <t>Melting_Curves/meltCurve_sp_Q07954_LRP1_HUMAN_.pdf</t>
  </si>
  <si>
    <t>Melting_Curves/meltCurve_sp_Q07955_SRSF1_HUMAN_.pdf</t>
  </si>
  <si>
    <t>Melting_Curves/meltCurve_sp_Q07960_RHG01_HUMAN_.pdf</t>
  </si>
  <si>
    <t>Melting_Curves/meltCurve_sp_Q08170_SRSF4_HUMAN_.pdf</t>
  </si>
  <si>
    <t>Melting_Curves/meltCurve_sp_Q08209_2_PP2BA_HUMAN_.pdf</t>
  </si>
  <si>
    <t>Melting_Curves/meltCurve_sp_Q08211_DHX9_HUMAN_.pdf</t>
  </si>
  <si>
    <t>Melting_Curves/meltCurve_sp_Q08257_QOR_HUMAN_.pdf</t>
  </si>
  <si>
    <t>Melting_Curves/meltCurve_sp_Q08378_GOGA3_HUMAN_.pdf</t>
  </si>
  <si>
    <t>Melting_Curves/meltCurve_sp_Q08379_GOGA2_HUMAN_.pdf</t>
  </si>
  <si>
    <t>Melting_Curves/meltCurve_sp_Q08380_LG3BP_HUMAN_.pdf</t>
  </si>
  <si>
    <t>Melting_Curves/meltCurve_sp_Q08426_2_ECHP_HUMAN_.pdf</t>
  </si>
  <si>
    <t>Melting_Curves/meltCurve_sp_Q08426_ECHP_HUMAN_.pdf</t>
  </si>
  <si>
    <t>Melting_Curves/meltCurve_sp_Q08554_2_DSC1_HUMAN_.pdf</t>
  </si>
  <si>
    <t>Melting_Curves/meltCurve_sp_Q08752_PPID_HUMAN_.pdf</t>
  </si>
  <si>
    <t>Melting_Curves/meltCurve_sp_Q08830_FGL1_HUMAN_.pdf</t>
  </si>
  <si>
    <t>Melting_Curves/meltCurve_sp_Q08AG7_MZT1_HUMAN_.pdf</t>
  </si>
  <si>
    <t>Melting_Curves/meltCurve_sp_Q08AH3_ACS2A_HUMAN_.pdf</t>
  </si>
  <si>
    <t>Melting_Curves/meltCurve_sp_Q08AM6_VAC14_HUMAN_.pdf</t>
  </si>
  <si>
    <t>Melting_Curves/meltCurve_sp_Q08J23_2_NSUN2_HUMAN_.pdf</t>
  </si>
  <si>
    <t>Melting_Curves/meltCurve_sp_Q09028_3_RBBP4_HUMAN_.pdf</t>
  </si>
  <si>
    <t>Melting_Curves/meltCurve_sp_Q09161_NCBP1_HUMAN_.pdf</t>
  </si>
  <si>
    <t>Melting_Curves/meltCurve_sp_Q09472_EP300_HUMAN_.pdf</t>
  </si>
  <si>
    <t>Melting_Curves/meltCurve_sp_Q09666_AHNK_HUMAN_.pdf</t>
  </si>
  <si>
    <t>Melting_Curves/meltCurve_sp_Q0JRZ9_FCHO2_HUMAN_.pdf</t>
  </si>
  <si>
    <t>Melting_Curves/meltCurve_sp_Q0PNE2_ELP6_HUMAN_.pdf</t>
  </si>
  <si>
    <t>Melting_Curves/meltCurve_sp_Q0VDG4_2_SCRN3_HUMAN_.pdf</t>
  </si>
  <si>
    <t>Melting_Curves/meltCurve_sp_Q0VF96_CGNL1_HUMAN_.pdf</t>
  </si>
  <si>
    <t>Melting_Curves/meltCurve_sp_Q10567_2_AP1B1_HUMAN_.pdf</t>
  </si>
  <si>
    <t>Melting_Curves/meltCurve_sp_Q10567_3_AP1B1_HUMAN_.pdf</t>
  </si>
  <si>
    <t>Melting_Curves/meltCurve_sp_Q10713_MPPA_HUMAN_.pdf</t>
  </si>
  <si>
    <t>Melting_Curves/meltCurve_sp_Q12774_ARHG5_HUMAN_.pdf</t>
  </si>
  <si>
    <t>Melting_Curves/meltCurve_sp_Q12792_TWF1_HUMAN_.pdf</t>
  </si>
  <si>
    <t>Melting_Curves/meltCurve_sp_Q12802_4_AKP13_HUMAN_.pdf</t>
  </si>
  <si>
    <t>Melting_Curves/meltCurve_sp_Q12849_5_GRSF1_HUMAN_.pdf</t>
  </si>
  <si>
    <t>Melting_Curves/meltCurve_sp_Q12874_SF3A3_HUMAN_.pdf</t>
  </si>
  <si>
    <t>Melting_Curves/meltCurve_sp_Q12882_DPYD_HUMAN_.pdf</t>
  </si>
  <si>
    <t>Melting_Curves/meltCurve_sp_Q12899_TRI26_HUMAN_.pdf</t>
  </si>
  <si>
    <t>Melting_Curves/meltCurve_sp_Q12904_AIMP1_HUMAN_.pdf</t>
  </si>
  <si>
    <t>Melting_Curves/meltCurve_sp_Q12905_ILF2_HUMAN_.pdf</t>
  </si>
  <si>
    <t>Melting_Curves/meltCurve_sp_Q12906_4_ILF3_HUMAN_.pdf</t>
  </si>
  <si>
    <t>Melting_Curves/meltCurve_sp_Q12929_EPS8_HUMAN_.pdf</t>
  </si>
  <si>
    <t>Melting_Curves/meltCurve_sp_Q12959_5_DLG1_HUMAN_.pdf</t>
  </si>
  <si>
    <t>Melting_Curves/meltCurve_sp_Q12965_MYO1E_HUMAN_.pdf</t>
  </si>
  <si>
    <t>Melting_Curves/meltCurve_sp_Q12972_PP1R8_HUMAN_.pdf</t>
  </si>
  <si>
    <t>Melting_Curves/meltCurve_sp_Q12986_2_NFX1_HUMAN_.pdf</t>
  </si>
  <si>
    <t>Melting_Curves/meltCurve_sp_Q12996_CSTF3_HUMAN_.pdf</t>
  </si>
  <si>
    <t>Melting_Curves/meltCurve_sp_Q13011_ECH1_HUMAN_.pdf</t>
  </si>
  <si>
    <t>Melting_Curves/meltCurve_sp_Q13017_2_RHG05_HUMAN_.pdf</t>
  </si>
  <si>
    <t>Melting_Curves/meltCurve_sp_Q13033_2_STRN3_HUMAN_.pdf</t>
  </si>
  <si>
    <t>Melting_Curves/meltCurve_sp_Q13042_3_CDC16_HUMAN_.pdf</t>
  </si>
  <si>
    <t>Melting_Curves/meltCurve_sp_Q13045_2_FLII_HUMAN_.pdf</t>
  </si>
  <si>
    <t>Melting_Curves/meltCurve_sp_Q13045_FLII_HUMAN_.pdf</t>
  </si>
  <si>
    <t>Melting_Curves/meltCurve_sp_Q13057_COASY_HUMAN_.pdf</t>
  </si>
  <si>
    <t>Melting_Curves/meltCurve_sp_Q13085_3_ACACA_HUMAN_.pdf</t>
  </si>
  <si>
    <t>Melting_Curves/meltCurve_sp_Q13123_RED_HUMAN_.pdf</t>
  </si>
  <si>
    <t>Melting_Curves/meltCurve_sp_Q13126_MTAP_HUMAN_.pdf</t>
  </si>
  <si>
    <t>Melting_Curves/meltCurve_sp_Q13131_2_AAPK1_HUMAN_.pdf</t>
  </si>
  <si>
    <t>Melting_Curves/meltCurve_sp_Q13136_2_LIPA1_HUMAN_.pdf</t>
  </si>
  <si>
    <t>Melting_Curves/meltCurve_sp_Q13148_TADBP_HUMAN_.pdf</t>
  </si>
  <si>
    <t>Melting_Curves/meltCurve_sp_Q13151_ROA0_HUMAN_.pdf</t>
  </si>
  <si>
    <t>Melting_Curves/meltCurve_sp_Q13153_PAK1_HUMAN_.pdf</t>
  </si>
  <si>
    <t>Melting_Curves/meltCurve_sp_Q13155_AIMP2_HUMAN_.pdf</t>
  </si>
  <si>
    <t>Melting_Curves/meltCurve_sp_Q13162_PRDX4_HUMAN_.pdf</t>
  </si>
  <si>
    <t>Melting_Curves/meltCurve_sp_Q13177_PAK2_HUMAN_.pdf</t>
  </si>
  <si>
    <t>Melting_Curves/meltCurve_sp_Q13185_CBX3_HUMAN_.pdf</t>
  </si>
  <si>
    <t>Melting_Curves/meltCurve_sp_Q13188_STK3_HUMAN_.pdf</t>
  </si>
  <si>
    <t>Melting_Curves/meltCurve_sp_Q13200_PSMD2_HUMAN_.pdf</t>
  </si>
  <si>
    <t>Melting_Curves/meltCurve_sp_Q13217_DNJC3_HUMAN_.pdf</t>
  </si>
  <si>
    <t>Melting_Curves/meltCurve_sp_Q13228_SBP1_HUMAN_.pdf</t>
  </si>
  <si>
    <t>Melting_Curves/meltCurve_sp_Q13232_NDK3_HUMAN_.pdf</t>
  </si>
  <si>
    <t>Melting_Curves/meltCurve_sp_Q13243_3_SRSF5_HUMAN_.pdf</t>
  </si>
  <si>
    <t>Melting_Curves/meltCurve_sp_Q13247_3_SRSF6_HUMAN_.pdf</t>
  </si>
  <si>
    <t>Melting_Curves/meltCurve_sp_Q13257_MD2L1_HUMAN_.pdf</t>
  </si>
  <si>
    <t>Melting_Curves/meltCurve_sp_Q13263_TIF1B_HUMAN_.pdf</t>
  </si>
  <si>
    <t>Melting_Curves/meltCurve_sp_Q13283_G3BP1_HUMAN_.pdf</t>
  </si>
  <si>
    <t>Melting_Curves/meltCurve_sp_Q13287_NMI_HUMAN_.pdf</t>
  </si>
  <si>
    <t>Melting_Curves/meltCurve_sp_Q13310_3_PABP4_HUMAN_.pdf</t>
  </si>
  <si>
    <t>Melting_Curves/meltCurve_sp_Q13310_PABP4_HUMAN_.pdf</t>
  </si>
  <si>
    <t>Melting_Curves/meltCurve_sp_Q13315_ATM_HUMAN_.pdf</t>
  </si>
  <si>
    <t>Melting_Curves/meltCurve_sp_Q13325_IFIT5_HUMAN_.pdf</t>
  </si>
  <si>
    <t>Melting_Curves/meltCurve_sp_Q13330_3_MTA1_HUMAN_.pdf</t>
  </si>
  <si>
    <t>Melting_Curves/meltCurve_sp_Q13347_EIF3I_HUMAN_.pdf</t>
  </si>
  <si>
    <t>Melting_Curves/meltCurve_sp_Q13362_2_2A5G_HUMAN_.pdf</t>
  </si>
  <si>
    <t>Melting_Curves/meltCurve_sp_Q13363_2_CTBP1_HUMAN_.pdf</t>
  </si>
  <si>
    <t>Melting_Curves/meltCurve_sp_Q13395_TARB1_HUMAN_.pdf</t>
  </si>
  <si>
    <t>Melting_Curves/meltCurve_sp_Q13404_UB2V1_HUMAN_.pdf</t>
  </si>
  <si>
    <t>Melting_Curves/meltCurve_sp_Q13409_6_DC1I2_HUMAN_.pdf</t>
  </si>
  <si>
    <t>Melting_Curves/meltCurve_sp_Q13418_ILK_HUMAN_.pdf</t>
  </si>
  <si>
    <t>Melting_Curves/meltCurve_sp_Q13423_NNTM_HUMAN_.pdf</t>
  </si>
  <si>
    <t>Melting_Curves/meltCurve_sp_Q13426_2_XRCC4_HUMAN_.pdf</t>
  </si>
  <si>
    <t>Melting_Curves/meltCurve_sp_Q13428_TCOF_HUMAN_.pdf</t>
  </si>
  <si>
    <t>Melting_Curves/meltCurve_sp_Q13435_SF3B2_HUMAN_.pdf</t>
  </si>
  <si>
    <t>Melting_Curves/meltCurve_sp_Q13442_HAP28_HUMAN_.pdf</t>
  </si>
  <si>
    <t>Melting_Curves/meltCurve_sp_Q13451_FKBP5_HUMAN_.pdf</t>
  </si>
  <si>
    <t>Melting_Curves/meltCurve_sp_Q13464_ROCK1_HUMAN_.pdf</t>
  </si>
  <si>
    <t>Melting_Curves/meltCurve_sp_Q13492_3_PICAL_HUMAN_.pdf</t>
  </si>
  <si>
    <t>Melting_Curves/meltCurve_sp_Q13496_MTM1_HUMAN_.pdf</t>
  </si>
  <si>
    <t>Melting_Curves/meltCurve_sp_Q13501_2_SQSTM_HUMAN_.pdf</t>
  </si>
  <si>
    <t>Melting_Curves/meltCurve_sp_Q13522_PPR1A_HUMAN_.pdf</t>
  </si>
  <si>
    <t>Melting_Curves/meltCurve_sp_Q13526_PIN1_HUMAN_.pdf</t>
  </si>
  <si>
    <t>Melting_Curves/meltCurve_sp_Q13541_4EBP1_HUMAN_.pdf</t>
  </si>
  <si>
    <t>Melting_Curves/meltCurve_sp_Q13546_RIPK1_HUMAN_.pdf</t>
  </si>
  <si>
    <t>Melting_Curves/meltCurve_sp_Q13547_HDAC1_HUMAN_.pdf</t>
  </si>
  <si>
    <t>Melting_Curves/meltCurve_sp_Q13557_8_KCC2D_HUMAN_.pdf</t>
  </si>
  <si>
    <t>Melting_Curves/meltCurve_sp_Q13561_DCTN2_HUMAN_.pdf</t>
  </si>
  <si>
    <t>Melting_Curves/meltCurve_sp_Q13573_SNW1_HUMAN_.pdf</t>
  </si>
  <si>
    <t>Melting_Curves/meltCurve_sp_Q13576_IQGA2_HUMAN_.pdf</t>
  </si>
  <si>
    <t>Melting_Curves/meltCurve_sp_Q13596_SNX1_HUMAN_.pdf</t>
  </si>
  <si>
    <t>Melting_Curves/meltCurve_sp_Q13608_PEX6_HUMAN_.pdf</t>
  </si>
  <si>
    <t>Melting_Curves/meltCurve_sp_Q13610_PWP1_HUMAN_.pdf</t>
  </si>
  <si>
    <t>Melting_Curves/meltCurve_sp_Q13616_CUL1_HUMAN_.pdf</t>
  </si>
  <si>
    <t>Melting_Curves/meltCurve_sp_Q13617_CUL2_HUMAN_.pdf</t>
  </si>
  <si>
    <t>Melting_Curves/meltCurve_sp_Q13618_2_CUL3_HUMAN_.pdf</t>
  </si>
  <si>
    <t>Melting_Curves/meltCurve_sp_Q13619_CUL4A_HUMAN_.pdf</t>
  </si>
  <si>
    <t>Melting_Curves/meltCurve_sp_Q13620_1_CUL4B_HUMAN_.pdf</t>
  </si>
  <si>
    <t>Melting_Curves/meltCurve_sp_Q13630_FCL_HUMAN_.pdf</t>
  </si>
  <si>
    <t>Melting_Curves/meltCurve_sp_Q13642_1_FHL1_HUMAN_.pdf</t>
  </si>
  <si>
    <t>Melting_Curves/meltCurve_sp_Q13796_SHRM2_HUMAN_.pdf</t>
  </si>
  <si>
    <t>Melting_Curves/meltCurve_sp_Q13813_2_SPTN1_HUMAN_.pdf</t>
  </si>
  <si>
    <t>Melting_Curves/meltCurve_sp_Q13813_SPTN1_HUMAN_.pdf</t>
  </si>
  <si>
    <t>Melting_Curves/meltCurve_sp_Q13825_AUHM_HUMAN_.pdf</t>
  </si>
  <si>
    <t>Melting_Curves/meltCurve_sp_Q13835_2_PKP1_HUMAN_.pdf</t>
  </si>
  <si>
    <t>Melting_Curves/meltCurve_sp_Q13838_DX39B_HUMAN_.pdf</t>
  </si>
  <si>
    <t>Melting_Curves/meltCurve_sp_Q13867_BLMH_HUMAN_.pdf</t>
  </si>
  <si>
    <t>Melting_Curves/meltCurve_sp_Q13884_SNTB1_HUMAN_.pdf</t>
  </si>
  <si>
    <t>Melting_Curves/meltCurve_sp_Q13885_TBB2A_HUMAN_.pdf</t>
  </si>
  <si>
    <t>Melting_Curves/meltCurve_sp_Q13907_IDI1_HUMAN_.pdf</t>
  </si>
  <si>
    <t>Melting_Curves/meltCurve_sp_Q13951_2_PEBB_HUMAN_.pdf</t>
  </si>
  <si>
    <t>Melting_Curves/meltCurve_sp_Q14008_2_CKAP5_HUMAN_.pdf</t>
  </si>
  <si>
    <t>Melting_Curves/meltCurve_sp_Q14012_KCC1A_HUMAN_.pdf</t>
  </si>
  <si>
    <t>Melting_Curves/meltCurve_sp_Q14019_COTL1_HUMAN_.pdf</t>
  </si>
  <si>
    <t>Melting_Curves/meltCurve_sp_Q14032_BAAT_HUMAN_.pdf</t>
  </si>
  <si>
    <t>Melting_Curves/meltCurve_sp_Q14061_COX17_HUMAN_.pdf</t>
  </si>
  <si>
    <t>Melting_Curves/meltCurve_sp_Q14103_3_HNRPD_HUMAN_.pdf</t>
  </si>
  <si>
    <t>Melting_Curves/meltCurve_sp_Q14116_2_IL18_HUMAN_.pdf</t>
  </si>
  <si>
    <t>Melting_Curves/meltCurve_sp_Q14117_DPYS_HUMAN_.pdf</t>
  </si>
  <si>
    <t>Melting_Curves/meltCurve_sp_Q14118_DAG1_HUMAN_.pdf</t>
  </si>
  <si>
    <t>Melting_Curves/meltCurve_sp_Q14126_DSG2_HUMAN_.pdf</t>
  </si>
  <si>
    <t>Melting_Curves/meltCurve_sp_Q14139_UBE4A_HUMAN_.pdf</t>
  </si>
  <si>
    <t>Melting_Curves/meltCurve_sp_Q14141_2_SEPT6_HUMAN_.pdf</t>
  </si>
  <si>
    <t>Melting_Curves/meltCurve_sp_Q14151_SAFB2_HUMAN_.pdf</t>
  </si>
  <si>
    <t>Melting_Curves/meltCurve_sp_Q14152_EIF3A_HUMAN_.pdf</t>
  </si>
  <si>
    <t>Melting_Curves/meltCurve_sp_Q14157_UBP2L_HUMAN_.pdf</t>
  </si>
  <si>
    <t>Melting_Curves/meltCurve_sp_Q14160_2_SCRIB_HUMAN_.pdf</t>
  </si>
  <si>
    <t>Melting_Curves/meltCurve_sp_Q14161_3_GIT2_HUMAN_.pdf</t>
  </si>
  <si>
    <t>Melting_Curves/meltCurve_sp_Q14166_TTL12_HUMAN_.pdf</t>
  </si>
  <si>
    <t>Melting_Curves/meltCurve_sp_Q14192_FHL2_HUMAN_.pdf</t>
  </si>
  <si>
    <t>Melting_Curves/meltCurve_sp_Q14203_3_DCTN1_HUMAN_.pdf</t>
  </si>
  <si>
    <t>Melting_Curves/meltCurve_sp_Q14204_DYHC1_HUMAN_.pdf</t>
  </si>
  <si>
    <t>Melting_Curves/meltCurve_sp_Q14232_EI2BA_HUMAN_.pdf</t>
  </si>
  <si>
    <t>Melting_Curves/meltCurve_sp_Q14240_IF4A2_HUMAN_.pdf</t>
  </si>
  <si>
    <t>Melting_Curves/meltCurve_sp_Q14241_ELOA1_HUMAN_.pdf</t>
  </si>
  <si>
    <t>Melting_Curves/meltCurve_sp_Q14244_3_MAP7_HUMAN_.pdf</t>
  </si>
  <si>
    <t>Melting_Curves/meltCurve_sp_Q14247_3_SRC8_HUMAN_.pdf</t>
  </si>
  <si>
    <t>Melting_Curves/meltCurve_sp_Q14247_SRC8_HUMAN_.pdf</t>
  </si>
  <si>
    <t>Melting_Curves/meltCurve_sp_Q14258_TRI25_HUMAN_.pdf</t>
  </si>
  <si>
    <t>Melting_Curves/meltCurve_sp_Q14318_2_FKBP8_HUMAN_.pdf</t>
  </si>
  <si>
    <t>Melting_Curves/meltCurve_sp_Q14320_FA50A_HUMAN_.pdf</t>
  </si>
  <si>
    <t>Melting_Curves/meltCurve_sp_Q14353_GAMT_HUMAN_.pdf</t>
  </si>
  <si>
    <t>Melting_Curves/meltCurve_sp_Q14376_GALE_HUMAN_.pdf</t>
  </si>
  <si>
    <t>Melting_Curves/meltCurve_sp_Q14397_GCKR_HUMAN_.pdf</t>
  </si>
  <si>
    <t>Melting_Curves/meltCurve_sp_Q14410_GLPK2_HUMAN_.pdf</t>
  </si>
  <si>
    <t>Melting_Curves/meltCurve_sp_Q14444_2_CAPR1_HUMAN_.pdf</t>
  </si>
  <si>
    <t>Melting_Curves/meltCurve_sp_Q14498_2_RBM39_HUMAN_.pdf</t>
  </si>
  <si>
    <t>Melting_Curves/meltCurve_sp_Q14520_2_HABP2_HUMAN_.pdf</t>
  </si>
  <si>
    <t>Melting_Curves/meltCurve_sp_Q14554_PDIA5_HUMAN_.pdf</t>
  </si>
  <si>
    <t>Melting_Curves/meltCurve_sp_Q14558_KPRA_HUMAN_.pdf</t>
  </si>
  <si>
    <t>Melting_Curves/meltCurve_sp_Q14566_MCM6_HUMAN_.pdf</t>
  </si>
  <si>
    <t>Melting_Curves/meltCurve_sp_Q14624_ITIH4_HUMAN_.pdf</t>
  </si>
  <si>
    <t>Melting_Curves/meltCurve_sp_Q14651_PLSI_HUMAN_.pdf</t>
  </si>
  <si>
    <t>Melting_Curves/meltCurve_sp_Q14653_IRF3_HUMAN_.pdf</t>
  </si>
  <si>
    <t>Melting_Curves/meltCurve_sp_Q14657_LAGE3_HUMAN_.pdf</t>
  </si>
  <si>
    <t>Melting_Curves/meltCurve_sp_Q14669_TRIPC_HUMAN_.pdf</t>
  </si>
  <si>
    <t>Melting_Curves/meltCurve_sp_Q14676_4_MDC1_HUMAN_.pdf</t>
  </si>
  <si>
    <t>Melting_Curves/meltCurve_sp_Q14677_EPN4_HUMAN_.pdf</t>
  </si>
  <si>
    <t>Melting_Curves/meltCurve_sp_Q14678_2_KANK1_HUMAN_.pdf</t>
  </si>
  <si>
    <t>Melting_Curves/meltCurve_sp_Q14683_SMC1A_HUMAN_.pdf</t>
  </si>
  <si>
    <t>Melting_Curves/meltCurve_sp_Q14694_UBP10_HUMAN_.pdf</t>
  </si>
  <si>
    <t>Melting_Curves/meltCurve_sp_Q14696_MESD_HUMAN_.pdf</t>
  </si>
  <si>
    <t>Melting_Curves/meltCurve_sp_Q14697_GANAB_HUMAN_.pdf</t>
  </si>
  <si>
    <t>Melting_Curves/meltCurve_sp_Q14749_GNMT_HUMAN_.pdf</t>
  </si>
  <si>
    <t>Melting_Curves/meltCurve_sp_Q14789_GOGB1_HUMAN_.pdf</t>
  </si>
  <si>
    <t>Melting_Curves/meltCurve_sp_Q14790_8_CASP8_HUMAN_.pdf</t>
  </si>
  <si>
    <t>Melting_Curves/meltCurve_sp_Q14847_LASP1_HUMAN_.pdf</t>
  </si>
  <si>
    <t>Melting_Curves/meltCurve_sp_Q14894_CRYM_HUMAN_.pdf</t>
  </si>
  <si>
    <t>Melting_Curves/meltCurve_sp_Q14914_2_PTGR1_HUMAN_.pdf</t>
  </si>
  <si>
    <t>Melting_Curves/meltCurve_sp_Q14966_ZN638_HUMAN_.pdf</t>
  </si>
  <si>
    <t>Melting_Curves/meltCurve_sp_Q14974_IMB1_HUMAN_.pdf</t>
  </si>
  <si>
    <t>Melting_Curves/meltCurve_sp_Q14978_NOLC1_HUMAN_.pdf</t>
  </si>
  <si>
    <t>Melting_Curves/meltCurve_sp_Q14980_2_NUMA1_HUMAN_.pdf</t>
  </si>
  <si>
    <t>Melting_Curves/meltCurve_sp_Q14997_PSME4_HUMAN_.pdf</t>
  </si>
  <si>
    <t>Melting_Curves/meltCurve_sp_Q15008_PSMD6_HUMAN_.pdf</t>
  </si>
  <si>
    <t>Melting_Curves/meltCurve_sp_Q15018_F175B_HUMAN_.pdf</t>
  </si>
  <si>
    <t>Melting_Curves/meltCurve_sp_Q15020_SART3_HUMAN_.pdf</t>
  </si>
  <si>
    <t>Melting_Curves/meltCurve_sp_Q15024_EXOS7_HUMAN_.pdf</t>
  </si>
  <si>
    <t>Melting_Curves/meltCurve_sp_Q15029_2_U5S1_HUMAN_.pdf</t>
  </si>
  <si>
    <t>Melting_Curves/meltCurve_sp_Q15036_2_SNX17_HUMAN_.pdf</t>
  </si>
  <si>
    <t>Melting_Curves/meltCurve_sp_Q15046_SYK_HUMAN_.pdf</t>
  </si>
  <si>
    <t>Melting_Curves/meltCurve_sp_Q15056_2_IF4H_HUMAN_.pdf</t>
  </si>
  <si>
    <t>Melting_Curves/meltCurve_sp_Q15057_ACAP2_HUMAN_.pdf</t>
  </si>
  <si>
    <t>Melting_Curves/meltCurve_sp_Q15067_2_ACOX1_HUMAN_.pdf</t>
  </si>
  <si>
    <t>Melting_Curves/meltCurve_sp_Q15075_EEA1_HUMAN_.pdf</t>
  </si>
  <si>
    <t>Melting_Curves/meltCurve_sp_Q15102_PA1B3_HUMAN_.pdf</t>
  </si>
  <si>
    <t>Melting_Curves/meltCurve_sp_Q15119_PDK2_HUMAN_.pdf</t>
  </si>
  <si>
    <t>Melting_Curves/meltCurve_sp_Q15120_PDK3_HUMAN_.pdf</t>
  </si>
  <si>
    <t>Melting_Curves/meltCurve_sp_Q15126_PMVK_HUMAN_.pdf</t>
  </si>
  <si>
    <t>Melting_Curves/meltCurve_sp_Q15149_8_PLEC_HUMAN_.pdf</t>
  </si>
  <si>
    <t>Melting_Curves/meltCurve_sp_Q15172_2A5A_HUMAN_.pdf</t>
  </si>
  <si>
    <t>Melting_Curves/meltCurve_sp_Q15181_IPYR_HUMAN_.pdf</t>
  </si>
  <si>
    <t>Melting_Curves/meltCurve_sp_Q15233_2_NONO_HUMAN_.pdf</t>
  </si>
  <si>
    <t>Melting_Curves/meltCurve_sp_Q15257_2_PTPA_HUMAN_.pdf</t>
  </si>
  <si>
    <t>Melting_Curves/meltCurve_sp_Q15274_NADC_HUMAN_.pdf</t>
  </si>
  <si>
    <t>Melting_Curves/meltCurve_sp_Q15276_RABE1_HUMAN_.pdf</t>
  </si>
  <si>
    <t>Melting_Curves/meltCurve_sp_Q15291_RBBP5_HUMAN_.pdf</t>
  </si>
  <si>
    <t>Melting_Curves/meltCurve_sp_Q15293_RCN1_HUMAN_.pdf</t>
  </si>
  <si>
    <t>Melting_Curves/meltCurve_sp_Q15311_RBP1_HUMAN_.pdf</t>
  </si>
  <si>
    <t>Melting_Curves/meltCurve_sp_Q15345_LRC41_HUMAN_.pdf</t>
  </si>
  <si>
    <t>Melting_Curves/meltCurve_sp_Q15365_PCBP1_HUMAN_.pdf</t>
  </si>
  <si>
    <t>Melting_Curves/meltCurve_sp_Q15382_RHEB_HUMAN_.pdf</t>
  </si>
  <si>
    <t>Melting_Curves/meltCurve_sp_Q15393_SF3B3_HUMAN_.pdf</t>
  </si>
  <si>
    <t>Melting_Curves/meltCurve_sp_Q15404_RSU1_HUMAN_.pdf</t>
  </si>
  <si>
    <t>Melting_Curves/meltCurve_sp_Q15417_CNN3_HUMAN_.pdf</t>
  </si>
  <si>
    <t>Melting_Curves/meltCurve_sp_Q15424_SAFB1_HUMAN_.pdf</t>
  </si>
  <si>
    <t>Melting_Curves/meltCurve_sp_Q15427_SF3B4_HUMAN_.pdf</t>
  </si>
  <si>
    <t>Melting_Curves/meltCurve_sp_Q15428_SF3A2_HUMAN_.pdf</t>
  </si>
  <si>
    <t>Melting_Curves/meltCurve_sp_Q15435_PP1R7_HUMAN_.pdf</t>
  </si>
  <si>
    <t>Melting_Curves/meltCurve_sp_Q15437_SC23B_HUMAN_.pdf</t>
  </si>
  <si>
    <t>Melting_Curves/meltCurve_sp_Q15459_SF3A1_HUMAN_.pdf</t>
  </si>
  <si>
    <t>Melting_Curves/meltCurve_sp_Q15477_SKIV2_HUMAN_.pdf</t>
  </si>
  <si>
    <t>Melting_Curves/meltCurve_sp_Q15493_RGN_HUMAN_.pdf</t>
  </si>
  <si>
    <t>Melting_Curves/meltCurve_sp_Q15526_2_SURF1_HUMAN_.pdf</t>
  </si>
  <si>
    <t>Melting_Curves/meltCurve_sp_Q15555_4_MARE2_HUMAN_.pdf</t>
  </si>
  <si>
    <t>Melting_Curves/meltCurve_sp_Q15596_NCOA2_HUMAN_.pdf</t>
  </si>
  <si>
    <t>Melting_Curves/meltCurve_sp_Q15599_NHRF2_HUMAN_.pdf</t>
  </si>
  <si>
    <t>Melting_Curves/meltCurve_sp_Q15637_5_SF01_HUMAN_.pdf</t>
  </si>
  <si>
    <t>Melting_Curves/meltCurve_sp_Q15642_CIP4_HUMAN_.pdf</t>
  </si>
  <si>
    <t>Melting_Curves/meltCurve_sp_Q15643_TRIPB_HUMAN_.pdf</t>
  </si>
  <si>
    <t>Melting_Curves/meltCurve_sp_Q15654_TRIP6_HUMAN_.pdf</t>
  </si>
  <si>
    <t>Melting_Curves/meltCurve_sp_Q15691_MARE1_HUMAN_.pdf</t>
  </si>
  <si>
    <t>Melting_Curves/meltCurve_sp_Q15714_2_T22D1_HUMAN_.pdf</t>
  </si>
  <si>
    <t>Melting_Curves/meltCurve_sp_Q15717_ELAV1_HUMAN_.pdf</t>
  </si>
  <si>
    <t>Melting_Curves/meltCurve_sp_Q15746_6_MYLK_HUMAN_.pdf</t>
  </si>
  <si>
    <t>Melting_Curves/meltCurve_sp_Q15750_2_TAB1_HUMAN_.pdf</t>
  </si>
  <si>
    <t>Melting_Curves/meltCurve_sp_Q15785_TOM34_HUMAN_.pdf</t>
  </si>
  <si>
    <t>Melting_Curves/meltCurve_sp_Q15796_2_SMAD2_HUMAN_.pdf</t>
  </si>
  <si>
    <t>Melting_Curves/meltCurve_sp_Q15813_TBCE_HUMAN_.pdf</t>
  </si>
  <si>
    <t>Melting_Curves/meltCurve_sp_Q15814_TBCC_HUMAN_.pdf</t>
  </si>
  <si>
    <t>Melting_Curves/meltCurve_sp_Q15819_UB2V2_HUMAN_.pdf</t>
  </si>
  <si>
    <t>Melting_Curves/meltCurve_sp_Q15833_STXB2_HUMAN_.pdf</t>
  </si>
  <si>
    <t>Melting_Curves/meltCurve_sp_Q15847_ADIRF_HUMAN_.pdf</t>
  </si>
  <si>
    <t>Melting_Curves/meltCurve_sp_Q15907_RB11B_HUMAN_.pdf</t>
  </si>
  <si>
    <t>Melting_Curves/meltCurve_sp_Q15942_ZYX_HUMAN_.pdf</t>
  </si>
  <si>
    <t>Melting_Curves/meltCurve_sp_Q16181_SEPT7_HUMAN_.pdf</t>
  </si>
  <si>
    <t>Melting_Curves/meltCurve_sp_Q16186_ADRM1_HUMAN_.pdf</t>
  </si>
  <si>
    <t>Melting_Curves/meltCurve_sp_Q16204_CCDC6_HUMAN_.pdf</t>
  </si>
  <si>
    <t>Melting_Curves/meltCurve_sp_Q16222_3_UAP1_HUMAN_.pdf</t>
  </si>
  <si>
    <t>Melting_Curves/meltCurve_sp_Q16401_2_PSMD5_HUMAN_.pdf</t>
  </si>
  <si>
    <t>Melting_Curves/meltCurve_sp_Q16531_DDB1_HUMAN_.pdf</t>
  </si>
  <si>
    <t>Melting_Curves/meltCurve_sp_Q16539_MK14_HUMAN_.pdf</t>
  </si>
  <si>
    <t>Melting_Curves/meltCurve_sp_Q16543_CDC37_HUMAN_.pdf</t>
  </si>
  <si>
    <t>Melting_Curves/meltCurve_sp_Q16555_2_DPYL2_HUMAN_.pdf</t>
  </si>
  <si>
    <t>Melting_Curves/meltCurve_sp_Q16576_RBBP7_HUMAN_.pdf</t>
  </si>
  <si>
    <t>Melting_Curves/meltCurve_sp_Q16625_5_OCLN_HUMAN_.pdf</t>
  </si>
  <si>
    <t>Melting_Curves/meltCurve_sp_Q16626_MEA1_HUMAN_.pdf</t>
  </si>
  <si>
    <t>Melting_Curves/meltCurve_sp_Q16629_3_SRSF7_HUMAN_.pdf</t>
  </si>
  <si>
    <t>Melting_Curves/meltCurve_sp_Q16637_4_SMN_HUMAN_.pdf</t>
  </si>
  <si>
    <t>Melting_Curves/meltCurve_sp_Q16658_FSCN1_HUMAN_.pdf</t>
  </si>
  <si>
    <t>Melting_Curves/meltCurve_sp_Q16719_KYNU_HUMAN_.pdf</t>
  </si>
  <si>
    <t>Melting_Curves/meltCurve_sp_Q16740_CLPP_HUMAN_.pdf</t>
  </si>
  <si>
    <t>Melting_Curves/meltCurve_sp_Q16762_THTR_HUMAN_.pdf</t>
  </si>
  <si>
    <t>Melting_Curves/meltCurve_sp_Q16773_KAT1_HUMAN_.pdf</t>
  </si>
  <si>
    <t>Melting_Curves/meltCurve_sp_Q16775_GLO2_HUMAN_.pdf</t>
  </si>
  <si>
    <t>Melting_Curves/meltCurve_sp_Q16787_4_LAMA3_HUMAN_.pdf</t>
  </si>
  <si>
    <t>Melting_Curves/meltCurve_sp_Q16822_PCKGM_HUMAN_.pdf</t>
  </si>
  <si>
    <t>Melting_Curves/meltCurve_sp_Q16831_UPP1_HUMAN_.pdf</t>
  </si>
  <si>
    <t>Melting_Curves/meltCurve_sp_Q16836_HCDH_HUMAN_.pdf</t>
  </si>
  <si>
    <t>Melting_Curves/meltCurve_sp_Q16851_2_UGPA_HUMAN_.pdf</t>
  </si>
  <si>
    <t>Melting_Curves/meltCurve_sp_Q16851_UGPA_HUMAN_.pdf</t>
  </si>
  <si>
    <t>Melting_Curves/meltCurve_sp_Q16854_DGUOK_HUMAN_.pdf</t>
  </si>
  <si>
    <t>Melting_Curves/meltCurve_sp_Q17R31_5_TATD3_HUMAN_.pdf</t>
  </si>
  <si>
    <t>Melting_Curves/meltCurve_sp_Q17RC7_EX3L4_HUMAN_.pdf</t>
  </si>
  <si>
    <t>Melting_Curves/meltCurve_sp_Q1W6H9_F110C_HUMAN_.pdf</t>
  </si>
  <si>
    <t>Melting_Curves/meltCurve_sp_Q27J81_INF2_HUMAN_.pdf</t>
  </si>
  <si>
    <t>Melting_Curves/meltCurve_sp_Q29RF7_PDS5A_HUMAN_.pdf</t>
  </si>
  <si>
    <t>Melting_Curves/meltCurve_sp_Q2KHT3_CL16A_HUMAN_.pdf</t>
  </si>
  <si>
    <t>Melting_Curves/meltCurve_sp_Q2M389_WASH7_HUMAN_.pdf</t>
  </si>
  <si>
    <t>Melting_Curves/meltCurve_sp_Q2PPJ7_3_RGPA2_HUMAN_.pdf</t>
  </si>
  <si>
    <t>Melting_Curves/meltCurve_sp_Q2T9J0_TYSD1_HUMAN_.pdf</t>
  </si>
  <si>
    <t>Melting_Curves/meltCurve_sp_Q2TAZ0_ATG2A_HUMAN_.pdf</t>
  </si>
  <si>
    <t>Melting_Curves/meltCurve_sp_Q32M88_ATHL1_HUMAN_.pdf</t>
  </si>
  <si>
    <t>Melting_Curves/meltCurve_sp_Q32MZ4_2_LRRF1_HUMAN_.pdf</t>
  </si>
  <si>
    <t>Melting_Curves/meltCurve_sp_Q32MZ4_4_LRRF1_HUMAN_.pdf</t>
  </si>
  <si>
    <t>Melting_Curves/meltCurve_sp_Q32P44_EMAL3_HUMAN_.pdf</t>
  </si>
  <si>
    <t>Melting_Curves/meltCurve_sp_Q3LXA3_DHAK_HUMAN_.pdf</t>
  </si>
  <si>
    <t>Melting_Curves/meltCurve_sp_Q3MHD2_LSM12_HUMAN_.pdf</t>
  </si>
  <si>
    <t>Melting_Curves/meltCurve_sp_Q3MIT2_PUS10_HUMAN_.pdf</t>
  </si>
  <si>
    <t>Melting_Curves/meltCurve_sp_Q3V6T2_5_GRDN_HUMAN_.pdf</t>
  </si>
  <si>
    <t>Melting_Curves/meltCurve_sp_Q49A26_5_GLYR1_HUMAN_.pdf</t>
  </si>
  <si>
    <t>Melting_Curves/meltCurve_sp_Q49AH0_CDNF_HUMAN_.pdf</t>
  </si>
  <si>
    <t>Melting_Curves/meltCurve_sp_Q4G0F5_VP26B_HUMAN_.pdf</t>
  </si>
  <si>
    <t>Melting_Curves/meltCurve_sp_Q4G0J3_LARP7_HUMAN_.pdf</t>
  </si>
  <si>
    <t>Melting_Curves/meltCurve_sp_Q4G0N4_NAKD1_HUMAN_.pdf</t>
  </si>
  <si>
    <t>Melting_Curves/meltCurve_sp_Q4G176_ACSF3_HUMAN_.pdf</t>
  </si>
  <si>
    <t>Melting_Curves/meltCurve_sp_Q4KMP7_TB10B_HUMAN_.pdf</t>
  </si>
  <si>
    <t>Melting_Curves/meltCurve_sp_Q4KWH8_3_PLCH1_HUMAN_.pdf</t>
  </si>
  <si>
    <t>Melting_Curves/meltCurve_sp_Q4V328_GRAP1_HUMAN_.pdf</t>
  </si>
  <si>
    <t>Melting_Curves/meltCurve_sp_Q504Q3_2_PAN2_HUMAN_.pdf</t>
  </si>
  <si>
    <t>Melting_Curves/meltCurve_sp_Q52LJ0_2_FA98B_HUMAN_.pdf</t>
  </si>
  <si>
    <t>Melting_Curves/meltCurve_sp_Q52LW3_RHG29_HUMAN_.pdf</t>
  </si>
  <si>
    <t>Melting_Curves/meltCurve_sp_Q53FA7_QORX_HUMAN_.pdf</t>
  </si>
  <si>
    <t>Melting_Curves/meltCurve_sp_Q53FZ2_ACSM3_HUMAN_.pdf</t>
  </si>
  <si>
    <t>Melting_Curves/meltCurve_sp_Q53H82_LACB2_HUMAN_.pdf</t>
  </si>
  <si>
    <t>Melting_Curves/meltCurve_sp_Q53HC9_TSSC1_HUMAN_.pdf</t>
  </si>
  <si>
    <t>Melting_Curves/meltCurve_sp_Q53LP3_SWAHC_HUMAN_.pdf</t>
  </si>
  <si>
    <t>Melting_Curves/meltCurve_sp_Q53S33_BOLA3_HUMAN_.pdf</t>
  </si>
  <si>
    <t>Melting_Curves/meltCurve_sp_Q562E7_4_WDR81_HUMAN_.pdf</t>
  </si>
  <si>
    <t>Melting_Curves/meltCurve_sp_Q58FF8_H90B2_HUMAN_.pdf</t>
  </si>
  <si>
    <t>Melting_Curves/meltCurve_sp_Q58FG1_HS904_HUMAN_.pdf</t>
  </si>
  <si>
    <t>Melting_Curves/meltCurve_sp_Q5BKU9_OXLD1_HUMAN_.pdf</t>
  </si>
  <si>
    <t>Melting_Curves/meltCurve_sp_Q5D862_FILA2_HUMAN_.pdf</t>
  </si>
  <si>
    <t>Melting_Curves/meltCurve_sp_Q5EBM0_CMPK2_HUMAN_.pdf</t>
  </si>
  <si>
    <t>Melting_Curves/meltCurve_sp_Q5GLZ8_6_HERC4_HUMAN_.pdf</t>
  </si>
  <si>
    <t>Melting_Curves/meltCurve_sp_Q5HYK7_3_SH319_HUMAN_.pdf</t>
  </si>
  <si>
    <t>Melting_Curves/meltCurve_sp_Q5JRX3_PREP_HUMAN_.pdf</t>
  </si>
  <si>
    <t>Melting_Curves/meltCurve_sp_Q5JS37_NHLC3_HUMAN_.pdf</t>
  </si>
  <si>
    <t>Melting_Curves/meltCurve_sp_Q5JSH3_2_WDR44_HUMAN_.pdf</t>
  </si>
  <si>
    <t>Melting_Curves/meltCurve_sp_Q5JSZ5_5_PRC2B_HUMAN_.pdf</t>
  </si>
  <si>
    <t>Melting_Curves/meltCurve_sp_Q5JTJ3_3_COA6_HUMAN_.pdf</t>
  </si>
  <si>
    <t>Melting_Curves/meltCurve_sp_Q5JTV8_2_TOIP1_HUMAN_.pdf</t>
  </si>
  <si>
    <t>Melting_Curves/meltCurve_sp_Q5JTZ9_SYAM_HUMAN_.pdf</t>
  </si>
  <si>
    <t>Melting_Curves/meltCurve_sp_Q5MNZ6_WIPI3_HUMAN_.pdf</t>
  </si>
  <si>
    <t>Melting_Curves/meltCurve_sp_Q5QJ74_TBCEL_HUMAN_.pdf</t>
  </si>
  <si>
    <t>Melting_Curves/meltCurve_sp_Q5R3I4_TTC38_HUMAN_.pdf</t>
  </si>
  <si>
    <t>Melting_Curves/meltCurve_sp_Q5RHP9_CA173_HUMAN_.pdf</t>
  </si>
  <si>
    <t>Melting_Curves/meltCurve_sp_Q5RKV6_EXOS6_HUMAN_.pdf</t>
  </si>
  <si>
    <t>Melting_Curves/meltCurve_sp_Q5SRE5_2_NU188_HUMAN_.pdf</t>
  </si>
  <si>
    <t>Melting_Curves/meltCurve_sp_Q5SRE7_2_PHYD1_HUMAN_.pdf</t>
  </si>
  <si>
    <t>Melting_Curves/meltCurve_sp_Q5SSJ5_HP1B3_HUMAN_.pdf</t>
  </si>
  <si>
    <t>Melting_Curves/meltCurve_sp_Q5ST30_SYVM_HUMAN_.pdf</t>
  </si>
  <si>
    <t>Melting_Curves/meltCurve_sp_Q5SW79_2_CE170_HUMAN_.pdf</t>
  </si>
  <si>
    <t>Melting_Curves/meltCurve_sp_Q5SXM8_DNLZ_HUMAN_.pdf</t>
  </si>
  <si>
    <t>Melting_Curves/meltCurve_sp_Q5SYE7_2_NHSL1_HUMAN_.pdf</t>
  </si>
  <si>
    <t>Melting_Curves/meltCurve_sp_Q5T0N5_3_FBP1L_HUMAN_.pdf</t>
  </si>
  <si>
    <t>Melting_Curves/meltCurve_sp_Q5T160_SYRM_HUMAN_.pdf</t>
  </si>
  <si>
    <t>Melting_Curves/meltCurve_sp_Q5T1M5_FKB15_HUMAN_.pdf</t>
  </si>
  <si>
    <t>Melting_Curves/meltCurve_sp_Q5T2E6_CJ076_HUMAN_.pdf</t>
  </si>
  <si>
    <t>Melting_Curves/meltCurve_sp_Q5T2W1_NHRF3_HUMAN_.pdf</t>
  </si>
  <si>
    <t>Melting_Curves/meltCurve_sp_Q5T440_CAF17_HUMAN_.pdf</t>
  </si>
  <si>
    <t>Melting_Curves/meltCurve_sp_Q5T447_HECD3_HUMAN_.pdf</t>
  </si>
  <si>
    <t>Melting_Curves/meltCurve_sp_Q5T4F4_6_ZFY27_HUMAN_.pdf</t>
  </si>
  <si>
    <t>Melting_Curves/meltCurve_sp_Q5T4S7_3_UBR4_HUMAN_.pdf</t>
  </si>
  <si>
    <t>Melting_Curves/meltCurve_sp_Q5T5P2_SKT_HUMAN_.pdf</t>
  </si>
  <si>
    <t>Melting_Curves/meltCurve_sp_Q5T6F2_UBAP2_HUMAN_.pdf</t>
  </si>
  <si>
    <t>Melting_Curves/meltCurve_sp_Q5T6J7_GNTK_HUMAN_.pdf</t>
  </si>
  <si>
    <t>Melting_Curves/meltCurve_sp_Q5T6V5_CI064_HUMAN_.pdf</t>
  </si>
  <si>
    <t>Melting_Curves/meltCurve_sp_Q5T749_KPRP_HUMAN_.pdf</t>
  </si>
  <si>
    <t>Melting_Curves/meltCurve_sp_Q5T8D3_2_ACBD5_HUMAN_.pdf</t>
  </si>
  <si>
    <t>Melting_Curves/meltCurve_sp_Q5T8D3_ACBD5_HUMAN_.pdf</t>
  </si>
  <si>
    <t>Melting_Curves/meltCurve_sp_Q5T8P6_2_RBM26_HUMAN_.pdf</t>
  </si>
  <si>
    <t>Melting_Curves/meltCurve_sp_Q5TA50_GLTD1_HUMAN_.pdf</t>
  </si>
  <si>
    <t>Melting_Curves/meltCurve_sp_Q5TC12_ATPF1_HUMAN_.pdf</t>
  </si>
  <si>
    <t>Melting_Curves/meltCurve_sp_Q5TCQ9_4_MAGI3_HUMAN_.pdf</t>
  </si>
  <si>
    <t>Melting_Curves/meltCurve_sp_Q5TDH0_DDI2_HUMAN_.pdf</t>
  </si>
  <si>
    <t>Melting_Curves/meltCurve_sp_Q5TEU4_NDUF5_HUMAN_.pdf</t>
  </si>
  <si>
    <t>Melting_Curves/meltCurve_sp_Q5TFE4_NT5D1_HUMAN_.pdf</t>
  </si>
  <si>
    <t>Melting_Curves/meltCurve_sp_Q5U5X0_LYRM7_HUMAN_.pdf</t>
  </si>
  <si>
    <t>Melting_Curves/meltCurve_sp_Q5UIP0_2_RIF1_HUMAN_.pdf</t>
  </si>
  <si>
    <t>Melting_Curves/meltCurve_sp_Q5VIR6_4_VPS53_HUMAN_.pdf</t>
  </si>
  <si>
    <t>Melting_Curves/meltCurve_sp_Q5VSL9_STRP1_HUMAN_.pdf</t>
  </si>
  <si>
    <t>Melting_Curves/meltCurve_sp_Q5VTB9_RN220_HUMAN_.pdf</t>
  </si>
  <si>
    <t>Melting_Curves/meltCurve_sp_Q5VTE0_EF1A3_HUMAN_.pdf</t>
  </si>
  <si>
    <t>Melting_Curves/meltCurve_sp_Q5VTR2_BRE1A_HUMAN_.pdf</t>
  </si>
  <si>
    <t>Melting_Curves/meltCurve_sp_Q5VUE5_CA053_HUMAN_.pdf</t>
  </si>
  <si>
    <t>Melting_Curves/meltCurve_sp_Q5VW32_BROX_HUMAN_.pdf</t>
  </si>
  <si>
    <t>Melting_Curves/meltCurve_sp_Q5VWP3_MLIP_HUMAN_.pdf</t>
  </si>
  <si>
    <t>Melting_Curves/meltCurve_sp_Q5VWZ2_LYPL1_HUMAN_.pdf</t>
  </si>
  <si>
    <t>Melting_Curves/meltCurve_sp_Q5VYK3_ECM29_HUMAN_.pdf</t>
  </si>
  <si>
    <t>Melting_Curves/meltCurve_sp_Q5VYS8_6_TUT7_HUMAN_.pdf</t>
  </si>
  <si>
    <t>Melting_Curves/meltCurve_sp_Q5VYX0_2_RNLS_HUMAN_.pdf</t>
  </si>
  <si>
    <t>Melting_Curves/meltCurve_sp_Q5VZL5_4_ZMYM4_HUMAN_.pdf</t>
  </si>
  <si>
    <t>Melting_Curves/meltCurve_sp_Q5W0V3_F16B1_HUMAN_.pdf</t>
  </si>
  <si>
    <t>Melting_Curves/meltCurve_sp_Q63HM1_KFA_HUMAN_.pdf</t>
  </si>
  <si>
    <t>Melting_Curves/meltCurve_sp_Q63HN8_RN213_HUMAN_.pdf</t>
  </si>
  <si>
    <t>Melting_Curves/meltCurve_sp_Q63HR2_2_TENC1_HUMAN_.pdf</t>
  </si>
  <si>
    <t>Melting_Curves/meltCurve_sp_Q63ZY3_3_KANK2_HUMAN_.pdf</t>
  </si>
  <si>
    <t>Melting_Curves/meltCurve_sp_Q66K14_2_TBC9B_HUMAN_.pdf</t>
  </si>
  <si>
    <t>Melting_Curves/meltCurve_sp_Q66PJ3_AR6P4_HUMAN_.pdf</t>
  </si>
  <si>
    <t>Melting_Curves/meltCurve_sp_Q676U5_2_A16L1_HUMAN_.pdf</t>
  </si>
  <si>
    <t>Melting_Curves/meltCurve_sp_Q68CK6_ACS2B_HUMAN_.pdf</t>
  </si>
  <si>
    <t>Melting_Curves/meltCurve_sp_Q68CZ2_TENS3_HUMAN_.pdf</t>
  </si>
  <si>
    <t>Melting_Curves/meltCurve_sp_Q69YN2_C19L1_HUMAN_.pdf</t>
  </si>
  <si>
    <t>Melting_Curves/meltCurve_sp_Q69YN4_4_VIR_HUMAN_.pdf</t>
  </si>
  <si>
    <t>Melting_Curves/meltCurve_sp_Q69YQ0_2_CYTSA_HUMAN_.pdf</t>
  </si>
  <si>
    <t>Melting_Curves/meltCurve_sp_Q6A1A2_PDPK2_HUMAN_.pdf</t>
  </si>
  <si>
    <t>Melting_Curves/meltCurve_sp_Q6DD88_ATLA3_HUMAN_.pdf</t>
  </si>
  <si>
    <t>Melting_Curves/meltCurve_sp_Q6DN90_2_IQEC1_HUMAN_.pdf</t>
  </si>
  <si>
    <t>Melting_Curves/meltCurve_sp_Q6EMK4_VASN_HUMAN_.pdf</t>
  </si>
  <si>
    <t>Melting_Curves/meltCurve_sp_Q6FI81_3_CPIN1_HUMAN_.pdf</t>
  </si>
  <si>
    <t>Melting_Curves/meltCurve_sp_Q6FIF0_2_ZFAN6_HUMAN_.pdf</t>
  </si>
  <si>
    <t>Melting_Curves/meltCurve_sp_Q6GMV2_SMYD5_HUMAN_.pdf</t>
  </si>
  <si>
    <t>Melting_Curves/meltCurve_sp_Q6GMV3_PTRD1_HUMAN_.pdf</t>
  </si>
  <si>
    <t>Melting_Curves/meltCurve_sp_Q6GQQ9_2_OTU7B_HUMAN_.pdf</t>
  </si>
  <si>
    <t>Melting_Curves/meltCurve_sp_Q6IA69_NADE_HUMAN_.pdf</t>
  </si>
  <si>
    <t>Melting_Curves/meltCurve_sp_Q6IA86_4_ELP2_HUMAN_.pdf</t>
  </si>
  <si>
    <t>Melting_Curves/meltCurve_sp_Q6IB77_GLYAT_HUMAN_.pdf</t>
  </si>
  <si>
    <t>Melting_Curves/meltCurve_sp_Q6IBS0_TWF2_HUMAN_.pdf</t>
  </si>
  <si>
    <t>Melting_Curves/meltCurve_sp_Q6IC98_GRAM4_HUMAN_.pdf</t>
  </si>
  <si>
    <t>Melting_Curves/meltCurve_sp_Q6IN85_2_P4R3A_HUMAN_.pdf</t>
  </si>
  <si>
    <t>Melting_Curves/meltCurve_sp_Q6IPR1_LYRM5_HUMAN_.pdf</t>
  </si>
  <si>
    <t>Melting_Curves/meltCurve_sp_Q6IQ22_RAB12_HUMAN_.pdf</t>
  </si>
  <si>
    <t>Melting_Curves/meltCurve_sp_Q6IQ23_PKHA7_HUMAN_.pdf</t>
  </si>
  <si>
    <t>Melting_Curves/meltCurve_sp_Q6JQN1_ACD10_HUMAN_.pdf</t>
  </si>
  <si>
    <t>Melting_Curves/meltCurve_sp_Q6K0P9_4_IFIX_HUMAN_.pdf</t>
  </si>
  <si>
    <t>Melting_Curves/meltCurve_sp_Q6N043_2_Z280D_HUMAN_.pdf</t>
  </si>
  <si>
    <t>Melting_Curves/meltCurve_sp_Q6N063_OGFD2_HUMAN_.pdf</t>
  </si>
  <si>
    <t>Melting_Curves/meltCurve_sp_Q6NUN0_ACSM5_HUMAN_.pdf</t>
  </si>
  <si>
    <t>Melting_Curves/meltCurve_sp_Q6NUQ4_2_TM214_HUMAN_.pdf</t>
  </si>
  <si>
    <t>Melting_Curves/meltCurve_sp_Q6NVY1_HIBCH_HUMAN_.pdf</t>
  </si>
  <si>
    <t>Melting_Curves/meltCurve_sp_Q6NYC8_PPR18_HUMAN_.pdf</t>
  </si>
  <si>
    <t>Melting_Curves/meltCurve_sp_Q6NZY4_ZCHC8_HUMAN_.pdf</t>
  </si>
  <si>
    <t>Melting_Curves/meltCurve_sp_Q6P1N0_2_C2D1A_HUMAN_.pdf</t>
  </si>
  <si>
    <t>Melting_Curves/meltCurve_sp_Q6P1N9_TATD1_HUMAN_.pdf</t>
  </si>
  <si>
    <t>Melting_Curves/meltCurve_sp_Q6P1X6_CH082_HUMAN_.pdf</t>
  </si>
  <si>
    <t>Melting_Curves/meltCurve_sp_Q6P2E9_EDC4_HUMAN_.pdf</t>
  </si>
  <si>
    <t>Melting_Curves/meltCurve_sp_Q6P2P2_ANM10_HUMAN_.pdf</t>
  </si>
  <si>
    <t>Melting_Curves/meltCurve_sp_Q6P2Q9_PRP8_HUMAN_.pdf</t>
  </si>
  <si>
    <t>Melting_Curves/meltCurve_sp_Q6P4A8_PLBL1_HUMAN_.pdf</t>
  </si>
  <si>
    <t>Melting_Curves/meltCurve_sp_Q6P4F2_ADXL_HUMAN_.pdf</t>
  </si>
  <si>
    <t>Melting_Curves/meltCurve_sp_Q6P4R8_3_NFRKB_HUMAN_.pdf</t>
  </si>
  <si>
    <t>Melting_Curves/meltCurve_sp_Q6P587_FAHD1_HUMAN_.pdf</t>
  </si>
  <si>
    <t>Melting_Curves/meltCurve_sp_Q6P6B1_CH047_HUMAN_.pdf</t>
  </si>
  <si>
    <t>Melting_Curves/meltCurve_sp_Q6PGP7_TTC37_HUMAN_.pdf</t>
  </si>
  <si>
    <t>Melting_Curves/meltCurve_sp_Q6PI48_SYDM_HUMAN_.pdf</t>
  </si>
  <si>
    <t>Melting_Curves/meltCurve_sp_Q6PJT7_5_ZC3HE_HUMAN_.pdf</t>
  </si>
  <si>
    <t>Melting_Curves/meltCurve_sp_Q6PKG0_LARP1_HUMAN_.pdf</t>
  </si>
  <si>
    <t>Melting_Curves/meltCurve_sp_Q6QHF9_4_PAOX_HUMAN_.pdf</t>
  </si>
  <si>
    <t>Melting_Curves/meltCurve_sp_Q6UB28_AMP1D_HUMAN_.pdf</t>
  </si>
  <si>
    <t>Melting_Curves/meltCurve_sp_Q6UN15_4_FIP1_HUMAN_.pdf</t>
  </si>
  <si>
    <t>Melting_Curves/meltCurve_sp_Q6UUV9_3_CRTC1_HUMAN_.pdf</t>
  </si>
  <si>
    <t>Melting_Curves/meltCurve_sp_Q6UWP2_DHR11_HUMAN_.pdf</t>
  </si>
  <si>
    <t>Melting_Curves/meltCurve_sp_Q6UWP8_SBSN_HUMAN_.pdf</t>
  </si>
  <si>
    <t>Melting_Curves/meltCurve_sp_Q6UX53_MET7B_HUMAN_.pdf</t>
  </si>
  <si>
    <t>Melting_Curves/meltCurve_sp_Q6UXH1_4_CREL2_HUMAN_.pdf</t>
  </si>
  <si>
    <t>Melting_Curves/meltCurve_sp_Q6UXN9_WDR82_HUMAN_.pdf</t>
  </si>
  <si>
    <t>Melting_Curves/meltCurve_sp_Q6UXV4_APOOL_HUMAN_.pdf</t>
  </si>
  <si>
    <t>Melting_Curves/meltCurve_sp_Q6XQN6_PNCB_HUMAN_.pdf</t>
  </si>
  <si>
    <t>Melting_Curves/meltCurve_sp_Q6XZF7_DNMBP_HUMAN_.pdf</t>
  </si>
  <si>
    <t>Melting_Curves/meltCurve_sp_Q6Y7W6_4_PERQ2_HUMAN_.pdf</t>
  </si>
  <si>
    <t>Melting_Curves/meltCurve_sp_Q6YN16_HSDL2_HUMAN_.pdf</t>
  </si>
  <si>
    <t>Melting_Curves/meltCurve_sp_Q6YP21_3_KAT3_HUMAN_.pdf</t>
  </si>
  <si>
    <t>Melting_Curves/meltCurve_sp_Q6ZMI0_PPR21_HUMAN_.pdf</t>
  </si>
  <si>
    <t>Melting_Curves/meltCurve_sp_Q6ZT12_UBR3_HUMAN_.pdf</t>
  </si>
  <si>
    <t>Melting_Curves/meltCurve_sp_Q6ZUJ8_BCAP_HUMAN_.pdf</t>
  </si>
  <si>
    <t>Melting_Curves/meltCurve_sp_Q709C8_3_VP13C_HUMAN_.pdf</t>
  </si>
  <si>
    <t>Melting_Curves/meltCurve_sp_Q709F0_ACD11_HUMAN_.pdf</t>
  </si>
  <si>
    <t>Melting_Curves/meltCurve_sp_Q70E73_RAPH1_HUMAN_.pdf</t>
  </si>
  <si>
    <t>Melting_Curves/meltCurve_sp_Q71RC2_6_LARP4_HUMAN_.pdf</t>
  </si>
  <si>
    <t>Melting_Curves/meltCurve_sp_Q71U36_2_TBA1A_HUMAN_.pdf</t>
  </si>
  <si>
    <t>Melting_Curves/meltCurve_sp_Q765P7_MTSSL_HUMAN_.pdf</t>
  </si>
  <si>
    <t>Melting_Curves/meltCurve_sp_Q7KZ85_SPT6H_HUMAN_.pdf</t>
  </si>
  <si>
    <t>Melting_Curves/meltCurve_sp_Q7KZF4_SND1_HUMAN_.pdf</t>
  </si>
  <si>
    <t>Melting_Curves/meltCurve_sp_Q7KZI7_12_MARK2_HUMAN_.pdf</t>
  </si>
  <si>
    <t>Melting_Curves/meltCurve_sp_Q7L014_DDX46_HUMAN_.pdf</t>
  </si>
  <si>
    <t>Melting_Curves/meltCurve_sp_Q7L099_4_RUFY3_HUMAN_.pdf</t>
  </si>
  <si>
    <t>Melting_Curves/meltCurve_sp_Q7L0Y3_MRRP1_HUMAN_.pdf</t>
  </si>
  <si>
    <t>Melting_Curves/meltCurve_sp_Q7L1Q6_BZW1_HUMAN_.pdf</t>
  </si>
  <si>
    <t>Melting_Curves/meltCurve_sp_Q7L1W4_LRC8D_HUMAN_.pdf</t>
  </si>
  <si>
    <t>Melting_Curves/meltCurve_sp_Q7L2J0_MEPCE_HUMAN_.pdf</t>
  </si>
  <si>
    <t>Melting_Curves/meltCurve_sp_Q7L523_RRAGA_HUMAN_.pdf</t>
  </si>
  <si>
    <t>Melting_Curves/meltCurve_sp_Q7L576_CYFP1_HUMAN_.pdf</t>
  </si>
  <si>
    <t>Melting_Curves/meltCurve_sp_Q7L5D6_GET4_HUMAN_.pdf</t>
  </si>
  <si>
    <t>Melting_Curves/meltCurve_sp_Q7L5Y1_ENOF1_HUMAN_.pdf</t>
  </si>
  <si>
    <t>Melting_Curves/meltCurve_sp_Q7L775_EPMIP_HUMAN_.pdf</t>
  </si>
  <si>
    <t>Melting_Curves/meltCurve_sp_Q7L8L6_FAKD5_HUMAN_.pdf</t>
  </si>
  <si>
    <t>Melting_Curves/meltCurve_sp_Q7LBR1_CHM1B_HUMAN_.pdf</t>
  </si>
  <si>
    <t>Melting_Curves/meltCurve_sp_Q7LG56_RIR2B_HUMAN_.pdf</t>
  </si>
  <si>
    <t>Melting_Curves/meltCurve_sp_Q7RTP6_MICA3_HUMAN_.pdf</t>
  </si>
  <si>
    <t>Melting_Curves/meltCurve_sp_Q7RTV0_PHF5A_HUMAN_.pdf</t>
  </si>
  <si>
    <t>Melting_Curves/meltCurve_sp_Q7Z2W4_ZCCHV_HUMAN_.pdf</t>
  </si>
  <si>
    <t>Melting_Curves/meltCurve_sp_Q7Z2Z2_ETUD1_HUMAN_.pdf</t>
  </si>
  <si>
    <t>Melting_Curves/meltCurve_sp_Q7Z392_4_TPC11_HUMAN_.pdf</t>
  </si>
  <si>
    <t>Melting_Curves/meltCurve_sp_Q7Z3J2_CP062_HUMAN_.pdf</t>
  </si>
  <si>
    <t>Melting_Curves/meltCurve_sp_Q7Z3T8_ZFY16_HUMAN_.pdf</t>
  </si>
  <si>
    <t>Melting_Curves/meltCurve_sp_Q7Z406_6_MYH14_HUMAN_.pdf</t>
  </si>
  <si>
    <t>Melting_Curves/meltCurve_sp_Q7Z417_NUFP2_HUMAN_.pdf</t>
  </si>
  <si>
    <t>Melting_Curves/meltCurve_sp_Q7Z422_2_SZRD1_HUMAN_.pdf</t>
  </si>
  <si>
    <t>Melting_Curves/meltCurve_sp_Q7Z434_MAVS_HUMAN_.pdf</t>
  </si>
  <si>
    <t>Melting_Curves/meltCurve_sp_Q7Z460_2_CLAP1_HUMAN_.pdf</t>
  </si>
  <si>
    <t>Melting_Curves/meltCurve_sp_Q7Z478_DHX29_HUMAN_.pdf</t>
  </si>
  <si>
    <t>Melting_Curves/meltCurve_sp_Q7Z4G1_COMD6_HUMAN_.pdf</t>
  </si>
  <si>
    <t>Melting_Curves/meltCurve_sp_Q7Z4G4_2_TRM11_HUMAN_.pdf</t>
  </si>
  <si>
    <t>Melting_Curves/meltCurve_sp_Q7Z4I7_3_LIMS2_HUMAN_.pdf</t>
  </si>
  <si>
    <t>Melting_Curves/meltCurve_sp_Q7Z4Q2_HEAT3_HUMAN_.pdf</t>
  </si>
  <si>
    <t>Melting_Curves/meltCurve_sp_Q7Z4S6_3_KI21A_HUMAN_.pdf</t>
  </si>
  <si>
    <t>Melting_Curves/meltCurve_sp_Q7Z4V5_HDGR2_HUMAN_.pdf</t>
  </si>
  <si>
    <t>Melting_Curves/meltCurve_sp_Q7Z4W1_DCXR_HUMAN_.pdf</t>
  </si>
  <si>
    <t>Melting_Curves/meltCurve_sp_Q7Z5K2_3_WAPL_HUMAN_.pdf</t>
  </si>
  <si>
    <t>Melting_Curves/meltCurve_sp_Q7Z5L9_2_I2BP2_HUMAN_.pdf</t>
  </si>
  <si>
    <t>Melting_Curves/meltCurve_sp_Q7Z5P4_DHB13_HUMAN_.pdf</t>
  </si>
  <si>
    <t>Melting_Curves/meltCurve_sp_Q7Z5Q5_DPOLN_HUMAN_.pdf</t>
  </si>
  <si>
    <t>Melting_Curves/meltCurve_sp_Q7Z5R6_AB1IP_HUMAN_.pdf</t>
  </si>
  <si>
    <t>Melting_Curves/meltCurve_sp_Q7Z6M1_RABEK_HUMAN_.pdf</t>
  </si>
  <si>
    <t>Melting_Curves/meltCurve_sp_Q7Z6Z7_2_HUWE1_HUMAN_.pdf</t>
  </si>
  <si>
    <t>Melting_Curves/meltCurve_sp_Q7Z7K0_COXM1_HUMAN_.pdf</t>
  </si>
  <si>
    <t>Melting_Curves/meltCurve_sp_Q7Z7K6_3_CENPV_HUMAN_.pdf</t>
  </si>
  <si>
    <t>Melting_Curves/meltCurve_sp_Q86SQ0_3_PHLB2_HUMAN_.pdf</t>
  </si>
  <si>
    <t>Melting_Curves/meltCurve_sp_Q86SQ0_PHLB2_HUMAN_.pdf</t>
  </si>
  <si>
    <t>Melting_Curves/meltCurve_sp_Q86SX6_GLRX5_HUMAN_.pdf</t>
  </si>
  <si>
    <t>Melting_Curves/meltCurve_sp_Q86SZ2_2_TPC6B_HUMAN_.pdf</t>
  </si>
  <si>
    <t>Melting_Curves/meltCurve_sp_Q86TB9_4_PATL1_HUMAN_.pdf</t>
  </si>
  <si>
    <t>Melting_Curves/meltCurve_sp_Q86TI2_DPP9_HUMAN_.pdf</t>
  </si>
  <si>
    <t>Melting_Curves/meltCurve_sp_Q86TP1_PRUNE_HUMAN_.pdf</t>
  </si>
  <si>
    <t>Melting_Curves/meltCurve_sp_Q86TU7_SETD3_HUMAN_.pdf</t>
  </si>
  <si>
    <t>Melting_Curves/meltCurve_sp_Q86TX2_ACOT1_HUMAN_.pdf</t>
  </si>
  <si>
    <t>Melting_Curves/meltCurve_sp_Q86U17_SPA11_HUMAN_.pdf</t>
  </si>
  <si>
    <t>Melting_Curves/meltCurve_sp_Q86U28_ISCA2_HUMAN_.pdf</t>
  </si>
  <si>
    <t>Melting_Curves/meltCurve_sp_Q86U42_2_PABP2_HUMAN_.pdf</t>
  </si>
  <si>
    <t>Melting_Curves/meltCurve_sp_Q86U44_MTA70_HUMAN_.pdf</t>
  </si>
  <si>
    <t>Melting_Curves/meltCurve_sp_Q86UA1_PRP39_HUMAN_.pdf</t>
  </si>
  <si>
    <t>Melting_Curves/meltCurve_sp_Q86UK7_2_ZN598_HUMAN_.pdf</t>
  </si>
  <si>
    <t>Melting_Curves/meltCurve_sp_Q86UP2_KTN1_HUMAN_.pdf</t>
  </si>
  <si>
    <t>Melting_Curves/meltCurve_sp_Q86UX7_2_URP2_HUMAN_.pdf</t>
  </si>
  <si>
    <t>Melting_Curves/meltCurve_sp_Q86UY8_2_NT5D3_HUMAN_.pdf</t>
  </si>
  <si>
    <t>Melting_Curves/meltCurve_sp_Q86V48_2_LUZP1_HUMAN_.pdf</t>
  </si>
  <si>
    <t>Melting_Curves/meltCurve_sp_Q86V81_THOC4_HUMAN_.pdf</t>
  </si>
  <si>
    <t>Melting_Curves/meltCurve_sp_Q86VN1_2_VPS36_HUMAN_.pdf</t>
  </si>
  <si>
    <t>Melting_Curves/meltCurve_sp_Q86VP6_CAND1_HUMAN_.pdf</t>
  </si>
  <si>
    <t>Melting_Curves/meltCurve_sp_Q86VQ6_TRXR3_HUMAN_.pdf</t>
  </si>
  <si>
    <t>Melting_Curves/meltCurve_sp_Q86VS8_HOOK3_HUMAN_.pdf</t>
  </si>
  <si>
    <t>Melting_Curves/meltCurve_sp_Q86VX2_2_COMD7_HUMAN_.pdf</t>
  </si>
  <si>
    <t>Melting_Curves/meltCurve_sp_Q86W92_4_LIPB1_HUMAN_.pdf</t>
  </si>
  <si>
    <t>Melting_Curves/meltCurve_sp_Q86WA6_BPHL_HUMAN_.pdf</t>
  </si>
  <si>
    <t>Melting_Curves/meltCurve_sp_Q86WA8_LONP2_HUMAN_.pdf</t>
  </si>
  <si>
    <t>Melting_Curves/meltCurve_sp_Q86WR0_CCD25_HUMAN_.pdf</t>
  </si>
  <si>
    <t>Melting_Curves/meltCurve_sp_Q86WR7_PRSR2_HUMAN_.pdf</t>
  </si>
  <si>
    <t>Melting_Curves/meltCurve_sp_Q86WU2_2_LDHD_HUMAN_.pdf</t>
  </si>
  <si>
    <t>Melting_Curves/meltCurve_sp_Q86X10_3_RLGPB_HUMAN_.pdf</t>
  </si>
  <si>
    <t>Melting_Curves/meltCurve_sp_Q86X27_RGPS2_HUMAN_.pdf</t>
  </si>
  <si>
    <t>Melting_Curves/meltCurve_sp_Q86X55_1_CARM1_HUMAN_.pdf</t>
  </si>
  <si>
    <t>Melting_Curves/meltCurve_sp_Q86X76_2_NIT1_HUMAN_.pdf</t>
  </si>
  <si>
    <t>Melting_Curves/meltCurve_sp_Q86XE5_HOGA1_HUMAN_.pdf</t>
  </si>
  <si>
    <t>Melting_Curves/meltCurve_sp_Q86XP3_DDX42_HUMAN_.pdf</t>
  </si>
  <si>
    <t>Melting_Curves/meltCurve_sp_Q86Y07_4_VRK2_HUMAN_.pdf</t>
  </si>
  <si>
    <t>Melting_Curves/meltCurve_sp_Q86Y82_STX12_HUMAN_.pdf</t>
  </si>
  <si>
    <t>Melting_Curves/meltCurve_sp_Q86YB7_ECHD2_HUMAN_.pdf</t>
  </si>
  <si>
    <t>Melting_Curves/meltCurve_sp_Q86YH6_DLP1_HUMAN_.pdf</t>
  </si>
  <si>
    <t>Melting_Curves/meltCurve_sp_Q86YJ6_4_THNS2_HUMAN_.pdf</t>
  </si>
  <si>
    <t>Melting_Curves/meltCurve_sp_Q86YP4_2_P66A_HUMAN_.pdf</t>
  </si>
  <si>
    <t>Melting_Curves/meltCurve_sp_Q86YZ3_HORN_HUMAN_.pdf</t>
  </si>
  <si>
    <t>Melting_Curves/meltCurve_sp_Q8IU81_I2BP1_HUMAN_.pdf</t>
  </si>
  <si>
    <t>Melting_Curves/meltCurve_sp_Q8IUD2_RB6I2_HUMAN_.pdf</t>
  </si>
  <si>
    <t>Melting_Curves/meltCurve_sp_Q8IUR7_7_ARMC8_HUMAN_.pdf</t>
  </si>
  <si>
    <t>Melting_Curves/meltCurve_sp_Q8IUZ5_AT2L2_HUMAN_.pdf</t>
  </si>
  <si>
    <t>Melting_Curves/meltCurve_sp_Q8IV08_PLD3_HUMAN_.pdf</t>
  </si>
  <si>
    <t>Melting_Curves/meltCurve_sp_Q8IV38_ANKY2_HUMAN_.pdf</t>
  </si>
  <si>
    <t>Melting_Curves/meltCurve_sp_Q8IV50_LYSM2_HUMAN_.pdf</t>
  </si>
  <si>
    <t>Melting_Curves/meltCurve_sp_Q8IVD9_NUDC3_HUMAN_.pdf</t>
  </si>
  <si>
    <t>Melting_Curves/meltCurve_sp_Q8IVF2_3_AHNK2_HUMAN_.pdf</t>
  </si>
  <si>
    <t>Melting_Curves/meltCurve_sp_Q8IVH4_MMAA_HUMAN_.pdf</t>
  </si>
  <si>
    <t>Melting_Curves/meltCurve_sp_Q8IVM0_CCD50_HUMAN_.pdf</t>
  </si>
  <si>
    <t>Melting_Curves/meltCurve_sp_Q8IVS2_FABD_HUMAN_.pdf</t>
  </si>
  <si>
    <t>Melting_Curves/meltCurve_sp_Q8IVS8_GLCTK_HUMAN_.pdf</t>
  </si>
  <si>
    <t>Melting_Curves/meltCurve_sp_Q8IW45_NNRD_HUMAN_.pdf</t>
  </si>
  <si>
    <t>Melting_Curves/meltCurve_sp_Q8IWB9_TEX2_HUMAN_.pdf</t>
  </si>
  <si>
    <t>Melting_Curves/meltCurve_sp_Q8IWE2_NXP20_HUMAN_.pdf</t>
  </si>
  <si>
    <t>Melting_Curves/meltCurve_sp_Q8IWJ2_GCC2_HUMAN_.pdf</t>
  </si>
  <si>
    <t>Melting_Curves/meltCurve_sp_Q8IWL3_HSC20_HUMAN_.pdf</t>
  </si>
  <si>
    <t>Melting_Curves/meltCurve_sp_Q8IWU2_LMTK2_HUMAN_.pdf</t>
  </si>
  <si>
    <t>Melting_Curves/meltCurve_sp_Q8IWV8_4_UBR2_HUMAN_.pdf</t>
  </si>
  <si>
    <t>Melting_Curves/meltCurve_sp_Q8IWW6_2_RHG12_HUMAN_.pdf</t>
  </si>
  <si>
    <t>Melting_Curves/meltCurve_sp_Q8IWW8_HOT_HUMAN_.pdf</t>
  </si>
  <si>
    <t>Melting_Curves/meltCurve_sp_Q8IWX8_CHERP_HUMAN_.pdf</t>
  </si>
  <si>
    <t>Melting_Curves/meltCurve_sp_Q8IWZ3_ANKH1_HUMAN_.pdf</t>
  </si>
  <si>
    <t>Melting_Curves/meltCurve_sp_Q8IWZ8_SUGP1_HUMAN_.pdf</t>
  </si>
  <si>
    <t>Melting_Curves/meltCurve_sp_Q8IX07_FOG1_HUMAN_.pdf</t>
  </si>
  <si>
    <t>Melting_Curves/meltCurve_sp_Q8IX12_2_CCAR1_HUMAN_.pdf</t>
  </si>
  <si>
    <t>Melting_Curves/meltCurve_sp_Q8IXH7_4_NELFD_HUMAN_.pdf</t>
  </si>
  <si>
    <t>Melting_Curves/meltCurve_sp_Q8IXJ6_2_SIR2_HUMAN_.pdf</t>
  </si>
  <si>
    <t>Melting_Curves/meltCurve_sp_Q8IXQ4_K1704_HUMAN_.pdf</t>
  </si>
  <si>
    <t>Melting_Curves/meltCurve_sp_Q8IXQ6_2_PARP9_HUMAN_.pdf</t>
  </si>
  <si>
    <t>Melting_Curves/meltCurve_sp_Q8IY50_2_S35F3_HUMAN_.pdf</t>
  </si>
  <si>
    <t>Melting_Curves/meltCurve_sp_Q8IY81_SPB1_HUMAN_.pdf</t>
  </si>
  <si>
    <t>Melting_Curves/meltCurve_sp_Q8IYA8_2_CCD36_HUMAN_.pdf</t>
  </si>
  <si>
    <t>Melting_Curves/meltCurve_sp_Q8IYB5_3_SMAP1_HUMAN_.pdf</t>
  </si>
  <si>
    <t>Melting_Curves/meltCurve_sp_Q8IYB7_DI3L2_HUMAN_.pdf</t>
  </si>
  <si>
    <t>Melting_Curves/meltCurve_sp_Q8IYB8_SUV3_HUMAN_.pdf</t>
  </si>
  <si>
    <t>Melting_Curves/meltCurve_sp_Q8IYD1_ERF3B_HUMAN_.pdf</t>
  </si>
  <si>
    <t>Melting_Curves/meltCurve_sp_Q8IYI6_EXOC8_HUMAN_.pdf</t>
  </si>
  <si>
    <t>Melting_Curves/meltCurve_sp_Q8IYQ7_THNS1_HUMAN_.pdf</t>
  </si>
  <si>
    <t>Melting_Curves/meltCurve_sp_Q8IYT4_KATL2_HUMAN_.pdf</t>
  </si>
  <si>
    <t>Melting_Curves/meltCurve_sp_Q8IZ41_RASEF_HUMAN_.pdf</t>
  </si>
  <si>
    <t>Melting_Curves/meltCurve_sp_Q8IZ69_TRM2A_HUMAN_.pdf</t>
  </si>
  <si>
    <t>Melting_Curves/meltCurve_sp_Q8IZ83_A16A1_HUMAN_.pdf</t>
  </si>
  <si>
    <t>Melting_Curves/meltCurve_sp_Q8IZP0_10_ABI1_HUMAN_.pdf</t>
  </si>
  <si>
    <t>Melting_Curves/meltCurve_sp_Q8IZV5_RDH10_HUMAN_.pdf</t>
  </si>
  <si>
    <t>Melting_Curves/meltCurve_sp_Q8N0U4_F185A_HUMAN_.pdf</t>
  </si>
  <si>
    <t>Melting_Curves/meltCurve_sp_Q8N0W3_FUK_HUMAN_.pdf</t>
  </si>
  <si>
    <t>Melting_Curves/meltCurve_sp_Q8N0X4_CLYBL_HUMAN_.pdf</t>
  </si>
  <si>
    <t>Melting_Curves/meltCurve_sp_Q8N0X7_SPG20_HUMAN_.pdf</t>
  </si>
  <si>
    <t>Melting_Curves/meltCurve_sp_Q8N129_CNPY4_HUMAN_.pdf</t>
  </si>
  <si>
    <t>Melting_Curves/meltCurve_sp_Q8N142_PURA1_HUMAN_.pdf</t>
  </si>
  <si>
    <t>Melting_Curves/meltCurve_sp_Q8N163_K1967_HUMAN_.pdf</t>
  </si>
  <si>
    <t>Melting_Curves/meltCurve_sp_Q8N1B4_VPS52_HUMAN_.pdf</t>
  </si>
  <si>
    <t>Melting_Curves/meltCurve_sp_Q8N1F7_NUP93_HUMAN_.pdf</t>
  </si>
  <si>
    <t>Melting_Curves/meltCurve_sp_Q8N1G2_MTR1_HUMAN_.pdf</t>
  </si>
  <si>
    <t>Melting_Curves/meltCurve_sp_Q8N1G4_LRC47_HUMAN_.pdf</t>
  </si>
  <si>
    <t>Melting_Curves/meltCurve_sp_Q8N1I0_DOCK4_HUMAN_.pdf</t>
  </si>
  <si>
    <t>Melting_Curves/meltCurve_sp_Q8N1N4_K2C78_HUMAN_.pdf</t>
  </si>
  <si>
    <t>Melting_Curves/meltCurve_sp_Q8N371_KDM8_HUMAN_.pdf</t>
  </si>
  <si>
    <t>Melting_Curves/meltCurve_sp_Q8N3D4_EH1L1_HUMAN_.pdf</t>
  </si>
  <si>
    <t>Melting_Curves/meltCurve_sp_Q8N3V7_2_SYNPO_HUMAN_.pdf</t>
  </si>
  <si>
    <t>Melting_Curves/meltCurve_sp_Q8N465_D2HDH_HUMAN_.pdf</t>
  </si>
  <si>
    <t>Melting_Curves/meltCurve_sp_Q8N490_4_PNKD_HUMAN_.pdf</t>
  </si>
  <si>
    <t>Melting_Curves/meltCurve_sp_Q8N4C8_2_MINK1_HUMAN_.pdf</t>
  </si>
  <si>
    <t>Melting_Curves/meltCurve_sp_Q8N4J0_CI041_HUMAN_.pdf</t>
  </si>
  <si>
    <t>Melting_Curves/meltCurve_sp_Q8N4P3_MESH1_HUMAN_.pdf</t>
  </si>
  <si>
    <t>Melting_Curves/meltCurve_sp_Q8N4Q0_ZADH2_HUMAN_.pdf</t>
  </si>
  <si>
    <t>Melting_Curves/meltCurve_sp_Q8N4Q1_MIA40_HUMAN_.pdf</t>
  </si>
  <si>
    <t>Melting_Curves/meltCurve_sp_Q8N4T8_CBR4_HUMAN_.pdf</t>
  </si>
  <si>
    <t>Melting_Curves/meltCurve_sp_Q8N573_2_OXR1_HUMAN_.pdf</t>
  </si>
  <si>
    <t>Melting_Curves/meltCurve_sp_Q8N5G2_MACOI_HUMAN_.pdf</t>
  </si>
  <si>
    <t>Melting_Curves/meltCurve_sp_Q8N5M1_ATPF2_HUMAN_.pdf</t>
  </si>
  <si>
    <t>Melting_Curves/meltCurve_sp_Q8N5N7_RM50_HUMAN_.pdf</t>
  </si>
  <si>
    <t>Melting_Curves/meltCurve_sp_Q8N5V2_NGEF_HUMAN_.pdf</t>
  </si>
  <si>
    <t>Melting_Curves/meltCurve_sp_Q8N5Z0_AADAT_HUMAN_.pdf</t>
  </si>
  <si>
    <t>Melting_Curves/meltCurve_sp_Q8N612_F16A2_HUMAN_.pdf</t>
  </si>
  <si>
    <t>Melting_Curves/meltCurve_sp_Q8N684_2_CPSF7_HUMAN_.pdf</t>
  </si>
  <si>
    <t>Melting_Curves/meltCurve_sp_Q8N6H7_ARFG2_HUMAN_.pdf</t>
  </si>
  <si>
    <t>Melting_Curves/meltCurve_sp_Q8N8N7_PTGR2_HUMAN_.pdf</t>
  </si>
  <si>
    <t>Melting_Curves/meltCurve_sp_Q8N8S7_ENAH_HUMAN_.pdf</t>
  </si>
  <si>
    <t>Melting_Curves/meltCurve_sp_Q8N999_3_CL029_HUMAN_.pdf</t>
  </si>
  <si>
    <t>Melting_Curves/meltCurve_sp_Q8N9L9_ACOT4_HUMAN_.pdf</t>
  </si>
  <si>
    <t>Melting_Curves/meltCurve_sp_Q8NB37_PDDC1_HUMAN_.pdf</t>
  </si>
  <si>
    <t>Melting_Curves/meltCurve_sp_Q8NBF2_NHLC2_HUMAN_.pdf</t>
  </si>
  <si>
    <t>Melting_Curves/meltCurve_sp_Q8NBJ4_2_GOLM1_HUMAN_.pdf</t>
  </si>
  <si>
    <t>Melting_Curves/meltCurve_sp_Q8NBJ7_SUMF2_HUMAN_.pdf</t>
  </si>
  <si>
    <t>Melting_Curves/meltCurve_sp_Q8NBX0_SCPDL_HUMAN_.pdf</t>
  </si>
  <si>
    <t>Melting_Curves/meltCurve_sp_Q8NC51_4_PAIRB_HUMAN_.pdf</t>
  </si>
  <si>
    <t>Melting_Curves/meltCurve_sp_Q8NC96_NECP1_HUMAN_.pdf</t>
  </si>
  <si>
    <t>Melting_Curves/meltCurve_sp_Q8NCA5_2_FA98A_HUMAN_.pdf</t>
  </si>
  <si>
    <t>Melting_Curves/meltCurve_sp_Q8NCC3_PAG15_HUMAN_.pdf</t>
  </si>
  <si>
    <t>Melting_Curves/meltCurve_sp_Q8NCN4_RN169_HUMAN_.pdf</t>
  </si>
  <si>
    <t>Melting_Curves/meltCurve_sp_Q8NCN5_PDPR_HUMAN_.pdf</t>
  </si>
  <si>
    <t>Melting_Curves/meltCurve_sp_Q8NCW5_NNRE_HUMAN_.pdf</t>
  </si>
  <si>
    <t>Melting_Curves/meltCurve_sp_Q8ND24_RN214_HUMAN_.pdf</t>
  </si>
  <si>
    <t>Melting_Curves/meltCurve_sp_Q8ND30_LIPB2_HUMAN_.pdf</t>
  </si>
  <si>
    <t>Melting_Curves/meltCurve_sp_Q8ND76_3_CCNY_HUMAN_.pdf</t>
  </si>
  <si>
    <t>Melting_Curves/meltCurve_sp_Q8NDH3_2_PEPL1_HUMAN_.pdf</t>
  </si>
  <si>
    <t>Melting_Curves/meltCurve_sp_Q8NDI1_3_EHBP1_HUMAN_.pdf</t>
  </si>
  <si>
    <t>Melting_Curves/meltCurve_sp_Q8NE62_CHDH_HUMAN_.pdf</t>
  </si>
  <si>
    <t>Melting_Curves/meltCurve_sp_Q8NE71_2_ABCF1_HUMAN_.pdf</t>
  </si>
  <si>
    <t>Melting_Curves/meltCurve_sp_Q8NEB9_PK3C3_HUMAN_.pdf</t>
  </si>
  <si>
    <t>Melting_Curves/meltCurve_sp_Q8NEZ5_FBX22_HUMAN_.pdf</t>
  </si>
  <si>
    <t>Melting_Curves/meltCurve_sp_Q8NFC6_BD1L1_HUMAN_.pdf</t>
  </si>
  <si>
    <t>Melting_Curves/meltCurve_sp_Q8NFF5_2_FAD1_HUMAN_.pdf</t>
  </si>
  <si>
    <t>Melting_Curves/meltCurve_sp_Q8NFH3_NUP43_HUMAN_.pdf</t>
  </si>
  <si>
    <t>Melting_Curves/meltCurve_sp_Q8NFH4_NUP37_HUMAN_.pdf</t>
  </si>
  <si>
    <t>Melting_Curves/meltCurve_sp_Q8NFH8_4_REPS2_HUMAN_.pdf</t>
  </si>
  <si>
    <t>Melting_Curves/meltCurve_sp_Q8NFI3_ENASE_HUMAN_.pdf</t>
  </si>
  <si>
    <t>Melting_Curves/meltCurve_sp_Q8NFQ8_TOIP2_HUMAN_.pdf</t>
  </si>
  <si>
    <t>Melting_Curves/meltCurve_sp_Q8NFU3_4_TSTD1_HUMAN_.pdf</t>
  </si>
  <si>
    <t>Melting_Curves/meltCurve_sp_Q8NFU3_TSTD1_HUMAN_.pdf</t>
  </si>
  <si>
    <t>Melting_Curves/meltCurve_sp_Q8NFV4_ABHDB_HUMAN_.pdf</t>
  </si>
  <si>
    <t>Melting_Curves/meltCurve_sp_Q8NFW8_NEUA_HUMAN_.pdf</t>
  </si>
  <si>
    <t>Melting_Curves/meltCurve_sp_Q8NHG8_ZNRF2_HUMAN_.pdf</t>
  </si>
  <si>
    <t>Melting_Curves/meltCurve_sp_Q8NHH9_2_ATLA2_HUMAN_.pdf</t>
  </si>
  <si>
    <t>Melting_Curves/meltCurve_sp_Q8NHM4_TRY6_HUMAN_.pdf</t>
  </si>
  <si>
    <t>Melting_Curves/meltCurve_sp_Q8NI08_2_NCOA7_HUMAN_.pdf</t>
  </si>
  <si>
    <t>Melting_Curves/meltCurve_sp_Q8NI27_THOC2_HUMAN_.pdf</t>
  </si>
  <si>
    <t>Melting_Curves/meltCurve_sp_Q8NI60_ADCK3_HUMAN_.pdf</t>
  </si>
  <si>
    <t>Melting_Curves/meltCurve_sp_Q8TAE8_G45IP_HUMAN_.pdf</t>
  </si>
  <si>
    <t>Melting_Curves/meltCurve_sp_Q8TAQ2_2_SMRC2_HUMAN_.pdf</t>
  </si>
  <si>
    <t>Melting_Curves/meltCurve_sp_Q8TAT6_NPL4_HUMAN_.pdf</t>
  </si>
  <si>
    <t>Melting_Curves/meltCurve_sp_Q8TB03_CX038_HUMAN_.pdf</t>
  </si>
  <si>
    <t>Melting_Curves/meltCurve_sp_Q8TB22_SPT20_HUMAN_.pdf</t>
  </si>
  <si>
    <t>Melting_Curves/meltCurve_sp_Q8TB45_DPTOR_HUMAN_.pdf</t>
  </si>
  <si>
    <t>Melting_Curves/meltCurve_sp_Q8TBA6_2_GOGA5_HUMAN_.pdf</t>
  </si>
  <si>
    <t>Melting_Curves/meltCurve_sp_Q8TBC4_UBA3_HUMAN_.pdf</t>
  </si>
  <si>
    <t>Melting_Curves/meltCurve_sp_Q8TBC5_ZSC18_HUMAN_.pdf</t>
  </si>
  <si>
    <t>Melting_Curves/meltCurve_sp_Q8TBG4_2_AT2L1_HUMAN_.pdf</t>
  </si>
  <si>
    <t>Melting_Curves/meltCurve_sp_Q8TBX8_PI42C_HUMAN_.pdf</t>
  </si>
  <si>
    <t>Melting_Curves/meltCurve_sp_Q8TC07_2_TBC15_HUMAN_.pdf</t>
  </si>
  <si>
    <t>Melting_Curves/meltCurve_sp_Q8TC12_RDH11_HUMAN_.pdf</t>
  </si>
  <si>
    <t>Melting_Curves/meltCurve_sp_Q8TCD5_NT5C_HUMAN_.pdf</t>
  </si>
  <si>
    <t>Melting_Curves/meltCurve_sp_Q8TCE6_2_FA45A_HUMAN_.pdf</t>
  </si>
  <si>
    <t>Melting_Curves/meltCurve_sp_Q8TCS8_PNPT1_HUMAN_.pdf</t>
  </si>
  <si>
    <t>Melting_Curves/meltCurve_sp_Q8TD16_BICD2_HUMAN_.pdf</t>
  </si>
  <si>
    <t>Melting_Curves/meltCurve_sp_Q8TD19_NEK9_HUMAN_.pdf</t>
  </si>
  <si>
    <t>Melting_Curves/meltCurve_sp_Q8TD30_ALAT2_HUMAN_.pdf</t>
  </si>
  <si>
    <t>Melting_Curves/meltCurve_sp_Q8TDB6_DTX3L_HUMAN_.pdf</t>
  </si>
  <si>
    <t>Melting_Curves/meltCurve_sp_Q8TDD1_DDX54_HUMAN_.pdf</t>
  </si>
  <si>
    <t>Melting_Curves/meltCurve_sp_Q8TDH9_2_BL1S5_HUMAN_.pdf</t>
  </si>
  <si>
    <t>Melting_Curves/meltCurve_sp_Q8TDX5_ACMSD_HUMAN_.pdf</t>
  </si>
  <si>
    <t>Melting_Curves/meltCurve_sp_Q8TE04_PANK1_HUMAN_.pdf</t>
  </si>
  <si>
    <t>Melting_Curves/meltCurve_sp_Q8TE77_SSH3_HUMAN_.pdf</t>
  </si>
  <si>
    <t>Melting_Curves/meltCurve_sp_Q8TEA1_NSUN6_HUMAN_.pdf</t>
  </si>
  <si>
    <t>Melting_Curves/meltCurve_sp_Q8TEB1_2_DCA11_HUMAN_.pdf</t>
  </si>
  <si>
    <t>Melting_Curves/meltCurve_sp_Q8TEH3_DEN1A_HUMAN_.pdf</t>
  </si>
  <si>
    <t>Melting_Curves/meltCurve_sp_Q8TEQ6_GEMI5_HUMAN_.pdf</t>
  </si>
  <si>
    <t>Melting_Curves/meltCurve_sp_Q8TER5_4_ARH40_HUMAN_.pdf</t>
  </si>
  <si>
    <t>Melting_Curves/meltCurve_sp_Q8TEW0_5_PARD3_HUMAN_.pdf</t>
  </si>
  <si>
    <t>Melting_Curves/meltCurve_sp_Q8TEX9_IPO4_HUMAN_.pdf</t>
  </si>
  <si>
    <t>Melting_Curves/meltCurve_sp_Q8TF65_GIPC2_HUMAN_.pdf</t>
  </si>
  <si>
    <t>Melting_Curves/meltCurve_sp_Q8TF74_WIPF2_HUMAN_.pdf</t>
  </si>
  <si>
    <t>Melting_Curves/meltCurve_sp_Q8WTS6_SETD7_HUMAN_.pdf</t>
  </si>
  <si>
    <t>Melting_Curves/meltCurve_sp_Q8WU39_3_MZB1_HUMAN_.pdf</t>
  </si>
  <si>
    <t>Melting_Curves/meltCurve_sp_Q8WU79_3_SMAP2_HUMAN_.pdf</t>
  </si>
  <si>
    <t>Melting_Curves/meltCurve_sp_Q8WU90_ZC3HF_HUMAN_.pdf</t>
  </si>
  <si>
    <t>Melting_Curves/meltCurve_sp_Q8WUA2_PPIL4_HUMAN_.pdf</t>
  </si>
  <si>
    <t>Melting_Curves/meltCurve_sp_Q8WUM4_PDC6I_HUMAN_.pdf</t>
  </si>
  <si>
    <t>Melting_Curves/meltCurve_sp_Q8WUR7_CO040_HUMAN_.pdf</t>
  </si>
  <si>
    <t>Melting_Curves/meltCurve_sp_Q8WUW1_BRK1_HUMAN_.pdf</t>
  </si>
  <si>
    <t>Melting_Curves/meltCurve_sp_Q8WUX9_CHMP7_HUMAN_.pdf</t>
  </si>
  <si>
    <t>Melting_Curves/meltCurve_sp_Q8WV28_BLNK_HUMAN_.pdf</t>
  </si>
  <si>
    <t>Melting_Curves/meltCurve_sp_Q8WV41_SNX33_HUMAN_.pdf</t>
  </si>
  <si>
    <t>Melting_Curves/meltCurve_sp_Q8WV74_NUDT8_HUMAN_.pdf</t>
  </si>
  <si>
    <t>Melting_Curves/meltCurve_sp_Q8WV99_2_ZFN2B_HUMAN_.pdf</t>
  </si>
  <si>
    <t>Melting_Curves/meltCurve_sp_Q8WVB3_HEXDC_HUMAN_.pdf</t>
  </si>
  <si>
    <t>Melting_Curves/meltCurve_sp_Q8WVC0_LEO1_HUMAN_.pdf</t>
  </si>
  <si>
    <t>Melting_Curves/meltCurve_sp_Q8WVJ2_NUDC2_HUMAN_.pdf</t>
  </si>
  <si>
    <t>Melting_Curves/meltCurve_sp_Q8WVM8_SCFD1_HUMAN_.pdf</t>
  </si>
  <si>
    <t>Melting_Curves/meltCurve_sp_Q8WVP5_TP8L1_HUMAN_.pdf</t>
  </si>
  <si>
    <t>Melting_Curves/meltCurve_sp_Q8WVT3_TPC12_HUMAN_.pdf</t>
  </si>
  <si>
    <t>Melting_Curves/meltCurve_sp_Q8WVY7_UBCP1_HUMAN_.pdf</t>
  </si>
  <si>
    <t>Melting_Curves/meltCurve_sp_Q8WW12_PCNP_HUMAN_.pdf</t>
  </si>
  <si>
    <t>Melting_Curves/meltCurve_sp_Q8WW59_SPRY4_HUMAN_.pdf</t>
  </si>
  <si>
    <t>Melting_Curves/meltCurve_sp_Q8WWM7_ATX2L_HUMAN_.pdf</t>
  </si>
  <si>
    <t>Melting_Curves/meltCurve_sp_Q8WWV3_2_RT4I1_HUMAN_.pdf</t>
  </si>
  <si>
    <t>Melting_Curves/meltCurve_sp_Q8WX92_NELFB_HUMAN_.pdf</t>
  </si>
  <si>
    <t>Melting_Curves/meltCurve_sp_Q8WXE0_CSKI2_HUMAN_.pdf</t>
  </si>
  <si>
    <t>Melting_Curves/meltCurve_sp_Q8WXF1_PSPC1_HUMAN_.pdf</t>
  </si>
  <si>
    <t>Melting_Curves/meltCurve_sp_Q8WXH0_SYNE2_HUMAN_.pdf</t>
  </si>
  <si>
    <t>Melting_Curves/meltCurve_sp_Q8WXX5_DNJC9_HUMAN_.pdf</t>
  </si>
  <si>
    <t>Melting_Curves/meltCurve_sp_Q8WY91_2_THAP4_HUMAN_.pdf</t>
  </si>
  <si>
    <t>Melting_Curves/meltCurve_sp_Q8WYK0_ACO12_HUMAN_.pdf</t>
  </si>
  <si>
    <t>Melting_Curves/meltCurve_sp_Q8WYP5_ELYS_HUMAN_.pdf</t>
  </si>
  <si>
    <t>Melting_Curves/meltCurve_sp_Q8WZ42_5_TITIN_HUMAN_.pdf</t>
  </si>
  <si>
    <t>Melting_Curves/meltCurve_sp_Q8WZ82_OVCA2_HUMAN_.pdf</t>
  </si>
  <si>
    <t>Melting_Curves/meltCurve_sp_Q8WZA0_LZIC_HUMAN_.pdf</t>
  </si>
  <si>
    <t>Melting_Curves/meltCurve_sp_Q8WZA9_IRGQ_HUMAN_.pdf</t>
  </si>
  <si>
    <t>Melting_Curves/meltCurve_sp_Q92499_DDX1_HUMAN_.pdf</t>
  </si>
  <si>
    <t>Melting_Curves/meltCurve_sp_Q92506_DHB8_HUMAN_.pdf</t>
  </si>
  <si>
    <t>Melting_Curves/meltCurve_sp_Q92526_TCPW_HUMAN_.pdf</t>
  </si>
  <si>
    <t>Melting_Curves/meltCurve_sp_Q92538_GBF1_HUMAN_.pdf</t>
  </si>
  <si>
    <t>Melting_Curves/meltCurve_sp_Q92541_RTF1_HUMAN_.pdf</t>
  </si>
  <si>
    <t>Melting_Curves/meltCurve_sp_Q92552_RT27_HUMAN_.pdf</t>
  </si>
  <si>
    <t>Melting_Curves/meltCurve_sp_Q92556_ELMO1_HUMAN_.pdf</t>
  </si>
  <si>
    <t>Melting_Curves/meltCurve_sp_Q92572_AP3S1_HUMAN_.pdf</t>
  </si>
  <si>
    <t>Melting_Curves/meltCurve_sp_Q92575_UBXN4_HUMAN_.pdf</t>
  </si>
  <si>
    <t>Melting_Curves/meltCurve_sp_Q92576_2_PHF3_HUMAN_.pdf</t>
  </si>
  <si>
    <t>Melting_Curves/meltCurve_sp_Q92597_NDRG1_HUMAN_.pdf</t>
  </si>
  <si>
    <t>Melting_Curves/meltCurve_sp_Q92598_2_HS105_HUMAN_.pdf</t>
  </si>
  <si>
    <t>Melting_Curves/meltCurve_sp_Q92599_2_SEPT8_HUMAN_.pdf</t>
  </si>
  <si>
    <t>Melting_Curves/meltCurve_sp_Q92600_RCD1_HUMAN_.pdf</t>
  </si>
  <si>
    <t>Melting_Curves/meltCurve_sp_Q92609_TBCD5_HUMAN_.pdf</t>
  </si>
  <si>
    <t>Melting_Curves/meltCurve_sp_Q92614_4_MY18A_HUMAN_.pdf</t>
  </si>
  <si>
    <t>Melting_Curves/meltCurve_sp_Q92615_LAR4B_HUMAN_.pdf</t>
  </si>
  <si>
    <t>Melting_Curves/meltCurve_sp_Q92616_GCN1L_HUMAN_.pdf</t>
  </si>
  <si>
    <t>Melting_Curves/meltCurve_sp_Q92621_NU205_HUMAN_.pdf</t>
  </si>
  <si>
    <t>Melting_Curves/meltCurve_sp_Q92665_RT31_HUMAN_.pdf</t>
  </si>
  <si>
    <t>Melting_Curves/meltCurve_sp_Q92667_AKAP1_HUMAN_.pdf</t>
  </si>
  <si>
    <t>Melting_Curves/meltCurve_sp_Q92688_2_AN32B_HUMAN_.pdf</t>
  </si>
  <si>
    <t>Melting_Curves/meltCurve_sp_Q92696_PGTA_HUMAN_.pdf</t>
  </si>
  <si>
    <t>Melting_Curves/meltCurve_sp_Q92734_2_TFG_HUMAN_.pdf</t>
  </si>
  <si>
    <t>Melting_Curves/meltCurve_sp_Q92747_ARC1A_HUMAN_.pdf</t>
  </si>
  <si>
    <t>Melting_Curves/meltCurve_sp_Q92766_3_RREB1_HUMAN_.pdf</t>
  </si>
  <si>
    <t>Melting_Curves/meltCurve_sp_Q92783_2_STAM1_HUMAN_.pdf</t>
  </si>
  <si>
    <t>Melting_Curves/meltCurve_sp_Q92793_CBP_HUMAN_.pdf</t>
  </si>
  <si>
    <t>Melting_Curves/meltCurve_sp_Q92797_SYMPK_HUMAN_.pdf</t>
  </si>
  <si>
    <t>Melting_Curves/meltCurve_sp_Q92805_GOGA1_HUMAN_.pdf</t>
  </si>
  <si>
    <t>Melting_Curves/meltCurve_sp_Q92820_GGH_HUMAN_.pdf</t>
  </si>
  <si>
    <t>Melting_Curves/meltCurve_sp_Q92841_DDX17_HUMAN_.pdf</t>
  </si>
  <si>
    <t>Melting_Curves/meltCurve_sp_Q92878_RAD50_HUMAN_.pdf</t>
  </si>
  <si>
    <t>Melting_Curves/meltCurve_sp_Q92879_5_CELF1_HUMAN_.pdf</t>
  </si>
  <si>
    <t>Melting_Curves/meltCurve_sp_Q92882_OSTF1_HUMAN_.pdf</t>
  </si>
  <si>
    <t>Melting_Curves/meltCurve_sp_Q92888_2_ARHG1_HUMAN_.pdf</t>
  </si>
  <si>
    <t>Melting_Curves/meltCurve_sp_Q92890_3_UFD1_HUMAN_.pdf</t>
  </si>
  <si>
    <t>Melting_Curves/meltCurve_sp_Q92900_2_RENT1_HUMAN_.pdf</t>
  </si>
  <si>
    <t>Melting_Curves/meltCurve_sp_Q92905_CSN5_HUMAN_.pdf</t>
  </si>
  <si>
    <t>Melting_Curves/meltCurve_sp_Q92917_GPKOW_HUMAN_.pdf</t>
  </si>
  <si>
    <t>Melting_Curves/meltCurve_sp_Q92934_BAD_HUMAN_.pdf</t>
  </si>
  <si>
    <t>Melting_Curves/meltCurve_sp_Q92945_FUBP2_HUMAN_.pdf</t>
  </si>
  <si>
    <t>Melting_Curves/meltCurve_sp_Q92947_GCDH_HUMAN_.pdf</t>
  </si>
  <si>
    <t>Melting_Curves/meltCurve_sp_Q92973_2_TNPO1_HUMAN_.pdf</t>
  </si>
  <si>
    <t>Melting_Curves/meltCurve_sp_Q93008_1_USP9X_HUMAN_.pdf</t>
  </si>
  <si>
    <t>Melting_Curves/meltCurve_sp_Q93034_CUL5_HUMAN_.pdf</t>
  </si>
  <si>
    <t>Melting_Curves/meltCurve_sp_Q93052_LPP_HUMAN_.pdf</t>
  </si>
  <si>
    <t>Melting_Curves/meltCurve_sp_Q93073_2_SBP2L_HUMAN_.pdf</t>
  </si>
  <si>
    <t>Melting_Curves/meltCurve_sp_Q93077_H2A1C_HUMAN_.pdf</t>
  </si>
  <si>
    <t>Melting_Curves/meltCurve_sp_Q93088_BHMT1_HUMAN_.pdf</t>
  </si>
  <si>
    <t>Melting_Curves/meltCurve_sp_Q93096_TP4A1_HUMAN_.pdf</t>
  </si>
  <si>
    <t>Melting_Curves/meltCurve_sp_Q93099_HGD_HUMAN_.pdf</t>
  </si>
  <si>
    <t>Melting_Curves/meltCurve_sp_Q93100_4_KPBB_HUMAN_.pdf</t>
  </si>
  <si>
    <t>Melting_Curves/meltCurve_sp_Q969E4_TCAL3_HUMAN_.pdf</t>
  </si>
  <si>
    <t>Melting_Curves/meltCurve_sp_Q969G6_RIFK_HUMAN_.pdf</t>
  </si>
  <si>
    <t>Melting_Curves/meltCurve_sp_Q969H8_CS010_HUMAN_.pdf</t>
  </si>
  <si>
    <t>Melting_Curves/meltCurve_sp_Q969I3_GLYL1_HUMAN_.pdf</t>
  </si>
  <si>
    <t>Melting_Curves/meltCurve_sp_Q969Q0_RL36L_HUMAN_.pdf</t>
  </si>
  <si>
    <t>Melting_Curves/meltCurve_sp_Q969S9_2_RRF2M_HUMAN_.pdf</t>
  </si>
  <si>
    <t>Melting_Curves/meltCurve_sp_Q969Z0_TBRG4_HUMAN_.pdf</t>
  </si>
  <si>
    <t>Melting_Curves/meltCurve_sp_Q969Z3_MOSC2_HUMAN_.pdf</t>
  </si>
  <si>
    <t>Melting_Curves/meltCurve_sp_Q96A49_SYAP1_HUMAN_.pdf</t>
  </si>
  <si>
    <t>Melting_Curves/meltCurve_sp_Q96A65_EXOC4_HUMAN_.pdf</t>
  </si>
  <si>
    <t>Melting_Curves/meltCurve_sp_Q96AB3_ISOC2_HUMAN_.pdf</t>
  </si>
  <si>
    <t>Melting_Curves/meltCurve_sp_Q96AC1_FERM2_HUMAN_.pdf</t>
  </si>
  <si>
    <t>Melting_Curves/meltCurve_sp_Q96AE4_2_FUBP1_HUMAN_.pdf</t>
  </si>
  <si>
    <t>Melting_Curves/meltCurve_sp_Q96AG4_LRC59_HUMAN_.pdf</t>
  </si>
  <si>
    <t>Melting_Curves/meltCurve_sp_Q96AT1_K1143_HUMAN_.pdf</t>
  </si>
  <si>
    <t>Melting_Curves/meltCurve_sp_Q96B36_AKTS1_HUMAN_.pdf</t>
  </si>
  <si>
    <t>Melting_Curves/meltCurve_sp_Q96B45_CJ032_HUMAN_.pdf</t>
  </si>
  <si>
    <t>Melting_Curves/meltCurve_sp_Q96B54_ZN428_HUMAN_.pdf</t>
  </si>
  <si>
    <t>Melting_Curves/meltCurve_sp_Q96B97_SH3K1_HUMAN_.pdf</t>
  </si>
  <si>
    <t>Melting_Curves/meltCurve_sp_Q96BN8_F105B_HUMAN_.pdf</t>
  </si>
  <si>
    <t>Melting_Curves/meltCurve_sp_Q96BP2_CHCH1_HUMAN_.pdf</t>
  </si>
  <si>
    <t>Melting_Curves/meltCurve_sp_Q96BP3_PPWD1_HUMAN_.pdf</t>
  </si>
  <si>
    <t>Melting_Curves/meltCurve_sp_Q96BR5_SELR1_HUMAN_.pdf</t>
  </si>
  <si>
    <t>Melting_Curves/meltCurve_sp_Q96BW5_2_PTER_HUMAN_.pdf</t>
  </si>
  <si>
    <t>Melting_Curves/meltCurve_sp_Q96BY7_ATG2B_HUMAN_.pdf</t>
  </si>
  <si>
    <t>Melting_Curves/meltCurve_sp_Q96C01_F136A_HUMAN_.pdf</t>
  </si>
  <si>
    <t>Melting_Curves/meltCurve_sp_Q96C11_FGGY_HUMAN_.pdf</t>
  </si>
  <si>
    <t>Melting_Curves/meltCurve_sp_Q96C19_EFHD2_HUMAN_.pdf</t>
  </si>
  <si>
    <t>Melting_Curves/meltCurve_sp_Q96C23_GALM_HUMAN_.pdf</t>
  </si>
  <si>
    <t>Melting_Curves/meltCurve_sp_Q96C24_SYTL4_HUMAN_.pdf</t>
  </si>
  <si>
    <t>Melting_Curves/meltCurve_sp_Q96C86_DCPS_HUMAN_.pdf</t>
  </si>
  <si>
    <t>Melting_Curves/meltCurve_sp_Q96CF2_CHM4C_HUMAN_.pdf</t>
  </si>
  <si>
    <t>Melting_Curves/meltCurve_sp_Q96CN7_ISOC1_HUMAN_.pdf</t>
  </si>
  <si>
    <t>Melting_Curves/meltCurve_sp_Q96CP2_FWCH2_HUMAN_.pdf</t>
  </si>
  <si>
    <t>Melting_Curves/meltCurve_sp_Q96CS3_FAF2_HUMAN_.pdf</t>
  </si>
  <si>
    <t>Melting_Curves/meltCurve_sp_Q96CT7_CC124_HUMAN_.pdf</t>
  </si>
  <si>
    <t>Melting_Curves/meltCurve_sp_Q96CV9_OPTN_HUMAN_.pdf</t>
  </si>
  <si>
    <t>Melting_Curves/meltCurve_sp_Q96CW1_2_AP2M1_HUMAN_.pdf</t>
  </si>
  <si>
    <t>Melting_Curves/meltCurve_sp_Q96CW5_3_GCP3_HUMAN_.pdf</t>
  </si>
  <si>
    <t>Melting_Curves/meltCurve_sp_Q96CX2_KCD12_HUMAN_.pdf</t>
  </si>
  <si>
    <t>Melting_Curves/meltCurve_sp_Q96D46_NMD3_HUMAN_.pdf</t>
  </si>
  <si>
    <t>Melting_Curves/meltCurve_sp_Q96D71_2_REPS1_HUMAN_.pdf</t>
  </si>
  <si>
    <t>Melting_Curves/meltCurve_sp_Q96DC8_ECHD3_HUMAN_.pdf</t>
  </si>
  <si>
    <t>Melting_Curves/meltCurve_sp_Q96DE0_NUD16_HUMAN_.pdf</t>
  </si>
  <si>
    <t>Melting_Curves/meltCurve_sp_Q96DG6_CMBL_HUMAN_.pdf</t>
  </si>
  <si>
    <t>Melting_Curves/meltCurve_sp_Q96DR7_ARHGQ_HUMAN_.pdf</t>
  </si>
  <si>
    <t>Melting_Curves/meltCurve_sp_Q96DV4_RM38_HUMAN_.pdf</t>
  </si>
  <si>
    <t>Melting_Curves/meltCurve_sp_Q96E11_3_RRFM_HUMAN_.pdf</t>
  </si>
  <si>
    <t>Melting_Curves/meltCurve_sp_Q96E39_RMXL1_HUMAN_.pdf</t>
  </si>
  <si>
    <t>Melting_Curves/meltCurve_sp_Q96EB1_ELP4_HUMAN_.pdf</t>
  </si>
  <si>
    <t>Melting_Curves/meltCurve_sp_Q96ED9_2_HOOK2_HUMAN_.pdf</t>
  </si>
  <si>
    <t>Melting_Curves/meltCurve_sp_Q96EI5_TCAL4_HUMAN_.pdf</t>
  </si>
  <si>
    <t>Melting_Curves/meltCurve_sp_Q96EK6_GNA1_HUMAN_.pdf</t>
  </si>
  <si>
    <t>Melting_Curves/meltCurve_sp_Q96EM0_T3HPD_HUMAN_.pdf</t>
  </si>
  <si>
    <t>Melting_Curves/meltCurve_sp_Q96EN8_MOCOS_HUMAN_.pdf</t>
  </si>
  <si>
    <t>Melting_Curves/meltCurve_sp_Q96EP5_2_DAZP1_HUMAN_.pdf</t>
  </si>
  <si>
    <t>Melting_Curves/meltCurve_sp_Q96EV2_RBM33_HUMAN_.pdf</t>
  </si>
  <si>
    <t>Melting_Curves/meltCurve_sp_Q96EV8_DTBP1_HUMAN_.pdf</t>
  </si>
  <si>
    <t>Melting_Curves/meltCurve_sp_Q96EY7_PTCD3_HUMAN_.pdf</t>
  </si>
  <si>
    <t>Melting_Curves/meltCurve_sp_Q96EY8_MMAB_HUMAN_.pdf</t>
  </si>
  <si>
    <t>Melting_Curves/meltCurve_sp_Q96F10_SAT2_HUMAN_.pdf</t>
  </si>
  <si>
    <t>Melting_Curves/meltCurve_sp_Q96F24_2_NRBF2_HUMAN_.pdf</t>
  </si>
  <si>
    <t>Melting_Curves/meltCurve_sp_Q96FJ2_DYL2_HUMAN_.pdf</t>
  </si>
  <si>
    <t>Melting_Curves/meltCurve_sp_Q96FV2_SCRN2_HUMAN_.pdf</t>
  </si>
  <si>
    <t>Melting_Curves/meltCurve_sp_Q96FV9_THOC1_HUMAN_.pdf</t>
  </si>
  <si>
    <t>Melting_Curves/meltCurve_sp_Q96G03_PGM2_HUMAN_.pdf</t>
  </si>
  <si>
    <t>Melting_Curves/meltCurve_sp_Q96G46_DUS3L_HUMAN_.pdf</t>
  </si>
  <si>
    <t>Melting_Curves/meltCurve_sp_Q96GA7_SDSL_HUMAN_.pdf</t>
  </si>
  <si>
    <t>Melting_Curves/meltCurve_sp_Q96GD0_PLPP_HUMAN_.pdf</t>
  </si>
  <si>
    <t>Melting_Curves/meltCurve_sp_Q96GE6_CALL4_HUMAN_.pdf</t>
  </si>
  <si>
    <t>Melting_Curves/meltCurve_sp_Q96GF1_RN185_HUMAN_.pdf</t>
  </si>
  <si>
    <t>Melting_Curves/meltCurve_sp_Q96GG9_DCNL1_HUMAN_.pdf</t>
  </si>
  <si>
    <t>Melting_Curves/meltCurve_sp_Q96GK7_FAH2A_HUMAN_.pdf</t>
  </si>
  <si>
    <t>Melting_Curves/meltCurve_sp_Q96GS4_CQ059_HUMAN_.pdf</t>
  </si>
  <si>
    <t>Melting_Curves/meltCurve_sp_Q96GW9_SYMM_HUMAN_.pdf</t>
  </si>
  <si>
    <t>Melting_Curves/meltCurve_sp_Q96GX9_MTNB_HUMAN_.pdf</t>
  </si>
  <si>
    <t>Melting_Curves/meltCurve_sp_Q96H20_SNF8_HUMAN_.pdf</t>
  </si>
  <si>
    <t>Melting_Curves/meltCurve_sp_Q96HC4_PDLI5_HUMAN_.pdf</t>
  </si>
  <si>
    <t>Melting_Curves/meltCurve_sp_Q96HD9_ACY3_HUMAN_.pdf</t>
  </si>
  <si>
    <t>Melting_Curves/meltCurve_sp_Q96HE7_ERO1A_HUMAN_.pdf</t>
  </si>
  <si>
    <t>Melting_Curves/meltCurve_sp_Q96HJ9_2_CG055_HUMAN_.pdf</t>
  </si>
  <si>
    <t>Melting_Curves/meltCurve_sp_Q96HJ9_CG055_HUMAN_.pdf</t>
  </si>
  <si>
    <t>Melting_Curves/meltCurve_sp_Q96HP4_OXND1_HUMAN_.pdf</t>
  </si>
  <si>
    <t>Melting_Curves/meltCurve_sp_Q96HQ2_2_C2AIL_HUMAN_.pdf</t>
  </si>
  <si>
    <t>Melting_Curves/meltCurve_sp_Q96HR9_REEP6_HUMAN_.pdf</t>
  </si>
  <si>
    <t>Melting_Curves/meltCurve_sp_Q96HS1_PGAM5_HUMAN_.pdf</t>
  </si>
  <si>
    <t>Melting_Curves/meltCurve_sp_Q96HY6_2_DDRGK_HUMAN_.pdf</t>
  </si>
  <si>
    <t>Melting_Curves/meltCurve_sp_Q96HY7_DHTK1_HUMAN_.pdf</t>
  </si>
  <si>
    <t>Melting_Curves/meltCurve_sp_Q96I15_SCLY_HUMAN_.pdf</t>
  </si>
  <si>
    <t>Melting_Curves/meltCurve_sp_Q96I23_PREY_HUMAN_.pdf</t>
  </si>
  <si>
    <t>Melting_Curves/meltCurve_sp_Q96I24_FUBP3_HUMAN_.pdf</t>
  </si>
  <si>
    <t>Melting_Curves/meltCurve_sp_Q96I25_SPF45_HUMAN_.pdf</t>
  </si>
  <si>
    <t>Melting_Curves/meltCurve_sp_Q96I51_WBS16_HUMAN_.pdf</t>
  </si>
  <si>
    <t>Melting_Curves/meltCurve_sp_Q96I59_SYNM_HUMAN_.pdf</t>
  </si>
  <si>
    <t>Melting_Curves/meltCurve_sp_Q96I99_SUCB2_HUMAN_.pdf</t>
  </si>
  <si>
    <t>Melting_Curves/meltCurve_sp_Q96IJ6_GMPPA_HUMAN_.pdf</t>
  </si>
  <si>
    <t>Melting_Curves/meltCurve_sp_Q96IU4_ABHEB_HUMAN_.pdf</t>
  </si>
  <si>
    <t>Melting_Curves/meltCurve_sp_Q96IV0_3_NGLY1_HUMAN_.pdf</t>
  </si>
  <si>
    <t>Melting_Curves/meltCurve_sp_Q96IZ0_PAWR_HUMAN_.pdf</t>
  </si>
  <si>
    <t>Melting_Curves/meltCurve_sp_Q96JB2_COG3_HUMAN_.pdf</t>
  </si>
  <si>
    <t>Melting_Curves/meltCurve_sp_Q96JB5_2_CK5P3_HUMAN_.pdf</t>
  </si>
  <si>
    <t>Melting_Curves/meltCurve_sp_Q96JE7_SC16B_HUMAN_.pdf</t>
  </si>
  <si>
    <t>Melting_Curves/meltCurve_sp_Q96JG6_3_CC132_HUMAN_.pdf</t>
  </si>
  <si>
    <t>Melting_Curves/meltCurve_sp_Q96JH7_VCIP1_HUMAN_.pdf</t>
  </si>
  <si>
    <t>Melting_Curves/meltCurve_sp_Q96JQ2_CLMN_HUMAN_.pdf</t>
  </si>
  <si>
    <t>Melting_Curves/meltCurve_sp_Q96JY6_PDLI2_HUMAN_.pdf</t>
  </si>
  <si>
    <t>Melting_Curves/meltCurve_sp_Q96KC8_DNJC1_HUMAN_.pdf</t>
  </si>
  <si>
    <t>Melting_Curves/meltCurve_sp_Q96KG9_3_NTKL_HUMAN_.pdf</t>
  </si>
  <si>
    <t>Melting_Curves/meltCurve_sp_Q96KP1_EXOC2_HUMAN_.pdf</t>
  </si>
  <si>
    <t>Melting_Curves/meltCurve_sp_Q96KP4_CNDP2_HUMAN_.pdf</t>
  </si>
  <si>
    <t>Melting_Curves/meltCurve_sp_Q96KR1_ZFR_HUMAN_.pdf</t>
  </si>
  <si>
    <t>Melting_Curves/meltCurve_sp_Q96L92_SNX27_HUMAN_.pdf</t>
  </si>
  <si>
    <t>Melting_Curves/meltCurve_sp_Q96LD8_SENP8_HUMAN_.pdf</t>
  </si>
  <si>
    <t>Melting_Curves/meltCurve_sp_Q96LJ7_DHRS1_HUMAN_.pdf</t>
  </si>
  <si>
    <t>Melting_Curves/meltCurve_sp_Q96M20_2_CNBD2_HUMAN_.pdf</t>
  </si>
  <si>
    <t>Melting_Curves/meltCurve_sp_Q96M27_PRRC1_HUMAN_.pdf</t>
  </si>
  <si>
    <t>Melting_Curves/meltCurve_sp_Q96ME1_4_FXL18_HUMAN_.pdf</t>
  </si>
  <si>
    <t>Melting_Curves/meltCurve_sp_Q96MH2_HEXI2_HUMAN_.pdf</t>
  </si>
  <si>
    <t>Melting_Curves/meltCurve_sp_Q96MU7_2_YTDC1_HUMAN_.pdf</t>
  </si>
  <si>
    <t>Melting_Curves/meltCurve_sp_Q96MX6_2_WDR92_HUMAN_.pdf</t>
  </si>
  <si>
    <t>Melting_Curves/meltCurve_sp_Q96N76_HUTU_HUMAN_.pdf</t>
  </si>
  <si>
    <t>Melting_Curves/meltCurve_sp_Q96NA2_RILP_HUMAN_.pdf</t>
  </si>
  <si>
    <t>Melting_Curves/meltCurve_sp_Q96NC0_ZMAT2_HUMAN_.pdf</t>
  </si>
  <si>
    <t>Melting_Curves/meltCurve_sp_Q96NJ6_ZFP3_HUMAN_.pdf</t>
  </si>
  <si>
    <t>Melting_Curves/meltCurve_sp_Q96NU7_HUTI_HUMAN_.pdf</t>
  </si>
  <si>
    <t>Melting_Curves/meltCurve_sp_Q96P16_3_RPR1A_HUMAN_.pdf</t>
  </si>
  <si>
    <t>Melting_Curves/meltCurve_sp_Q96P70_IPO9_HUMAN_.pdf</t>
  </si>
  <si>
    <t>Melting_Curves/meltCurve_sp_Q96PE7_MCEE_HUMAN_.pdf</t>
  </si>
  <si>
    <t>Melting_Curves/meltCurve_sp_Q96PK6_RBM14_HUMAN_.pdf</t>
  </si>
  <si>
    <t>Melting_Curves/meltCurve_sp_Q96PM5_3_ZN363_HUMAN_.pdf</t>
  </si>
  <si>
    <t>Melting_Curves/meltCurve_sp_Q96PU8_5_QKI_HUMAN_.pdf</t>
  </si>
  <si>
    <t>Melting_Curves/meltCurve_sp_Q96Q05_3_TPPC9_HUMAN_.pdf</t>
  </si>
  <si>
    <t>Melting_Curves/meltCurve_sp_Q96Q06_2_PLIN4_HUMAN_.pdf</t>
  </si>
  <si>
    <t>Melting_Curves/meltCurve_sp_Q96Q11_2_TRNT1_HUMAN_.pdf</t>
  </si>
  <si>
    <t>Melting_Curves/meltCurve_sp_Q96QC0_PP1RA_HUMAN_.pdf</t>
  </si>
  <si>
    <t>Melting_Curves/meltCurve_sp_Q96QG7_MTMR9_HUMAN_.pdf</t>
  </si>
  <si>
    <t>Melting_Curves/meltCurve_sp_Q96QK1_VPS35_HUMAN_.pdf</t>
  </si>
  <si>
    <t>Melting_Curves/meltCurve_sp_Q96QR8_PURB_HUMAN_.pdf</t>
  </si>
  <si>
    <t>Melting_Curves/meltCurve_sp_Q96QZ7_7_MAGI1_HUMAN_.pdf</t>
  </si>
  <si>
    <t>Melting_Curves/meltCurve_sp_Q96RE7_NACC1_HUMAN_.pdf</t>
  </si>
  <si>
    <t>Melting_Curves/meltCurve_sp_Q96RF0_2_SNX18_HUMAN_.pdf</t>
  </si>
  <si>
    <t>Melting_Curves/meltCurve_sp_Q96RP9_EFGM_HUMAN_.pdf</t>
  </si>
  <si>
    <t>Melting_Curves/meltCurve_sp_Q96RQ3_MCCA_HUMAN_.pdf</t>
  </si>
  <si>
    <t>Melting_Curves/meltCurve_sp_Q96RS6_3_NUDC1_HUMAN_.pdf</t>
  </si>
  <si>
    <t>Melting_Curves/meltCurve_sp_Q96RW7_2_HMCN1_HUMAN_.pdf</t>
  </si>
  <si>
    <t>Melting_Curves/meltCurve_sp_Q96S19_CP013_HUMAN_.pdf</t>
  </si>
  <si>
    <t>Melting_Curves/meltCurve_sp_Q96S44_PRPK_HUMAN_.pdf</t>
  </si>
  <si>
    <t>Melting_Curves/meltCurve_sp_Q96S66_4_CLCC1_HUMAN_.pdf</t>
  </si>
  <si>
    <t>Melting_Curves/meltCurve_sp_Q96ST2_2_IWS1_HUMAN_.pdf</t>
  </si>
  <si>
    <t>Melting_Curves/meltCurve_sp_Q96ST3_SIN3A_HUMAN_.pdf</t>
  </si>
  <si>
    <t>Melting_Curves/meltCurve_sp_Q96SU4_7_OSBL9_HUMAN_.pdf</t>
  </si>
  <si>
    <t>Melting_Curves/meltCurve_sp_Q96SZ5_AEDO_HUMAN_.pdf</t>
  </si>
  <si>
    <t>Melting_Curves/meltCurve_sp_Q96T37_2_RBM15_HUMAN_.pdf</t>
  </si>
  <si>
    <t>Melting_Curves/meltCurve_sp_Q96T51_RUFY1_HUMAN_.pdf</t>
  </si>
  <si>
    <t>Melting_Curves/meltCurve_sp_Q96T58_MINT_HUMAN_.pdf</t>
  </si>
  <si>
    <t>Melting_Curves/meltCurve_sp_Q96T76_MMS19_HUMAN_.pdf</t>
  </si>
  <si>
    <t>Melting_Curves/meltCurve_sp_Q99417_MYCBP_HUMAN_.pdf</t>
  </si>
  <si>
    <t>Melting_Curves/meltCurve_sp_Q99424_ACOX2_HUMAN_.pdf</t>
  </si>
  <si>
    <t>Melting_Curves/meltCurve_sp_Q99426_TBCB_HUMAN_.pdf</t>
  </si>
  <si>
    <t>Melting_Curves/meltCurve_sp_Q99436_PSB7_HUMAN_.pdf</t>
  </si>
  <si>
    <t>Melting_Curves/meltCurve_sp_Q99447_3_PCY2_HUMAN_.pdf</t>
  </si>
  <si>
    <t>Melting_Curves/meltCurve_sp_Q99459_CDC5L_HUMAN_.pdf</t>
  </si>
  <si>
    <t>Melting_Curves/meltCurve_sp_Q99460_PSMD1_HUMAN_.pdf</t>
  </si>
  <si>
    <t>Melting_Curves/meltCurve_sp_Q99471_PFD5_HUMAN_.pdf</t>
  </si>
  <si>
    <t>Melting_Curves/meltCurve_sp_Q99487_PAFA2_HUMAN_.pdf</t>
  </si>
  <si>
    <t>Melting_Curves/meltCurve_sp_Q99489_OXDD_HUMAN_.pdf</t>
  </si>
  <si>
    <t>Melting_Curves/meltCurve_sp_Q99497_PARK7_HUMAN_.pdf</t>
  </si>
  <si>
    <t>Melting_Curves/meltCurve_sp_Q99536_VAT1_HUMAN_.pdf</t>
  </si>
  <si>
    <t>Melting_Curves/meltCurve_sp_Q99543_DNJC2_HUMAN_.pdf</t>
  </si>
  <si>
    <t>Melting_Curves/meltCurve_sp_Q99567_NUP88_HUMAN_.pdf</t>
  </si>
  <si>
    <t>Melting_Curves/meltCurve_sp_Q99569_2_PKP4_HUMAN_.pdf</t>
  </si>
  <si>
    <t>Melting_Curves/meltCurve_sp_Q99570_PI3R4_HUMAN_.pdf</t>
  </si>
  <si>
    <t>Melting_Curves/meltCurve_sp_Q99575_POP1_HUMAN_.pdf</t>
  </si>
  <si>
    <t>Melting_Curves/meltCurve_sp_Q99584_S10AD_HUMAN_.pdf</t>
  </si>
  <si>
    <t>Melting_Curves/meltCurve_sp_Q99590_2_SCAFB_HUMAN_.pdf</t>
  </si>
  <si>
    <t>Melting_Curves/meltCurve_sp_Q99598_TSNAX_HUMAN_.pdf</t>
  </si>
  <si>
    <t>Melting_Curves/meltCurve_sp_Q99611_SPS2_HUMAN_.pdf</t>
  </si>
  <si>
    <t>Melting_Curves/meltCurve_sp_Q99614_TTC1_HUMAN_.pdf</t>
  </si>
  <si>
    <t>Melting_Curves/meltCurve_sp_Q99615_DNJC7_HUMAN_.pdf</t>
  </si>
  <si>
    <t>Melting_Curves/meltCurve_sp_Q99627_2_CSN8_HUMAN_.pdf</t>
  </si>
  <si>
    <t>Melting_Curves/meltCurve_sp_Q99685_MGLL_HUMAN_.pdf</t>
  </si>
  <si>
    <t>Melting_Curves/meltCurve_sp_Q99707_METH_HUMAN_.pdf</t>
  </si>
  <si>
    <t>Melting_Curves/meltCurve_sp_Q99714_HCD2_HUMAN_.pdf</t>
  </si>
  <si>
    <t>Melting_Curves/meltCurve_sp_Q99733_NP1L4_HUMAN_.pdf</t>
  </si>
  <si>
    <t>Melting_Curves/meltCurve_sp_Q99757_THIOM_HUMAN_.pdf</t>
  </si>
  <si>
    <t>Melting_Curves/meltCurve_sp_Q99766_ATP5S_HUMAN_.pdf</t>
  </si>
  <si>
    <t>Melting_Curves/meltCurve_sp_Q99797_MIPEP_HUMAN_.pdf</t>
  </si>
  <si>
    <t>Melting_Curves/meltCurve_sp_Q99798_ACON_HUMAN_.pdf</t>
  </si>
  <si>
    <t>Melting_Curves/meltCurve_sp_Q99807_2_COQ7_HUMAN_.pdf</t>
  </si>
  <si>
    <t>Melting_Curves/meltCurve_sp_Q99832_TCPH_HUMAN_.pdf</t>
  </si>
  <si>
    <t>Melting_Curves/meltCurve_sp_Q99836_MYD88_HUMAN_.pdf</t>
  </si>
  <si>
    <t>Melting_Curves/meltCurve_sp_Q99880_H2B1L_HUMAN_.pdf</t>
  </si>
  <si>
    <t>Melting_Curves/meltCurve_sp_Q99933_4_BAG1_HUMAN_.pdf</t>
  </si>
  <si>
    <t>Melting_Curves/meltCurve_sp_Q99942_RNF5_HUMAN_.pdf</t>
  </si>
  <si>
    <t>Melting_Curves/meltCurve_sp_Q99952_PTN18_HUMAN_.pdf</t>
  </si>
  <si>
    <t>Melting_Curves/meltCurve_sp_Q99959_2_PKP2_HUMAN_.pdf</t>
  </si>
  <si>
    <t>Melting_Curves/meltCurve_sp_Q99961_SH3G1_HUMAN_.pdf</t>
  </si>
  <si>
    <t>Melting_Curves/meltCurve_sp_Q99969_RARR2_HUMAN_.pdf</t>
  </si>
  <si>
    <t>Melting_Curves/meltCurve_sp_Q99996_5_AKAP9_HUMAN_.pdf</t>
  </si>
  <si>
    <t>Melting_Curves/meltCurve_sp_Q9BPW8_NIPS1_HUMAN_.pdf</t>
  </si>
  <si>
    <t>Melting_Curves/meltCurve_sp_Q9BPX5_ARP5L_HUMAN_.pdf</t>
  </si>
  <si>
    <t>Melting_Curves/meltCurve_sp_Q9BQ52_RNZ2_HUMAN_.pdf</t>
  </si>
  <si>
    <t>Melting_Curves/meltCurve_sp_Q9BQ61_CS043_HUMAN_.pdf</t>
  </si>
  <si>
    <t>Melting_Curves/meltCurve_sp_Q9BQ69_MACD1_HUMAN_.pdf</t>
  </si>
  <si>
    <t>Melting_Curves/meltCurve_sp_Q9BQE3_TBA1C_HUMAN_.pdf</t>
  </si>
  <si>
    <t>Melting_Curves/meltCurve_sp_Q9BQE5_APOL2_HUMAN_.pdf</t>
  </si>
  <si>
    <t>Melting_Curves/meltCurve_sp_Q9BQG0_MBB1A_HUMAN_.pdf</t>
  </si>
  <si>
    <t>Melting_Curves/meltCurve_sp_Q9BQG2_NUD12_HUMAN_.pdf</t>
  </si>
  <si>
    <t>Melting_Curves/meltCurve_sp_Q9BQK8_LPIN3_HUMAN_.pdf</t>
  </si>
  <si>
    <t>Melting_Curves/meltCurve_sp_Q9BQS8_FYCO1_HUMAN_.pdf</t>
  </si>
  <si>
    <t>Melting_Curves/meltCurve_sp_Q9BR61_ACBD6_HUMAN_.pdf</t>
  </si>
  <si>
    <t>Melting_Curves/meltCurve_sp_Q9BR76_COR1B_HUMAN_.pdf</t>
  </si>
  <si>
    <t>Melting_Curves/meltCurve_sp_Q9BRA2_TXD17_HUMAN_.pdf</t>
  </si>
  <si>
    <t>Melting_Curves/meltCurve_sp_Q9BRF8_CPPED_HUMAN_.pdf</t>
  </si>
  <si>
    <t>Melting_Curves/meltCurve_sp_Q9BRG1_VPS25_HUMAN_.pdf</t>
  </si>
  <si>
    <t>Melting_Curves/meltCurve_sp_Q9BRK5_CAB45_HUMAN_.pdf</t>
  </si>
  <si>
    <t>Melting_Curves/meltCurve_sp_Q9BRP4_PAAF1_HUMAN_.pdf</t>
  </si>
  <si>
    <t>Melting_Curves/meltCurve_sp_Q9BRP8_2_WIBG_HUMAN_.pdf</t>
  </si>
  <si>
    <t>Melting_Curves/meltCurve_sp_Q9BRT3_MIEN1_HUMAN_.pdf</t>
  </si>
  <si>
    <t>Melting_Curves/meltCurve_sp_Q9BRX2_PELO_HUMAN_.pdf</t>
  </si>
  <si>
    <t>Melting_Curves/meltCurve_sp_Q9BRZ2_TRI56_HUMAN_.pdf</t>
  </si>
  <si>
    <t>Melting_Curves/meltCurve_sp_Q9BS26_ERP44_HUMAN_.pdf</t>
  </si>
  <si>
    <t>Melting_Curves/meltCurve_sp_Q9BSE5_SPEB_HUMAN_.pdf</t>
  </si>
  <si>
    <t>Melting_Curves/meltCurve_sp_Q9BSH4_TACO1_HUMAN_.pdf</t>
  </si>
  <si>
    <t>Melting_Curves/meltCurve_sp_Q9BSH5_HDHD3_HUMAN_.pdf</t>
  </si>
  <si>
    <t>Melting_Curves/meltCurve_sp_Q9BSJ5_3_CQ080_HUMAN_.pdf</t>
  </si>
  <si>
    <t>Melting_Curves/meltCurve_sp_Q9BSJ8_ESYT1_HUMAN_.pdf</t>
  </si>
  <si>
    <t>Melting_Curves/meltCurve_sp_Q9BST9_3_RTKN_HUMAN_.pdf</t>
  </si>
  <si>
    <t>Melting_Curves/meltCurve_sp_Q9BSY4_CHCH5_HUMAN_.pdf</t>
  </si>
  <si>
    <t>Melting_Curves/meltCurve_sp_Q9BT09_CNPY3_HUMAN_.pdf</t>
  </si>
  <si>
    <t>Melting_Curves/meltCurve_sp_Q9BT30_ALKB7_HUMAN_.pdf</t>
  </si>
  <si>
    <t>Melting_Curves/meltCurve_sp_Q9BT73_PSMG3_HUMAN_.pdf</t>
  </si>
  <si>
    <t>Melting_Curves/meltCurve_sp_Q9BT78_CSN4_HUMAN_.pdf</t>
  </si>
  <si>
    <t>Melting_Curves/meltCurve_sp_Q9BTC0_DIDO1_HUMAN_.pdf</t>
  </si>
  <si>
    <t>Melting_Curves/meltCurve_sp_Q9BTE3_2_MCMBP_HUMAN_.pdf</t>
  </si>
  <si>
    <t>Melting_Curves/meltCurve_sp_Q9BTE6_AASD1_HUMAN_.pdf</t>
  </si>
  <si>
    <t>Melting_Curves/meltCurve_sp_Q9BTL3_RAM_HUMAN_.pdf</t>
  </si>
  <si>
    <t>Melting_Curves/meltCurve_sp_Q9BTT0_3_AN32E_HUMAN_.pdf</t>
  </si>
  <si>
    <t>Melting_Curves/meltCurve_sp_Q9BTW9_TBCD_HUMAN_.pdf</t>
  </si>
  <si>
    <t>Melting_Curves/meltCurve_sp_Q9BTX7_TTPAL_HUMAN_.pdf</t>
  </si>
  <si>
    <t>Melting_Curves/meltCurve_sp_Q9BTY2_FUCO2_HUMAN_.pdf</t>
  </si>
  <si>
    <t>Melting_Curves/meltCurve_sp_Q9BTY7_F203A_HUMAN_.pdf</t>
  </si>
  <si>
    <t>Melting_Curves/meltCurve_sp_Q9BTZ2_DHRS4_HUMAN_.pdf</t>
  </si>
  <si>
    <t>Melting_Curves/meltCurve_sp_Q9BU89_DOHH_HUMAN_.pdf</t>
  </si>
  <si>
    <t>Melting_Curves/meltCurve_sp_Q9BUE6_ISCA1_HUMAN_.pdf</t>
  </si>
  <si>
    <t>Melting_Curves/meltCurve_sp_Q9BUH6_CI142_HUMAN_.pdf</t>
  </si>
  <si>
    <t>Melting_Curves/meltCurve_sp_Q9BUJ2_2_HNRL1_HUMAN_.pdf</t>
  </si>
  <si>
    <t>Melting_Curves/meltCurve_sp_Q9BUP0_EFHD1_HUMAN_.pdf</t>
  </si>
  <si>
    <t>Melting_Curves/meltCurve_sp_Q9BUQ8_DDX23_HUMAN_.pdf</t>
  </si>
  <si>
    <t>Melting_Curves/meltCurve_sp_Q9BUT1_BDH2_HUMAN_.pdf</t>
  </si>
  <si>
    <t>Melting_Curves/meltCurve_sp_Q9BUT9_F195A_HUMAN_.pdf</t>
  </si>
  <si>
    <t>Melting_Curves/meltCurve_sp_Q9BV19_CA050_HUMAN_.pdf</t>
  </si>
  <si>
    <t>Melting_Curves/meltCurve_sp_Q9BV20_MTNA_HUMAN_.pdf</t>
  </si>
  <si>
    <t>Melting_Curves/meltCurve_sp_Q9BV44_THUM3_HUMAN_.pdf</t>
  </si>
  <si>
    <t>Melting_Curves/meltCurve_sp_Q9BV57_MTND_HUMAN_.pdf</t>
  </si>
  <si>
    <t>Melting_Curves/meltCurve_sp_Q9BV79_MECR_HUMAN_.pdf</t>
  </si>
  <si>
    <t>Melting_Curves/meltCurve_sp_Q9BV86_NTM1A_HUMAN_.pdf</t>
  </si>
  <si>
    <t>Melting_Curves/meltCurve_sp_Q9BVG4_PBDC1_HUMAN_.pdf</t>
  </si>
  <si>
    <t>Melting_Curves/meltCurve_sp_Q9BVJ7_DUS23_HUMAN_.pdf</t>
  </si>
  <si>
    <t>Melting_Curves/meltCurve_sp_Q9BVL4_SELO_HUMAN_.pdf</t>
  </si>
  <si>
    <t>Melting_Curves/meltCurve_sp_Q9BVM4_GGACT_HUMAN_.pdf</t>
  </si>
  <si>
    <t>Melting_Curves/meltCurve_sp_Q9BVS5_TR61B_HUMAN_.pdf</t>
  </si>
  <si>
    <t>Melting_Curves/meltCurve_sp_Q9BW61_DDA1_HUMAN_.pdf</t>
  </si>
  <si>
    <t>Melting_Curves/meltCurve_sp_Q9BW71_2_HIRP3_HUMAN_.pdf</t>
  </si>
  <si>
    <t>Melting_Curves/meltCurve_sp_Q9BW83_IFT27_HUMAN_.pdf</t>
  </si>
  <si>
    <t>Melting_Curves/meltCurve_sp_Q9BW85_CCD94_HUMAN_.pdf</t>
  </si>
  <si>
    <t>Melting_Curves/meltCurve_sp_Q9BW91_2_NUDT9_HUMAN_.pdf</t>
  </si>
  <si>
    <t>Melting_Curves/meltCurve_sp_Q9BW92_SYTM_HUMAN_.pdf</t>
  </si>
  <si>
    <t>Melting_Curves/meltCurve_sp_Q9BWD1_THIC_HUMAN_.pdf</t>
  </si>
  <si>
    <t>Melting_Curves/meltCurve_sp_Q9BWE0_REPI1_HUMAN_.pdf</t>
  </si>
  <si>
    <t>Melting_Curves/meltCurve_sp_Q9BWF3_4_RBM4_HUMAN_.pdf</t>
  </si>
  <si>
    <t>Melting_Curves/meltCurve_sp_Q9BWU0_NADAP_HUMAN_.pdf</t>
  </si>
  <si>
    <t>Melting_Curves/meltCurve_sp_Q9BX66_9_SRBS1_HUMAN_.pdf</t>
  </si>
  <si>
    <t>Melting_Curves/meltCurve_sp_Q9BX68_HINT2_HUMAN_.pdf</t>
  </si>
  <si>
    <t>Melting_Curves/meltCurve_sp_Q9BXI6_TB10A_HUMAN_.pdf</t>
  </si>
  <si>
    <t>Melting_Curves/meltCurve_sp_Q9BXJ9_NAA15_HUMAN_.pdf</t>
  </si>
  <si>
    <t>Melting_Curves/meltCurve_sp_Q9BXK5_B2L13_HUMAN_.pdf</t>
  </si>
  <si>
    <t>Melting_Curves/meltCurve_sp_Q9BXP5_5_SRRT_HUMAN_.pdf</t>
  </si>
  <si>
    <t>Melting_Curves/meltCurve_sp_Q9BXR0_TGT_HUMAN_.pdf</t>
  </si>
  <si>
    <t>Melting_Curves/meltCurve_sp_Q9BXS6_7_NUSAP_HUMAN_.pdf</t>
  </si>
  <si>
    <t>Melting_Curves/meltCurve_sp_Q9BXU1_3_STK31_HUMAN_.pdf</t>
  </si>
  <si>
    <t>Melting_Curves/meltCurve_sp_Q9BXV9_CN142_HUMAN_.pdf</t>
  </si>
  <si>
    <t>Melting_Curves/meltCurve_sp_Q9BXW7_2_CECR5_HUMAN_.pdf</t>
  </si>
  <si>
    <t>Melting_Curves/meltCurve_sp_Q9BY32_ITPA_HUMAN_.pdf</t>
  </si>
  <si>
    <t>Melting_Curves/meltCurve_sp_Q9BY42_RTF2_HUMAN_.pdf</t>
  </si>
  <si>
    <t>Melting_Curves/meltCurve_sp_Q9BY43_CHM4A_HUMAN_.pdf</t>
  </si>
  <si>
    <t>Melting_Curves/meltCurve_sp_Q9BY49_PECR_HUMAN_.pdf</t>
  </si>
  <si>
    <t>Melting_Curves/meltCurve_sp_Q9BY89_K1671_HUMAN_.pdf</t>
  </si>
  <si>
    <t>Melting_Curves/meltCurve_sp_Q9BYD6_RM01_HUMAN_.pdf</t>
  </si>
  <si>
    <t>Melting_Curves/meltCurve_sp_Q9BYN8_RT26_HUMAN_.pdf</t>
  </si>
  <si>
    <t>Melting_Curves/meltCurve_sp_Q9BYT8_NEUL_HUMAN_.pdf</t>
  </si>
  <si>
    <t>Melting_Curves/meltCurve_sp_Q9BYV1_AGT2_HUMAN_.pdf</t>
  </si>
  <si>
    <t>Melting_Curves/meltCurve_sp_Q9BYV7_4_BCDO2_HUMAN_.pdf</t>
  </si>
  <si>
    <t>Melting_Curves/meltCurve_sp_Q9BZ23_3_PANK2_HUMAN_.pdf</t>
  </si>
  <si>
    <t>Melting_Curves/meltCurve_sp_Q9BZE2_PUS3_HUMAN_.pdf</t>
  </si>
  <si>
    <t>Melting_Curves/meltCurve_sp_Q9BZE9_ASPC1_HUMAN_.pdf</t>
  </si>
  <si>
    <t>Melting_Curves/meltCurve_sp_Q9BZG8_3_DPH1_HUMAN_.pdf</t>
  </si>
  <si>
    <t>Melting_Curves/meltCurve_sp_Q9BZH6_WDR11_HUMAN_.pdf</t>
  </si>
  <si>
    <t>Melting_Curves/meltCurve_sp_Q9BZI7_2_REN3B_HUMAN_.pdf</t>
  </si>
  <si>
    <t>Melting_Curves/meltCurve_sp_Q9BZK7_TBL1R_HUMAN_.pdf</t>
  </si>
  <si>
    <t>Melting_Curves/meltCurve_sp_Q9BZL1_UBL5_HUMAN_.pdf</t>
  </si>
  <si>
    <t>Melting_Curves/meltCurve_sp_Q9BZL4_PP12C_HUMAN_.pdf</t>
  </si>
  <si>
    <t>Melting_Curves/meltCurve_sp_Q9BZZ5_2_API5_HUMAN_.pdf</t>
  </si>
  <si>
    <t>Melting_Curves/meltCurve_sp_Q9C005_DPY30_HUMAN_.pdf</t>
  </si>
  <si>
    <t>Melting_Curves/meltCurve_sp_Q9C040_TRIM2_HUMAN_.pdf</t>
  </si>
  <si>
    <t>Melting_Curves/meltCurve_sp_Q9C0B0_UNK_HUMAN_.pdf</t>
  </si>
  <si>
    <t>Melting_Curves/meltCurve_sp_Q9C0B1_FTO_HUMAN_.pdf</t>
  </si>
  <si>
    <t>Melting_Curves/meltCurve_sp_Q9C0B5_2_ZDHC5_HUMAN_.pdf</t>
  </si>
  <si>
    <t>Melting_Curves/meltCurve_sp_Q9C0C2_TB182_HUMAN_.pdf</t>
  </si>
  <si>
    <t>Melting_Curves/meltCurve_sp_Q9C0C9_UBE2O_HUMAN_.pdf</t>
  </si>
  <si>
    <t>Melting_Curves/meltCurve_sp_Q9C0H9_5_SRCN1_HUMAN_.pdf</t>
  </si>
  <si>
    <t>Melting_Curves/meltCurve_sp_Q9C0I1_MTMRC_HUMAN_.pdf</t>
  </si>
  <si>
    <t>Melting_Curves/meltCurve_sp_Q9C0J8_WDR33_HUMAN_.pdf</t>
  </si>
  <si>
    <t>Melting_Curves/meltCurve_sp_Q9GZP4_PITH1_HUMAN_.pdf</t>
  </si>
  <si>
    <t>Melting_Curves/meltCurve_sp_Q9GZQ3_COMD5_HUMAN_.pdf</t>
  </si>
  <si>
    <t>Melting_Curves/meltCurve_sp_Q9GZT3_2_SLIRP_HUMAN_.pdf</t>
  </si>
  <si>
    <t>Melting_Curves/meltCurve_sp_Q9GZT8_2_NIF3L_HUMAN_.pdf</t>
  </si>
  <si>
    <t>Melting_Curves/meltCurve_sp_Q9GZT9_2_EGLN1_HUMAN_.pdf</t>
  </si>
  <si>
    <t>Melting_Curves/meltCurve_sp_Q9GZU8_F192A_HUMAN_.pdf</t>
  </si>
  <si>
    <t>Melting_Curves/meltCurve_sp_Q9GZZ9_UBA5_HUMAN_.pdf</t>
  </si>
  <si>
    <t>Melting_Curves/meltCurve_sp_Q9H008_LHPP_HUMAN_.pdf</t>
  </si>
  <si>
    <t>Melting_Curves/meltCurve_sp_Q9H074_PAIP1_HUMAN_.pdf</t>
  </si>
  <si>
    <t>Melting_Curves/meltCurve_sp_Q9H098_F107B_HUMAN_.pdf</t>
  </si>
  <si>
    <t>Melting_Curves/meltCurve_sp_Q9H0C8_ILKAP_HUMAN_.pdf</t>
  </si>
  <si>
    <t>Melting_Curves/meltCurve_sp_Q9H0D6_XRN2_HUMAN_.pdf</t>
  </si>
  <si>
    <t>Melting_Curves/meltCurve_sp_Q9H0E2_TOLIP_HUMAN_.pdf</t>
  </si>
  <si>
    <t>Melting_Curves/meltCurve_sp_Q9H0F6_SHRPN_HUMAN_.pdf</t>
  </si>
  <si>
    <t>Melting_Curves/meltCurve_sp_Q9H0G5_NSRP1_HUMAN_.pdf</t>
  </si>
  <si>
    <t>Melting_Curves/meltCurve_sp_Q9H0L4_CSTFT_HUMAN_.pdf</t>
  </si>
  <si>
    <t>Melting_Curves/meltCurve_sp_Q9H0P0_1_5NT3A_HUMAN_.pdf</t>
  </si>
  <si>
    <t>Melting_Curves/meltCurve_sp_Q9H0R6_GATA_HUMAN_.pdf</t>
  </si>
  <si>
    <t>Melting_Curves/meltCurve_sp_Q9H0U4_RAB1B_HUMAN_.pdf</t>
  </si>
  <si>
    <t>Melting_Curves/meltCurve_sp_Q9H0W9_CK054_HUMAN_.pdf</t>
  </si>
  <si>
    <t>Melting_Curves/meltCurve_sp_Q9H1E3_NUCKS_HUMAN_.pdf</t>
  </si>
  <si>
    <t>Melting_Curves/meltCurve_sp_Q9H1H9_3_KI13A_HUMAN_.pdf</t>
  </si>
  <si>
    <t>Melting_Curves/meltCurve_sp_Q9H1J1_2_REN3A_HUMAN_.pdf</t>
  </si>
  <si>
    <t>Melting_Curves/meltCurve_sp_Q9H1K0_RBNS5_HUMAN_.pdf</t>
  </si>
  <si>
    <t>Melting_Curves/meltCurve_sp_Q9H1K1_ISCU_HUMAN_.pdf</t>
  </si>
  <si>
    <t>Melting_Curves/meltCurve_sp_Q9H1P3_2_OSBL2_HUMAN_.pdf</t>
  </si>
  <si>
    <t>Melting_Curves/meltCurve_sp_Q9H1Y0_ATG5_HUMAN_.pdf</t>
  </si>
  <si>
    <t>Melting_Curves/meltCurve_sp_Q9H1Z4_WDR13_HUMAN_.pdf</t>
  </si>
  <si>
    <t>Melting_Curves/meltCurve_sp_Q9H227_GBA3_HUMAN_.pdf</t>
  </si>
  <si>
    <t>Melting_Curves/meltCurve_sp_Q9H267_VP33B_HUMAN_.pdf</t>
  </si>
  <si>
    <t>Melting_Curves/meltCurve_sp_Q9H2A2_AL8A1_HUMAN_.pdf</t>
  </si>
  <si>
    <t>Melting_Curves/meltCurve_sp_Q9H2D6_5_TARA_HUMAN_.pdf</t>
  </si>
  <si>
    <t>Melting_Curves/meltCurve_sp_Q9H2G2_2_SLK_HUMAN_.pdf</t>
  </si>
  <si>
    <t>Melting_Curves/meltCurve_sp_Q9H2H8_PPIL3_HUMAN_.pdf</t>
  </si>
  <si>
    <t>Melting_Curves/meltCurve_sp_Q9H2M3_BHMT2_HUMAN_.pdf</t>
  </si>
  <si>
    <t>Melting_Curves/meltCurve_sp_Q9H2M9_RBGPR_HUMAN_.pdf</t>
  </si>
  <si>
    <t>Melting_Curves/meltCurve_sp_Q9H2P0_ADNP_HUMAN_.pdf</t>
  </si>
  <si>
    <t>Melting_Curves/meltCurve_sp_Q9H2U1_3_DHX36_HUMAN_.pdf</t>
  </si>
  <si>
    <t>Melting_Curves/meltCurve_sp_Q9H2U2_IPYR2_HUMAN_.pdf</t>
  </si>
  <si>
    <t>Melting_Curves/meltCurve_sp_Q9H2W6_RM46_HUMAN_.pdf</t>
  </si>
  <si>
    <t>Melting_Curves/meltCurve_sp_Q9H307_PININ_HUMAN_.pdf</t>
  </si>
  <si>
    <t>Melting_Curves/meltCurve_sp_Q9H3G5_CPVL_HUMAN_.pdf</t>
  </si>
  <si>
    <t>Melting_Curves/meltCurve_sp_Q9H3H3_CK068_HUMAN_.pdf</t>
  </si>
  <si>
    <t>Melting_Curves/meltCurve_sp_Q9H3K6_BOLA2_HUMAN_.pdf</t>
  </si>
  <si>
    <t>Melting_Curves/meltCurve_sp_Q9H3N1_TMX1_HUMAN_.pdf</t>
  </si>
  <si>
    <t>Melting_Curves/meltCurve_sp_Q9H3P2_NELFA_HUMAN_.pdf</t>
  </si>
  <si>
    <t>Melting_Curves/meltCurve_sp_Q9H3P7_GCP60_HUMAN_.pdf</t>
  </si>
  <si>
    <t>Melting_Curves/meltCurve_sp_Q9H3S7_PTN23_HUMAN_.pdf</t>
  </si>
  <si>
    <t>Melting_Curves/meltCurve_sp_Q9H3U1_2_UN45A_HUMAN_.pdf</t>
  </si>
  <si>
    <t>Melting_Curves/meltCurve_sp_Q9H3Y8_PPDPF_HUMAN_.pdf</t>
  </si>
  <si>
    <t>Melting_Curves/meltCurve_sp_Q9H400_2_LIME1_HUMAN_.pdf</t>
  </si>
  <si>
    <t>Melting_Curves/meltCurve_sp_Q9H444_CHM4B_HUMAN_.pdf</t>
  </si>
  <si>
    <t>Melting_Curves/meltCurve_sp_Q9H479_FN3K_HUMAN_.pdf</t>
  </si>
  <si>
    <t>Melting_Curves/meltCurve_sp_Q9H488_OFUT1_HUMAN_.pdf</t>
  </si>
  <si>
    <t>Melting_Curves/meltCurve_sp_Q9H4A4_AMPB_HUMAN_.pdf</t>
  </si>
  <si>
    <t>Melting_Curves/meltCurve_sp_Q9H4B0_OSGP2_HUMAN_.pdf</t>
  </si>
  <si>
    <t>Melting_Curves/meltCurve_sp_Q9H4I2_ZHX3_HUMAN_.pdf</t>
  </si>
  <si>
    <t>Melting_Curves/meltCurve_sp_Q9H4M9_EHD1_HUMAN_.pdf</t>
  </si>
  <si>
    <t>Melting_Curves/meltCurve_sp_Q9H5N1_RABE2_HUMAN_.pdf</t>
  </si>
  <si>
    <t>Melting_Curves/meltCurve_sp_Q9H5Q4_TFB2M_HUMAN_.pdf</t>
  </si>
  <si>
    <t>Melting_Curves/meltCurve_sp_Q9H5X1_FA96A_HUMAN_.pdf</t>
  </si>
  <si>
    <t>Melting_Curves/meltCurve_sp_Q9H6Q4_3_NARFL_HUMAN_.pdf</t>
  </si>
  <si>
    <t>Melting_Curves/meltCurve_sp_Q9H6R3_ACSS3_HUMAN_.pdf</t>
  </si>
  <si>
    <t>Melting_Curves/meltCurve_sp_Q9H6S3_ES8L2_HUMAN_.pdf</t>
  </si>
  <si>
    <t>Melting_Curves/meltCurve_sp_Q9H6T0_2_ESRP2_HUMAN_.pdf</t>
  </si>
  <si>
    <t>Melting_Curves/meltCurve_sp_Q9H6U6_6_BCAS3_HUMAN_.pdf</t>
  </si>
  <si>
    <t>Melting_Curves/meltCurve_sp_Q9H773_DCTP1_HUMAN_.pdf</t>
  </si>
  <si>
    <t>Melting_Curves/meltCurve_sp_Q9H788_SH24A_HUMAN_.pdf</t>
  </si>
  <si>
    <t>Melting_Curves/meltCurve_sp_Q9H7C9_AAMDC_HUMAN_.pdf</t>
  </si>
  <si>
    <t>Melting_Curves/meltCurve_sp_Q9H7D0_DOCK5_HUMAN_.pdf</t>
  </si>
  <si>
    <t>Melting_Curves/meltCurve_sp_Q9H7E2_3_TDRD3_HUMAN_.pdf</t>
  </si>
  <si>
    <t>Melting_Curves/meltCurve_sp_Q9H7N4_SFR19_HUMAN_.pdf</t>
  </si>
  <si>
    <t>Melting_Curves/meltCurve_sp_Q9H7Z6_KAT8_HUMAN_.pdf</t>
  </si>
  <si>
    <t>Melting_Curves/meltCurve_sp_Q9H7Z7_PGES2_HUMAN_.pdf</t>
  </si>
  <si>
    <t>Melting_Curves/meltCurve_sp_Q9H814_PHAX_HUMAN_.pdf</t>
  </si>
  <si>
    <t>Melting_Curves/meltCurve_sp_Q9H832_UBE2Z_HUMAN_.pdf</t>
  </si>
  <si>
    <t>Melting_Curves/meltCurve_sp_Q9H845_ACAD9_HUMAN_.pdf</t>
  </si>
  <si>
    <t>Melting_Curves/meltCurve_sp_Q9H8M7_F188A_HUMAN_.pdf</t>
  </si>
  <si>
    <t>Melting_Curves/meltCurve_sp_Q9H8S9_MOB1A_HUMAN_.pdf</t>
  </si>
  <si>
    <t>Melting_Curves/meltCurve_sp_Q9H8U3_ZFAN3_HUMAN_.pdf</t>
  </si>
  <si>
    <t>Melting_Curves/meltCurve_sp_Q9H8W4_PKHF2_HUMAN_.pdf</t>
  </si>
  <si>
    <t>Melting_Curves/meltCurve_sp_Q9H8Y8_GORS2_HUMAN_.pdf</t>
  </si>
  <si>
    <t>Melting_Curves/meltCurve_sp_Q9H974_QTRD1_HUMAN_.pdf</t>
  </si>
  <si>
    <t>Melting_Curves/meltCurve_sp_Q9H993_CF211_HUMAN_.pdf</t>
  </si>
  <si>
    <t>Melting_Curves/meltCurve_sp_Q9H999_PANK3_HUMAN_.pdf</t>
  </si>
  <si>
    <t>Melting_Curves/meltCurve_sp_Q9H9A5_2_CNO10_HUMAN_.pdf</t>
  </si>
  <si>
    <t>Melting_Curves/meltCurve_sp_Q9H9A6_LRC40_HUMAN_.pdf</t>
  </si>
  <si>
    <t>Melting_Curves/meltCurve_sp_Q9H9B1_4_EHMT1_HUMAN_.pdf</t>
  </si>
  <si>
    <t>Melting_Curves/meltCurve_sp_Q9H9C1_2_SPE39_HUMAN_.pdf</t>
  </si>
  <si>
    <t>Melting_Curves/meltCurve_sp_Q9H9E3_COG4_HUMAN_.pdf</t>
  </si>
  <si>
    <t>Melting_Curves/meltCurve_sp_Q9H9G7_2_AGO3_HUMAN_.pdf</t>
  </si>
  <si>
    <t>Melting_Curves/meltCurve_sp_Q9H9J2_RM44_HUMAN_.pdf</t>
  </si>
  <si>
    <t>Melting_Curves/meltCurve_sp_Q9H9Q2_2_CSN7B_HUMAN_.pdf</t>
  </si>
  <si>
    <t>Melting_Curves/meltCurve_sp_Q9H9S4_CB39L_HUMAN_.pdf</t>
  </si>
  <si>
    <t>Melting_Curves/meltCurve_sp_Q9H9T3_2_ELP3_HUMAN_.pdf</t>
  </si>
  <si>
    <t>Melting_Curves/meltCurve_sp_Q9HA64_KT3K_HUMAN_.pdf</t>
  </si>
  <si>
    <t>Melting_Curves/meltCurve_sp_Q9HA65_TBC17_HUMAN_.pdf</t>
  </si>
  <si>
    <t>Melting_Curves/meltCurve_sp_Q9HA77_SYCM_HUMAN_.pdf</t>
  </si>
  <si>
    <t>Melting_Curves/meltCurve_sp_Q9HAB8_PPCS_HUMAN_.pdf</t>
  </si>
  <si>
    <t>Melting_Curves/meltCurve_sp_Q9HAC7_4_CG010_HUMAN_.pdf</t>
  </si>
  <si>
    <t>Melting_Curves/meltCurve_sp_Q9HAN9_NMNA1_HUMAN_.pdf</t>
  </si>
  <si>
    <t>Melting_Curves/meltCurve_sp_Q9HAP2_MLXIP_HUMAN_.pdf</t>
  </si>
  <si>
    <t>Melting_Curves/meltCurve_sp_Q9HAT2_SIAE_HUMAN_.pdf</t>
  </si>
  <si>
    <t>Melting_Curves/meltCurve_sp_Q9HAU0_PKHA5_HUMAN_.pdf</t>
  </si>
  <si>
    <t>Melting_Curves/meltCurve_sp_Q9HAU5_RENT2_HUMAN_.pdf</t>
  </si>
  <si>
    <t>Melting_Curves/meltCurve_sp_Q9HAV7_GRPE1_HUMAN_.pdf</t>
  </si>
  <si>
    <t>Melting_Curves/meltCurve_sp_Q9HB07_MYG1_HUMAN_.pdf</t>
  </si>
  <si>
    <t>Melting_Curves/meltCurve_sp_Q9HB71_CYBP_HUMAN_.pdf</t>
  </si>
  <si>
    <t>Melting_Curves/meltCurve_sp_Q9HB90_RRAGC_HUMAN_.pdf</t>
  </si>
  <si>
    <t>Melting_Curves/meltCurve_sp_Q9HBF4_2_ZFYV1_HUMAN_.pdf</t>
  </si>
  <si>
    <t>Melting_Curves/meltCurve_sp_Q9HBH1_DEFM_HUMAN_.pdf</t>
  </si>
  <si>
    <t>Melting_Curves/meltCurve_sp_Q9HBK9_AS3MT_HUMAN_.pdf</t>
  </si>
  <si>
    <t>Melting_Curves/meltCurve_sp_Q9HBL8_NMRL1_HUMAN_.pdf</t>
  </si>
  <si>
    <t>Melting_Curves/meltCurve_sp_Q9HC35_EMAL4_HUMAN_.pdf</t>
  </si>
  <si>
    <t>Melting_Curves/meltCurve_sp_Q9HC38_2_GLOD4_HUMAN_.pdf</t>
  </si>
  <si>
    <t>Melting_Curves/meltCurve_sp_Q9HCB6_SPON1_HUMAN_.pdf</t>
  </si>
  <si>
    <t>Melting_Curves/meltCurve_sp_Q9HCC0_MCCB_HUMAN_.pdf</t>
  </si>
  <si>
    <t>Melting_Curves/meltCurve_sp_Q9HCE5_MET14_HUMAN_.pdf</t>
  </si>
  <si>
    <t>Melting_Curves/meltCurve_sp_Q9HCE6_3_ARGAL_HUMAN_.pdf</t>
  </si>
  <si>
    <t>Melting_Curves/meltCurve_sp_Q9HCN4_3_GPN1_HUMAN_.pdf</t>
  </si>
  <si>
    <t>Melting_Curves/meltCurve_sp_Q9HCN8_SDF2L_HUMAN_.pdf</t>
  </si>
  <si>
    <t>Melting_Curves/meltCurve_sp_Q9HD15_SRA1_HUMAN_.pdf</t>
  </si>
  <si>
    <t>Melting_Curves/meltCurve_sp_Q9HD26_2_GOPC_HUMAN_.pdf</t>
  </si>
  <si>
    <t>Melting_Curves/meltCurve_sp_Q9HD33_2_RM47_HUMAN_.pdf</t>
  </si>
  <si>
    <t>Melting_Curves/meltCurve_sp_Q9HD40_SPCS_HUMAN_.pdf</t>
  </si>
  <si>
    <t>Melting_Curves/meltCurve_sp_Q9HD42_CHM1A_HUMAN_.pdf</t>
  </si>
  <si>
    <t>Melting_Curves/meltCurve_sp_Q9HD89_RETN_HUMAN_.pdf</t>
  </si>
  <si>
    <t>Melting_Curves/meltCurve_sp_Q9HDC5_JPH1_HUMAN_.pdf</t>
  </si>
  <si>
    <t>Melting_Curves/meltCurve_sp_Q9NP61_ARFG3_HUMAN_.pdf</t>
  </si>
  <si>
    <t>Melting_Curves/meltCurve_sp_Q9NP71_4_MLXPL_HUMAN_.pdf</t>
  </si>
  <si>
    <t>Melting_Curves/meltCurve_sp_Q9NP72_RAB18_HUMAN_.pdf</t>
  </si>
  <si>
    <t>Melting_Curves/meltCurve_sp_Q9NP74_PALMD_HUMAN_.pdf</t>
  </si>
  <si>
    <t>Melting_Curves/meltCurve_sp_Q9NP79_VTA1_HUMAN_.pdf</t>
  </si>
  <si>
    <t>Melting_Curves/meltCurve_sp_Q9NP97_DLRB1_HUMAN_.pdf</t>
  </si>
  <si>
    <t>Melting_Curves/meltCurve_sp_Q9NPA8_2_ENY2_HUMAN_.pdf</t>
  </si>
  <si>
    <t>Melting_Curves/meltCurve_sp_Q9NPD3_EXOS4_HUMAN_.pdf</t>
  </si>
  <si>
    <t>Melting_Curves/meltCurve_sp_Q9NPF4_OSGEP_HUMAN_.pdf</t>
  </si>
  <si>
    <t>Melting_Curves/meltCurve_sp_Q9NPH0_PPA6_HUMAN_.pdf</t>
  </si>
  <si>
    <t>Melting_Curves/meltCurve_sp_Q9NPJ3_ACO13_HUMAN_.pdf</t>
  </si>
  <si>
    <t>Melting_Curves/meltCurve_sp_Q9NPJ6_2_MED4_HUMAN_.pdf</t>
  </si>
  <si>
    <t>Melting_Curves/meltCurve_sp_Q9NPQ8_2_RIC8A_HUMAN_.pdf</t>
  </si>
  <si>
    <t>Melting_Curves/meltCurve_sp_Q9NQ88_TIGAR_HUMAN_.pdf</t>
  </si>
  <si>
    <t>Melting_Curves/meltCurve_sp_Q9NQ94_2_A1CF_HUMAN_.pdf</t>
  </si>
  <si>
    <t>Melting_Curves/meltCurve_sp_Q9NQG5_RPR1B_HUMAN_.pdf</t>
  </si>
  <si>
    <t>Melting_Curves/meltCurve_sp_Q9NQH7_2_XPP3_HUMAN_.pdf</t>
  </si>
  <si>
    <t>Melting_Curves/meltCurve_sp_Q9NQP4_PFD4_HUMAN_.pdf</t>
  </si>
  <si>
    <t>Melting_Curves/meltCurve_sp_Q9NQR4_NIT2_HUMAN_.pdf</t>
  </si>
  <si>
    <t>Melting_Curves/meltCurve_sp_Q9NQS1_AVEN_HUMAN_.pdf</t>
  </si>
  <si>
    <t>Melting_Curves/meltCurve_sp_Q9NQT8_KI13B_HUMAN_.pdf</t>
  </si>
  <si>
    <t>Melting_Curves/meltCurve_sp_Q9NQW7_3_XPP1_HUMAN_.pdf</t>
  </si>
  <si>
    <t>Melting_Curves/meltCurve_sp_Q9NQX3_GEPH_HUMAN_.pdf</t>
  </si>
  <si>
    <t>Melting_Curves/meltCurve_sp_Q9NR09_BIRC6_HUMAN_.pdf</t>
  </si>
  <si>
    <t>Melting_Curves/meltCurve_sp_Q9NR19_ACSA_HUMAN_.pdf</t>
  </si>
  <si>
    <t>Melting_Curves/meltCurve_sp_Q9NR28_2_DBLOH_HUMAN_.pdf</t>
  </si>
  <si>
    <t>Melting_Curves/meltCurve_sp_Q9NR31_SAR1A_HUMAN_.pdf</t>
  </si>
  <si>
    <t>Melting_Curves/meltCurve_sp_Q9NR33_DPOE4_HUMAN_.pdf</t>
  </si>
  <si>
    <t>Melting_Curves/meltCurve_sp_Q9NR45_SIAS_HUMAN_.pdf</t>
  </si>
  <si>
    <t>Melting_Curves/meltCurve_sp_Q9NR46_SHLB2_HUMAN_.pdf</t>
  </si>
  <si>
    <t>Melting_Curves/meltCurve_sp_Q9NR50_EI2BG_HUMAN_.pdf</t>
  </si>
  <si>
    <t>Melting_Curves/meltCurve_sp_Q9NRF8_PYRG2_HUMAN_.pdf</t>
  </si>
  <si>
    <t>Melting_Curves/meltCurve_sp_Q9NRF9_DPOE3_HUMAN_.pdf</t>
  </si>
  <si>
    <t>Melting_Curves/meltCurve_sp_Q9NRG7_2_D39U1_HUMAN_.pdf</t>
  </si>
  <si>
    <t>Melting_Curves/meltCurve_sp_Q9NRN7_ADPPT_HUMAN_.pdf</t>
  </si>
  <si>
    <t>Melting_Curves/meltCurve_sp_Q9NRR5_UBQL4_HUMAN_.pdf</t>
  </si>
  <si>
    <t>Melting_Curves/meltCurve_sp_Q9NRV9_HEBP1_HUMAN_.pdf</t>
  </si>
  <si>
    <t>Melting_Curves/meltCurve_sp_Q9NRX4_PHP14_HUMAN_.pdf</t>
  </si>
  <si>
    <t>Melting_Curves/meltCurve_sp_Q9NRY2_SOSSC_HUMAN_.pdf</t>
  </si>
  <si>
    <t>Melting_Curves/meltCurve_sp_Q9NRY4_RHG35_HUMAN_.pdf</t>
  </si>
  <si>
    <t>Melting_Curves/meltCurve_sp_Q9NRY5_F1142_HUMAN_.pdf</t>
  </si>
  <si>
    <t>Melting_Curves/meltCurve_sp_Q9NS18_GLRX2_HUMAN_.pdf</t>
  </si>
  <si>
    <t>Melting_Curves/meltCurve_sp_Q9NS86_LANC2_HUMAN_.pdf</t>
  </si>
  <si>
    <t>Melting_Curves/meltCurve_sp_Q9NSE4_SYIM_HUMAN_.pdf</t>
  </si>
  <si>
    <t>Melting_Curves/meltCurve_sp_Q9NSK0_KLC4_HUMAN_.pdf</t>
  </si>
  <si>
    <t>Melting_Curves/meltCurve_sp_Q9NSY0_NRBP2_HUMAN_.pdf</t>
  </si>
  <si>
    <t>Melting_Curves/meltCurve_sp_Q9NSY1_2_BMP2K_HUMAN_.pdf</t>
  </si>
  <si>
    <t>Melting_Curves/meltCurve_sp_Q9NSY2_STAR5_HUMAN_.pdf</t>
  </si>
  <si>
    <t>Melting_Curves/meltCurve_sp_Q9NT62_ATG3_HUMAN_.pdf</t>
  </si>
  <si>
    <t>Melting_Curves/meltCurve_sp_Q9NTG7_SIR3_HUMAN_.pdf</t>
  </si>
  <si>
    <t>Melting_Curves/meltCurve_sp_Q9NTJ4_3_MA2C1_HUMAN_.pdf</t>
  </si>
  <si>
    <t>Melting_Curves/meltCurve_sp_Q9NTK5_2_OLA1_HUMAN_.pdf</t>
  </si>
  <si>
    <t>Melting_Curves/meltCurve_sp_Q9NTK5_OLA1_HUMAN_.pdf</t>
  </si>
  <si>
    <t>Melting_Curves/meltCurve_sp_Q9NTX5_6_ECHD1_HUMAN_.pdf</t>
  </si>
  <si>
    <t>Melting_Curves/meltCurve_sp_Q9NTZ6_RBM12_HUMAN_.pdf</t>
  </si>
  <si>
    <t>Melting_Curves/meltCurve_sp_Q9NU23_LYRM2_HUMAN_.pdf</t>
  </si>
  <si>
    <t>Melting_Curves/meltCurve_sp_Q9NUB1_3_ACS2L_HUMAN_.pdf</t>
  </si>
  <si>
    <t>Melting_Curves/meltCurve_sp_Q9NUI1_DECR2_HUMAN_.pdf</t>
  </si>
  <si>
    <t>Melting_Curves/meltCurve_sp_Q9NUJ1_ABHDA_HUMAN_.pdf</t>
  </si>
  <si>
    <t>Melting_Curves/meltCurve_sp_Q9NUL5_4_CS066_HUMAN_.pdf</t>
  </si>
  <si>
    <t>Melting_Curves/meltCurve_sp_Q9NUP1_BL1S4_HUMAN_.pdf</t>
  </si>
  <si>
    <t>Melting_Curves/meltCurve_sp_Q9NUQ3_2_TXLNG_HUMAN_.pdf</t>
  </si>
  <si>
    <t>Melting_Curves/meltCurve_sp_Q9NUQ6_SPS2L_HUMAN_.pdf</t>
  </si>
  <si>
    <t>Melting_Curves/meltCurve_sp_Q9NUQ8_2_ABCF3_HUMAN_.pdf</t>
  </si>
  <si>
    <t>Melting_Curves/meltCurve_sp_Q9NUQ9_FA49B_HUMAN_.pdf</t>
  </si>
  <si>
    <t>Melting_Curves/meltCurve_sp_Q9NUV9_GIMA4_HUMAN_.pdf</t>
  </si>
  <si>
    <t>Melting_Curves/meltCurve_sp_Q9NUY8_2_TBC23_HUMAN_.pdf</t>
  </si>
  <si>
    <t>Melting_Curves/meltCurve_sp_Q9NV70_2_EXOC1_HUMAN_.pdf</t>
  </si>
  <si>
    <t>Melting_Curves/meltCurve_sp_Q9NVD7_PARVA_HUMAN_.pdf</t>
  </si>
  <si>
    <t>Melting_Curves/meltCurve_sp_Q9NVE7_PANK4_HUMAN_.pdf</t>
  </si>
  <si>
    <t>Melting_Curves/meltCurve_sp_Q9NVF9_EKI2_HUMAN_.pdf</t>
  </si>
  <si>
    <t>Melting_Curves/meltCurve_sp_Q9NVG8_TBC13_HUMAN_.pdf</t>
  </si>
  <si>
    <t>Melting_Curves/meltCurve_sp_Q9NVH6_TMLH_HUMAN_.pdf</t>
  </si>
  <si>
    <t>Melting_Curves/meltCurve_sp_Q9NVS9_PNPO_HUMAN_.pdf</t>
  </si>
  <si>
    <t>Melting_Curves/meltCurve_sp_Q9NVT9_ARMC1_HUMAN_.pdf</t>
  </si>
  <si>
    <t>Melting_Curves/meltCurve_sp_Q9NVX2_NLE1_HUMAN_.pdf</t>
  </si>
  <si>
    <t>Melting_Curves/meltCurve_sp_Q9NVZ3_NECP2_HUMAN_.pdf</t>
  </si>
  <si>
    <t>Melting_Curves/meltCurve_sp_Q9NW64_RBM22_HUMAN_.pdf</t>
  </si>
  <si>
    <t>Melting_Curves/meltCurve_sp_Q9NW68_4_BSDC1_HUMAN_.pdf</t>
  </si>
  <si>
    <t>Melting_Curves/meltCurve_sp_Q9NW82_WDR70_HUMAN_.pdf</t>
  </si>
  <si>
    <t>Melting_Curves/meltCurve_sp_Q9NWB6_2_ARGL1_HUMAN_.pdf</t>
  </si>
  <si>
    <t>Melting_Curves/meltCurve_sp_Q9NWH9_SLTM_HUMAN_.pdf</t>
  </si>
  <si>
    <t>Melting_Curves/meltCurve_sp_Q9NWT8_AKIP_HUMAN_.pdf</t>
  </si>
  <si>
    <t>Melting_Curves/meltCurve_sp_Q9NWU1_OXSM_HUMAN_.pdf</t>
  </si>
  <si>
    <t>Melting_Curves/meltCurve_sp_Q9NWV4_CA123_HUMAN_.pdf</t>
  </si>
  <si>
    <t>Melting_Curves/meltCurve_sp_Q9NWW6_NRK1_HUMAN_.pdf</t>
  </si>
  <si>
    <t>Melting_Curves/meltCurve_sp_Q9NWY4_CD027_HUMAN_.pdf</t>
  </si>
  <si>
    <t>Melting_Curves/meltCurve_sp_Q9NWZ3_IRAK4_HUMAN_.pdf</t>
  </si>
  <si>
    <t>Melting_Curves/meltCurve_sp_Q9NX38_F206A_HUMAN_.pdf</t>
  </si>
  <si>
    <t>Melting_Curves/meltCurve_sp_Q9NX46_ARHL2_HUMAN_.pdf</t>
  </si>
  <si>
    <t>Melting_Curves/meltCurve_sp_Q9NX55_HYPK_HUMAN_.pdf</t>
  </si>
  <si>
    <t>Melting_Curves/meltCurve_sp_Q9NXA8_SIR5_HUMAN_.pdf</t>
  </si>
  <si>
    <t>Melting_Curves/meltCurve_sp_Q9NXD2_MTMRA_HUMAN_.pdf</t>
  </si>
  <si>
    <t>Melting_Curves/meltCurve_sp_Q9NXG2_THUM1_HUMAN_.pdf</t>
  </si>
  <si>
    <t>Melting_Curves/meltCurve_sp_Q9NXH9_2_TRM1_HUMAN_.pdf</t>
  </si>
  <si>
    <t>Melting_Curves/meltCurve_sp_Q9NXR7_4_BRE_HUMAN_.pdf</t>
  </si>
  <si>
    <t>Melting_Curves/meltCurve_sp_Q9NXU5_ARL15_HUMAN_.pdf</t>
  </si>
  <si>
    <t>Melting_Curves/meltCurve_sp_Q9NXV6_CARF_HUMAN_.pdf</t>
  </si>
  <si>
    <t>Melting_Curves/meltCurve_sp_Q9NXW2_DJB12_HUMAN_.pdf</t>
  </si>
  <si>
    <t>Melting_Curves/meltCurve_sp_Q9NY27_PP4R2_HUMAN_.pdf</t>
  </si>
  <si>
    <t>Melting_Curves/meltCurve_sp_Q9NY33_4_DPP3_HUMAN_.pdf</t>
  </si>
  <si>
    <t>Melting_Curves/meltCurve_sp_Q9NYF8_2_BCLF1_HUMAN_.pdf</t>
  </si>
  <si>
    <t>Melting_Curves/meltCurve_sp_Q9NYJ1_COA4_HUMAN_.pdf</t>
  </si>
  <si>
    <t>Melting_Curves/meltCurve_sp_Q9NYL2_2_MLTK_HUMAN_.pdf</t>
  </si>
  <si>
    <t>Melting_Curves/meltCurve_sp_Q9NYL2_MLTK_HUMAN_.pdf</t>
  </si>
  <si>
    <t>Melting_Curves/meltCurve_sp_Q9NYL9_TMOD3_HUMAN_.pdf</t>
  </si>
  <si>
    <t>Melting_Curves/meltCurve_sp_Q9NYQ3_HAOX2_HUMAN_.pdf</t>
  </si>
  <si>
    <t>Melting_Curves/meltCurve_sp_Q9NYU2_2_UGGG1_HUMAN_.pdf</t>
  </si>
  <si>
    <t>Melting_Curves/meltCurve_sp_Q9NYY8_2_FAKD2_HUMAN_.pdf</t>
  </si>
  <si>
    <t>Melting_Curves/meltCurve_sp_Q9NZ08_ERAP1_HUMAN_.pdf</t>
  </si>
  <si>
    <t>Melting_Curves/meltCurve_sp_Q9NZ32_ARP10_HUMAN_.pdf</t>
  </si>
  <si>
    <t>Melting_Curves/meltCurve_sp_Q9NZ63_CI078_HUMAN_.pdf</t>
  </si>
  <si>
    <t>Melting_Curves/meltCurve_sp_Q9NZB2_F120A_HUMAN_.pdf</t>
  </si>
  <si>
    <t>Melting_Curves/meltCurve_sp_Q9NZB8_2_MOCS1_HUMAN_.pdf</t>
  </si>
  <si>
    <t>Melting_Curves/meltCurve_sp_Q9NZJ6_COQ3_HUMAN_.pdf</t>
  </si>
  <si>
    <t>Melting_Curves/meltCurve_sp_Q9NZJ9_NUDT4_HUMAN_.pdf</t>
  </si>
  <si>
    <t>Melting_Curves/meltCurve_sp_Q9NZL4_HPBP1_HUMAN_.pdf</t>
  </si>
  <si>
    <t>Melting_Curves/meltCurve_sp_Q9NZL9_MAT2B_HUMAN_.pdf</t>
  </si>
  <si>
    <t>Melting_Curves/meltCurve_sp_Q9NZM3_2_ITSN2_HUMAN_.pdf</t>
  </si>
  <si>
    <t>Melting_Curves/meltCurve_sp_Q9NZN5_2_ARHGC_HUMAN_.pdf</t>
  </si>
  <si>
    <t>Melting_Curves/meltCurve_sp_Q9NZN8_4_CNOT2_HUMAN_.pdf</t>
  </si>
  <si>
    <t>Melting_Curves/meltCurve_sp_Q9NZN9_3_AIPL1_HUMAN_.pdf</t>
  </si>
  <si>
    <t>Melting_Curves/meltCurve_sp_Q9NZP8_C1RL_HUMAN_.pdf</t>
  </si>
  <si>
    <t>Melting_Curves/meltCurve_sp_Q9NZT2_2_OGFR_HUMAN_.pdf</t>
  </si>
  <si>
    <t>Melting_Curves/meltCurve_sp_Q9NZU5_LMCD1_HUMAN_.pdf</t>
  </si>
  <si>
    <t>Melting_Curves/meltCurve_sp_Q9NZZ3_CHMP5_HUMAN_.pdf</t>
  </si>
  <si>
    <t>Melting_Curves/meltCurve_sp_Q9P000_COMD9_HUMAN_.pdf</t>
  </si>
  <si>
    <t>Melting_Curves/meltCurve_sp_Q9P013_CWC15_HUMAN_.pdf</t>
  </si>
  <si>
    <t>Melting_Curves/meltCurve_sp_Q9P016_THYN1_HUMAN_.pdf</t>
  </si>
  <si>
    <t>Melting_Curves/meltCurve_sp_Q9P032_NDUF4_HUMAN_.pdf</t>
  </si>
  <si>
    <t>Melting_Curves/meltCurve_sp_Q9P0J1_PDP1_HUMAN_.pdf</t>
  </si>
  <si>
    <t>Melting_Curves/meltCurve_sp_Q9P0K7_3_RAI14_HUMAN_.pdf</t>
  </si>
  <si>
    <t>Melting_Curves/meltCurve_sp_Q9P0L0_VAPA_HUMAN_.pdf</t>
  </si>
  <si>
    <t>Melting_Curves/meltCurve_sp_Q9P0P8_CF203_HUMAN_.pdf</t>
  </si>
  <si>
    <t>Melting_Curves/meltCurve_sp_Q9P0R6_GSKIP_HUMAN_.pdf</t>
  </si>
  <si>
    <t>Melting_Curves/meltCurve_sp_Q9P0Z9_SOX_HUMAN_.pdf</t>
  </si>
  <si>
    <t>Melting_Curves/meltCurve_sp_Q9P1F3_ABRAL_HUMAN_.pdf</t>
  </si>
  <si>
    <t>Melting_Curves/meltCurve_sp_Q9P1Y5_CAMP3_HUMAN_.pdf</t>
  </si>
  <si>
    <t>Melting_Curves/meltCurve_sp_Q9P1Z2_2_CACO1_HUMAN_.pdf</t>
  </si>
  <si>
    <t>Melting_Curves/meltCurve_sp_Q9P206_2_K1522_HUMAN_.pdf</t>
  </si>
  <si>
    <t>Melting_Curves/meltCurve_sp_Q9P265_DIP2B_HUMAN_.pdf</t>
  </si>
  <si>
    <t>Melting_Curves/meltCurve_sp_Q9P266_JCAD_HUMAN_.pdf</t>
  </si>
  <si>
    <t>Melting_Curves/meltCurve_sp_Q9P270_SLAI2_HUMAN_.pdf</t>
  </si>
  <si>
    <t>Melting_Curves/meltCurve_sp_Q9P287_BCCIP_HUMAN_.pdf</t>
  </si>
  <si>
    <t>Melting_Curves/meltCurve_sp_Q9P299_COPZ2_HUMAN_.pdf</t>
  </si>
  <si>
    <t>Melting_Curves/meltCurve_sp_Q9P2D3_3_HTR5B_HUMAN_.pdf</t>
  </si>
  <si>
    <t>Melting_Curves/meltCurve_sp_Q9P2E9_2_RRBP1_HUMAN_.pdf</t>
  </si>
  <si>
    <t>Melting_Curves/meltCurve_sp_Q9P2E9_RRBP1_HUMAN_.pdf</t>
  </si>
  <si>
    <t>Melting_Curves/meltCurve_sp_Q9P2M7_CING_HUMAN_.pdf</t>
  </si>
  <si>
    <t>Melting_Curves/meltCurve_sp_Q9P2N5_RBM27_HUMAN_.pdf</t>
  </si>
  <si>
    <t>Melting_Curves/meltCurve_sp_Q9P2R3_ANFY1_HUMAN_.pdf</t>
  </si>
  <si>
    <t>Melting_Curves/meltCurve_sp_Q9P2X3_IMPCT_HUMAN_.pdf</t>
  </si>
  <si>
    <t>Melting_Curves/meltCurve_sp_Q9UBB4_ATX10_HUMAN_.pdf</t>
  </si>
  <si>
    <t>Melting_Curves/meltCurve_sp_Q9UBB5_MBD2_HUMAN_.pdf</t>
  </si>
  <si>
    <t>Melting_Curves/meltCurve_sp_Q9UBC2_3_EP15R_HUMAN_.pdf</t>
  </si>
  <si>
    <t>Melting_Curves/meltCurve_sp_Q9UBE0_SAE1_HUMAN_.pdf</t>
  </si>
  <si>
    <t>Melting_Curves/meltCurve_sp_Q9UBF2_COPG2_HUMAN_.pdf</t>
  </si>
  <si>
    <t>Melting_Curves/meltCurve_sp_Q9UBF6_RBX2_HUMAN_.pdf</t>
  </si>
  <si>
    <t>Melting_Curves/meltCurve_sp_Q9UBK8_2_MTRR_HUMAN_.pdf</t>
  </si>
  <si>
    <t>Melting_Curves/meltCurve_sp_Q9UBL3_2_ASH2L_HUMAN_.pdf</t>
  </si>
  <si>
    <t>Melting_Curves/meltCurve_sp_Q9UBN7_HDAC6_HUMAN_.pdf</t>
  </si>
  <si>
    <t>Melting_Curves/meltCurve_sp_Q9UBP6_TRMB_HUMAN_.pdf</t>
  </si>
  <si>
    <t>Melting_Curves/meltCurve_sp_Q9UBQ0_VPS29_HUMAN_.pdf</t>
  </si>
  <si>
    <t>Melting_Curves/meltCurve_sp_Q9UBQ7_GRHPR_HUMAN_.pdf</t>
  </si>
  <si>
    <t>Melting_Curves/meltCurve_sp_Q9UBR1_BUP1_HUMAN_.pdf</t>
  </si>
  <si>
    <t>Melting_Curves/meltCurve_sp_Q9UBR2_CATZ_HUMAN_.pdf</t>
  </si>
  <si>
    <t>Melting_Curves/meltCurve_sp_Q9UBS4_DJB11_HUMAN_.pdf</t>
  </si>
  <si>
    <t>Melting_Curves/meltCurve_sp_Q9UBS8_RNF14_HUMAN_.pdf</t>
  </si>
  <si>
    <t>Melting_Curves/meltCurve_sp_Q9UBT2_SAE2_HUMAN_.pdf</t>
  </si>
  <si>
    <t>Melting_Curves/meltCurve_sp_Q9UBV8_PEF1_HUMAN_.pdf</t>
  </si>
  <si>
    <t>Melting_Curves/meltCurve_sp_Q9UBW8_CSN7A_HUMAN_.pdf</t>
  </si>
  <si>
    <t>Melting_Curves/meltCurve_sp_Q9UBX1_CATF_HUMAN_.pdf</t>
  </si>
  <si>
    <t>Melting_Curves/meltCurve_sp_Q9UDR5_AASS_HUMAN_.pdf</t>
  </si>
  <si>
    <t>Melting_Curves/meltCurve_sp_Q9UDX3_2_S14L4_HUMAN_.pdf</t>
  </si>
  <si>
    <t>Melting_Curves/meltCurve_sp_Q9UDY2_3_ZO2_HUMAN_.pdf</t>
  </si>
  <si>
    <t>Melting_Curves/meltCurve_sp_Q9UEE9_CFDP1_HUMAN_.pdf</t>
  </si>
  <si>
    <t>Melting_Curves/meltCurve_sp_Q9UEU0_VTI1B_HUMAN_.pdf</t>
  </si>
  <si>
    <t>Melting_Curves/meltCurve_sp_Q9UEY8_2_ADDG_HUMAN_.pdf</t>
  </si>
  <si>
    <t>Melting_Curves/meltCurve_sp_Q9UFN0_NPS3A_HUMAN_.pdf</t>
  </si>
  <si>
    <t>Melting_Curves/meltCurve_sp_Q9UFW8_CGBP1_HUMAN_.pdf</t>
  </si>
  <si>
    <t>Melting_Curves/meltCurve_sp_Q9UGC7_RF1ML_HUMAN_.pdf</t>
  </si>
  <si>
    <t>Melting_Curves/meltCurve_sp_Q9UGI8_TES_HUMAN_.pdf</t>
  </si>
  <si>
    <t>Melting_Curves/meltCurve_sp_Q9UGJ0_3_AAKG2_HUMAN_.pdf</t>
  </si>
  <si>
    <t>Melting_Curves/meltCurve_sp_Q9UGP4_LIMD1_HUMAN_.pdf</t>
  </si>
  <si>
    <t>Melting_Curves/meltCurve_sp_Q9UH65_SWP70_HUMAN_.pdf</t>
  </si>
  <si>
    <t>Melting_Curves/meltCurve_sp_Q9UHA4_LTOR3_HUMAN_.pdf</t>
  </si>
  <si>
    <t>Melting_Curves/meltCurve_sp_Q9UHB6_LIMA1_HUMAN_.pdf</t>
  </si>
  <si>
    <t>Melting_Curves/meltCurve_sp_Q9UHB9_SRP68_HUMAN_.pdf</t>
  </si>
  <si>
    <t>Melting_Curves/meltCurve_sp_Q9UHD1_CHRD1_HUMAN_.pdf</t>
  </si>
  <si>
    <t>Melting_Curves/meltCurve_sp_Q9UHD8_SEPT9_HUMAN_.pdf</t>
  </si>
  <si>
    <t>Melting_Curves/meltCurve_sp_Q9UHD9_UBQL2_HUMAN_.pdf</t>
  </si>
  <si>
    <t>Melting_Curves/meltCurve_sp_Q9UHJ6_SHPK_HUMAN_.pdf</t>
  </si>
  <si>
    <t>Melting_Curves/meltCurve_sp_Q9UHL4_DPP2_HUMAN_.pdf</t>
  </si>
  <si>
    <t>Melting_Curves/meltCurve_sp_Q9UHN1_DPOG2_HUMAN_.pdf</t>
  </si>
  <si>
    <t>Melting_Curves/meltCurve_sp_Q9UHV9_PFD2_HUMAN_.pdf</t>
  </si>
  <si>
    <t>Melting_Curves/meltCurve_sp_Q9UHX1_4_PUF60_HUMAN_.pdf</t>
  </si>
  <si>
    <t>Melting_Curves/meltCurve_sp_Q9UHY7_ENOPH_HUMAN_.pdf</t>
  </si>
  <si>
    <t>Melting_Curves/meltCurve_sp_Q9UI08_EVL_HUMAN_.pdf</t>
  </si>
  <si>
    <t>Melting_Curves/meltCurve_sp_Q9UI10_3_EI2BD_HUMAN_.pdf</t>
  </si>
  <si>
    <t>Melting_Curves/meltCurve_sp_Q9UI10_EI2BD_HUMAN_.pdf</t>
  </si>
  <si>
    <t>Melting_Curves/meltCurve_sp_Q9UI12_2_VATH_HUMAN_.pdf</t>
  </si>
  <si>
    <t>Melting_Curves/meltCurve_sp_Q9UI17_M2GD_HUMAN_.pdf</t>
  </si>
  <si>
    <t>Melting_Curves/meltCurve_sp_Q9UI32_GLSL_HUMAN_.pdf</t>
  </si>
  <si>
    <t>Melting_Curves/meltCurve_sp_Q9UIA9_XPO7_HUMAN_.pdf</t>
  </si>
  <si>
    <t>Melting_Curves/meltCurve_sp_Q9UID3_2_VPS51_HUMAN_.pdf</t>
  </si>
  <si>
    <t>Melting_Curves/meltCurve_sp_Q9UII2_ATIF1_HUMAN_.pdf</t>
  </si>
  <si>
    <t>Melting_Curves/meltCurve_sp_Q9UIJ7_KAD3_HUMAN_.pdf</t>
  </si>
  <si>
    <t>Melting_Curves/meltCurve_sp_Q9UIV1_2_CNOT7_HUMAN_.pdf</t>
  </si>
  <si>
    <t>Melting_Curves/meltCurve_sp_Q9UIX4_KCNG1_HUMAN_.pdf</t>
  </si>
  <si>
    <t>Melting_Curves/meltCurve_sp_Q9UJ41_2_RABX5_HUMAN_.pdf</t>
  </si>
  <si>
    <t>Melting_Curves/meltCurve_sp_Q9UJ68_5_MSRA_HUMAN_.pdf</t>
  </si>
  <si>
    <t>Melting_Curves/meltCurve_sp_Q9UJ70_NAGK_HUMAN_.pdf</t>
  </si>
  <si>
    <t>Melting_Curves/meltCurve_sp_Q9UJA5_2_TRM6_HUMAN_.pdf</t>
  </si>
  <si>
    <t>Melting_Curves/meltCurve_sp_Q9UJC5_SH3L2_HUMAN_.pdf</t>
  </si>
  <si>
    <t>Melting_Curves/meltCurve_sp_Q9UJM3_ERRFI_HUMAN_.pdf</t>
  </si>
  <si>
    <t>Melting_Curves/meltCurve_sp_Q9UJM8_HAOX1_HUMAN_.pdf</t>
  </si>
  <si>
    <t>Melting_Curves/meltCurve_sp_Q9UJU6_DBNL_HUMAN_.pdf</t>
  </si>
  <si>
    <t>Melting_Curves/meltCurve_sp_Q9UJW0_DCTN4_HUMAN_.pdf</t>
  </si>
  <si>
    <t>Melting_Curves/meltCurve_sp_Q9UJY5_4_GGA1_HUMAN_.pdf</t>
  </si>
  <si>
    <t>Melting_Curves/meltCurve_sp_Q9UK22_FBX2_HUMAN_.pdf</t>
  </si>
  <si>
    <t>Melting_Curves/meltCurve_sp_Q9UK41_VPS28_HUMAN_.pdf</t>
  </si>
  <si>
    <t>Melting_Curves/meltCurve_sp_Q9UK59_DBR1_HUMAN_.pdf</t>
  </si>
  <si>
    <t>Melting_Curves/meltCurve_sp_Q9UK99_2_FBX3_HUMAN_.pdf</t>
  </si>
  <si>
    <t>Melting_Curves/meltCurve_sp_Q9UKB3_2_DJC12_HUMAN_.pdf</t>
  </si>
  <si>
    <t>Melting_Curves/meltCurve_sp_Q9UKE5_8_TNIK_HUMAN_.pdf</t>
  </si>
  <si>
    <t>Melting_Curves/meltCurve_sp_Q9UKG1_DP13A_HUMAN_.pdf</t>
  </si>
  <si>
    <t>Melting_Curves/meltCurve_sp_Q9UKG9_OCTC_HUMAN_.pdf</t>
  </si>
  <si>
    <t>Melting_Curves/meltCurve_sp_Q9UKJ3_GPTC8_HUMAN_.pdf</t>
  </si>
  <si>
    <t>Melting_Curves/meltCurve_sp_Q9UKK9_NUDT5_HUMAN_.pdf</t>
  </si>
  <si>
    <t>Melting_Curves/meltCurve_sp_Q9UKL6_PPCT_HUMAN_.pdf</t>
  </si>
  <si>
    <t>Melting_Curves/meltCurve_sp_Q9UKS6_PACN3_HUMAN_.pdf</t>
  </si>
  <si>
    <t>Melting_Curves/meltCurve_sp_Q9UKT5_FBX4_HUMAN_.pdf</t>
  </si>
  <si>
    <t>Melting_Curves/meltCurve_sp_Q9UKU7_ACAD8_HUMAN_.pdf</t>
  </si>
  <si>
    <t>Melting_Curves/meltCurve_sp_Q9UKV8_AGO2_HUMAN_.pdf</t>
  </si>
  <si>
    <t>Melting_Curves/meltCurve_sp_Q9UKX7_NUP50_HUMAN_.pdf</t>
  </si>
  <si>
    <t>Melting_Curves/meltCurve_sp_Q9UKY7_CDV3_HUMAN_.pdf</t>
  </si>
  <si>
    <t>Melting_Curves/meltCurve_sp_Q9UL12_SARDH_HUMAN_.pdf</t>
  </si>
  <si>
    <t>Melting_Curves/meltCurve_sp_Q9UL25_RAB21_HUMAN_.pdf</t>
  </si>
  <si>
    <t>Melting_Curves/meltCurve_sp_Q9UL26_RB22A_HUMAN_.pdf</t>
  </si>
  <si>
    <t>Melting_Curves/meltCurve_sp_Q9UL42_PNMA2_HUMAN_.pdf</t>
  </si>
  <si>
    <t>Melting_Curves/meltCurve_sp_Q9UL46_PSME2_HUMAN_.pdf</t>
  </si>
  <si>
    <t>Melting_Curves/meltCurve_sp_Q9ULA0_DNPEP_HUMAN_.pdf</t>
  </si>
  <si>
    <t>Melting_Curves/meltCurve_sp_Q9ULC4_MCTS1_HUMAN_.pdf</t>
  </si>
  <si>
    <t>Melting_Curves/meltCurve_sp_Q9ULC5_ACSL5_HUMAN_.pdf</t>
  </si>
  <si>
    <t>Melting_Curves/meltCurve_sp_Q9ULD0_OGDHL_HUMAN_.pdf</t>
  </si>
  <si>
    <t>Melting_Curves/meltCurve_sp_Q9ULD2_2_MTUS1_HUMAN_.pdf</t>
  </si>
  <si>
    <t>Melting_Curves/meltCurve_sp_Q9ULH7_4_MKL2_HUMAN_.pdf</t>
  </si>
  <si>
    <t>Melting_Curves/meltCurve_sp_Q9ULP9_2_TBC24_HUMAN_.pdf</t>
  </si>
  <si>
    <t>Melting_Curves/meltCurve_sp_Q9ULT8_HECD1_HUMAN_.pdf</t>
  </si>
  <si>
    <t>Melting_Curves/meltCurve_sp_Q9ULV4_COR1C_HUMAN_.pdf</t>
  </si>
  <si>
    <t>Melting_Curves/meltCurve_sp_Q9UM22_2_EPDR1_HUMAN_.pdf</t>
  </si>
  <si>
    <t>Melting_Curves/meltCurve_sp_Q9UMR2_2_DD19B_HUMAN_.pdf</t>
  </si>
  <si>
    <t>Melting_Curves/meltCurve_sp_Q9UMS0_3_NFU1_HUMAN_.pdf</t>
  </si>
  <si>
    <t>Melting_Curves/meltCurve_sp_Q9UMS4_PRP19_HUMAN_.pdf</t>
  </si>
  <si>
    <t>Melting_Curves/meltCurve_sp_Q9UMX0_2_UBQL1_HUMAN_.pdf</t>
  </si>
  <si>
    <t>Melting_Curves/meltCurve_sp_Q9UMX5_NENF_HUMAN_.pdf</t>
  </si>
  <si>
    <t>Melting_Curves/meltCurve_sp_Q9UMY4_2_SNX12_HUMAN_.pdf</t>
  </si>
  <si>
    <t>Melting_Curves/meltCurve_sp_Q9UMZ2_6_SYNRG_HUMAN_.pdf</t>
  </si>
  <si>
    <t>Melting_Curves/meltCurve_sp_Q9UN36_NDRG2_HUMAN_.pdf</t>
  </si>
  <si>
    <t>Melting_Curves/meltCurve_sp_Q9UN86_G3BP2_HUMAN_.pdf</t>
  </si>
  <si>
    <t>Melting_Curves/meltCurve_sp_Q9UNE7_CHIP_HUMAN_.pdf</t>
  </si>
  <si>
    <t>Melting_Curves/meltCurve_sp_Q9UNF0_2_PACN2_HUMAN_.pdf</t>
  </si>
  <si>
    <t>Melting_Curves/meltCurve_sp_Q9UNF1_MAGD2_HUMAN_.pdf</t>
  </si>
  <si>
    <t>Melting_Curves/meltCurve_sp_Q9UNH7_SNX6_HUMAN_.pdf</t>
  </si>
  <si>
    <t>Melting_Curves/meltCurve_sp_Q9UNM6_PSD13_HUMAN_.pdf</t>
  </si>
  <si>
    <t>Melting_Curves/meltCurve_sp_Q9UNN5_FAF1_HUMAN_.pdf</t>
  </si>
  <si>
    <t>Melting_Curves/meltCurve_sp_Q9UNS2_CSN3_HUMAN_.pdf</t>
  </si>
  <si>
    <t>Melting_Curves/meltCurve_sp_Q9UNZ2_NSF1C_HUMAN_.pdf</t>
  </si>
  <si>
    <t>Melting_Curves/meltCurve_sp_Q9UP83_COG5_HUMAN_.pdf</t>
  </si>
  <si>
    <t>Melting_Curves/meltCurve_sp_Q9UPN6_SCAF8_HUMAN_.pdf</t>
  </si>
  <si>
    <t>Melting_Curves/meltCurve_sp_Q9UPN7_PP6R1_HUMAN_.pdf</t>
  </si>
  <si>
    <t>Melting_Curves/meltCurve_sp_Q9UPN9_2_TRI33_HUMAN_.pdf</t>
  </si>
  <si>
    <t>Melting_Curves/meltCurve_sp_Q9UPQ9_1_TNR6B_HUMAN_.pdf</t>
  </si>
  <si>
    <t>Melting_Curves/meltCurve_sp_Q9UPT5_2_EXOC7_HUMAN_.pdf</t>
  </si>
  <si>
    <t>Melting_Curves/meltCurve_sp_Q9UPU5_UBP24_HUMAN_.pdf</t>
  </si>
  <si>
    <t>Melting_Curves/meltCurve_sp_Q9UPU7_2_TBD2B_HUMAN_.pdf</t>
  </si>
  <si>
    <t>Melting_Curves/meltCurve_sp_Q9UPY3_2_DICER_HUMAN_.pdf</t>
  </si>
  <si>
    <t>Melting_Curves/meltCurve_sp_Q9UPY8_2_MARE3_HUMAN_.pdf</t>
  </si>
  <si>
    <t>Melting_Curves/meltCurve_sp_Q9UQ35_SRRM2_HUMAN_.pdf</t>
  </si>
  <si>
    <t>Melting_Curves/meltCurve_sp_Q9UQ80_PA2G4_HUMAN_.pdf</t>
  </si>
  <si>
    <t>Melting_Curves/meltCurve_sp_Q9UQ88_4_CD11A_HUMAN_.pdf</t>
  </si>
  <si>
    <t>Melting_Curves/meltCurve_sp_Q9UQB8_5_BAIP2_HUMAN_.pdf</t>
  </si>
  <si>
    <t>Melting_Curves/meltCurve_sp_Q9UQE7_SMC3_HUMAN_.pdf</t>
  </si>
  <si>
    <t>Melting_Curves/meltCurve_sp_Q9UQN3_CHM2B_HUMAN_.pdf</t>
  </si>
  <si>
    <t>Melting_Curves/meltCurve_sp_Q9Y217_MTMR6_HUMAN_.pdf</t>
  </si>
  <si>
    <t>Melting_Curves/meltCurve_sp_Q9Y223_GLCNE_HUMAN_.pdf</t>
  </si>
  <si>
    <t>Melting_Curves/meltCurve_sp_Q9Y224_CN166_HUMAN_.pdf</t>
  </si>
  <si>
    <t>Melting_Curves/meltCurve_sp_Q9Y230_RUVB2_HUMAN_.pdf</t>
  </si>
  <si>
    <t>Melting_Curves/meltCurve_sp_Q9Y237_PIN4_HUMAN_.pdf</t>
  </si>
  <si>
    <t>Melting_Curves/meltCurve_sp_Q9Y259_CHKB_HUMAN_.pdf</t>
  </si>
  <si>
    <t>Melting_Curves/meltCurve_sp_Q9Y262_2_EIF3L_HUMAN_.pdf</t>
  </si>
  <si>
    <t>Melting_Curves/meltCurve_sp_Q9Y263_PLAP_HUMAN_.pdf</t>
  </si>
  <si>
    <t>Melting_Curves/meltCurve_sp_Q9Y265_RUVB1_HUMAN_.pdf</t>
  </si>
  <si>
    <t>Melting_Curves/meltCurve_sp_Q9Y266_NUDC_HUMAN_.pdf</t>
  </si>
  <si>
    <t>Melting_Curves/meltCurve_sp_Q9Y281_COF2_HUMAN_.pdf</t>
  </si>
  <si>
    <t>Melting_Curves/meltCurve_sp_Q9Y295_DRG1_HUMAN_.pdf</t>
  </si>
  <si>
    <t>Melting_Curves/meltCurve_sp_Q9Y2A7_NCKP1_HUMAN_.pdf</t>
  </si>
  <si>
    <t>Melting_Curves/meltCurve_sp_Q9Y2B0_CNPY2_HUMAN_.pdf</t>
  </si>
  <si>
    <t>Melting_Curves/meltCurve_sp_Q9Y2D4_EXC6B_HUMAN_.pdf</t>
  </si>
  <si>
    <t>Melting_Curves/meltCurve_sp_Q9Y2D5_6_AKAP2_HUMAN_.pdf</t>
  </si>
  <si>
    <t>Melting_Curves/meltCurve_sp_Q9Y2E4_DIP2C_HUMAN_.pdf</t>
  </si>
  <si>
    <t>Melting_Curves/meltCurve_sp_Q9Y2H5_PKHA6_HUMAN_.pdf</t>
  </si>
  <si>
    <t>Melting_Curves/meltCurve_sp_Q9Y2I1_4_NISCH_HUMAN_.pdf</t>
  </si>
  <si>
    <t>Melting_Curves/meltCurve_sp_Q9Y2L5_2_TPPC8_HUMAN_.pdf</t>
  </si>
  <si>
    <t>Melting_Curves/meltCurve_sp_Q9Y2P5_S27A5_HUMAN_.pdf</t>
  </si>
  <si>
    <t>Melting_Curves/meltCurve_sp_Q9Y2Q3_GSTK1_HUMAN_.pdf</t>
  </si>
  <si>
    <t>Melting_Curves/meltCurve_sp_Q9Y2Q5_LTOR2_HUMAN_.pdf</t>
  </si>
  <si>
    <t>Melting_Curves/meltCurve_sp_Q9Y2Q9_RT28_HUMAN_.pdf</t>
  </si>
  <si>
    <t>Melting_Curves/meltCurve_sp_Q9Y2S2_CRYL1_HUMAN_.pdf</t>
  </si>
  <si>
    <t>Melting_Curves/meltCurve_sp_Q9Y2S6_TMA7_HUMAN_.pdf</t>
  </si>
  <si>
    <t>Melting_Curves/meltCurve_sp_Q9Y2S7_PDIP2_HUMAN_.pdf</t>
  </si>
  <si>
    <t>Melting_Curves/meltCurve_sp_Q9Y2T2_AP3M1_HUMAN_.pdf</t>
  </si>
  <si>
    <t>Melting_Curves/meltCurve_sp_Q9Y2T3_3_GUAD_HUMAN_.pdf</t>
  </si>
  <si>
    <t>Melting_Curves/meltCurve_sp_Q9Y2V2_CHSP1_HUMAN_.pdf</t>
  </si>
  <si>
    <t>Melting_Curves/meltCurve_sp_Q9Y2V7_2_COG6_HUMAN_.pdf</t>
  </si>
  <si>
    <t>Melting_Curves/meltCurve_sp_Q9Y2W1_TR150_HUMAN_.pdf</t>
  </si>
  <si>
    <t>Melting_Curves/meltCurve_sp_Q9Y2Z0_SUGT1_HUMAN_.pdf</t>
  </si>
  <si>
    <t>Melting_Curves/meltCurve_sp_Q9Y2Z2_4_MTO1_HUMAN_.pdf</t>
  </si>
  <si>
    <t>Melting_Curves/meltCurve_sp_Q9Y2Z4_SYYM_HUMAN_.pdf</t>
  </si>
  <si>
    <t>Melting_Curves/meltCurve_sp_Q9Y303_NAGA_HUMAN_.pdf</t>
  </si>
  <si>
    <t>Melting_Curves/meltCurve_sp_Q9Y305_ACOT9_HUMAN_.pdf</t>
  </si>
  <si>
    <t>Melting_Curves/meltCurve_sp_Q9Y312_AAR2_HUMAN_.pdf</t>
  </si>
  <si>
    <t>Melting_Curves/meltCurve_sp_Q9Y314_NOSIP_HUMAN_.pdf</t>
  </si>
  <si>
    <t>Melting_Curves/meltCurve_sp_Q9Y315_DEOC_HUMAN_.pdf</t>
  </si>
  <si>
    <t>Melting_Curves/meltCurve_sp_Q9Y316_MEMO1_HUMAN_.pdf</t>
  </si>
  <si>
    <t>Melting_Curves/meltCurve_sp_Q9Y333_LSM2_HUMAN_.pdf</t>
  </si>
  <si>
    <t>Melting_Curves/meltCurve_sp_Q9Y371_SHLB1_HUMAN_.pdf</t>
  </si>
  <si>
    <t>Melting_Curves/meltCurve_sp_Q9Y376_CAB39_HUMAN_.pdf</t>
  </si>
  <si>
    <t>Melting_Curves/meltCurve_sp_Q9Y383_LC7L2_HUMAN_.pdf</t>
  </si>
  <si>
    <t>Melting_Curves/meltCurve_sp_Q9Y385_UB2J1_HUMAN_.pdf</t>
  </si>
  <si>
    <t>Melting_Curves/meltCurve_sp_Q9Y399_RT02_HUMAN_.pdf</t>
  </si>
  <si>
    <t>Melting_Curves/meltCurve_sp_Q9Y3A5_SBDS_HUMAN_.pdf</t>
  </si>
  <si>
    <t>Melting_Curves/meltCurve_sp_Q9Y3B9_RRP15_HUMAN_.pdf</t>
  </si>
  <si>
    <t>Melting_Curves/meltCurve_sp_Q9Y3C1_NOP16_HUMAN_.pdf</t>
  </si>
  <si>
    <t>Melting_Curves/meltCurve_sp_Q9Y3C4_2_TPRKB_HUMAN_.pdf</t>
  </si>
  <si>
    <t>Melting_Curves/meltCurve_sp_Q9Y3C6_PPIL1_HUMAN_.pdf</t>
  </si>
  <si>
    <t>Melting_Curves/meltCurve_sp_Q9Y3C8_UFC1_HUMAN_.pdf</t>
  </si>
  <si>
    <t>Melting_Curves/meltCurve_sp_Q9Y3D0_MIP18_HUMAN_.pdf</t>
  </si>
  <si>
    <t>Melting_Curves/meltCurve_sp_Q9Y3D2_MSRB2_HUMAN_.pdf</t>
  </si>
  <si>
    <t>Melting_Curves/meltCurve_sp_Q9Y3D3_RT16_HUMAN_.pdf</t>
  </si>
  <si>
    <t>Melting_Curves/meltCurve_sp_Q9Y3D6_FIS1_HUMAN_.pdf</t>
  </si>
  <si>
    <t>Melting_Curves/meltCurve_sp_Q9Y3E2_BOLA1_HUMAN_.pdf</t>
  </si>
  <si>
    <t>Melting_Curves/meltCurve_sp_Q9Y3F4_STRAP_HUMAN_.pdf</t>
  </si>
  <si>
    <t>Melting_Curves/meltCurve_sp_Q9Y3I0_RTCB_HUMAN_.pdf</t>
  </si>
  <si>
    <t>Melting_Curves/meltCurve_sp_Q9Y3I1_3_FBX7_HUMAN_.pdf</t>
  </si>
  <si>
    <t>Melting_Curves/meltCurve_sp_Q9Y3L5_RAP2C_HUMAN_.pdf</t>
  </si>
  <si>
    <t>Melting_Curves/meltCurve_sp_Q9Y3P9_RBGP1_HUMAN_.pdf</t>
  </si>
  <si>
    <t>Melting_Curves/meltCurve_sp_Q9Y3R5_2_DOP2_HUMAN_.pdf</t>
  </si>
  <si>
    <t>Melting_Curves/meltCurve_sp_Q9Y3S2_ZN330_HUMAN_.pdf</t>
  </si>
  <si>
    <t>Melting_Curves/meltCurve_sp_Q9Y3T9_NOC2L_HUMAN_.pdf</t>
  </si>
  <si>
    <t>Melting_Curves/meltCurve_sp_Q9Y3X0_CCDC9_HUMAN_.pdf</t>
  </si>
  <si>
    <t>Melting_Curves/meltCurve_sp_Q9Y3Y2_4_CHTOP_HUMAN_.pdf</t>
  </si>
  <si>
    <t>Melting_Curves/meltCurve_sp_Q9Y3Z3_4_SAMH1_HUMAN_.pdf</t>
  </si>
  <si>
    <t>Melting_Curves/meltCurve_sp_Q9Y446_PKP3_HUMAN_.pdf</t>
  </si>
  <si>
    <t>Melting_Curves/meltCurve_sp_Q9Y478_AAKB1_HUMAN_.pdf</t>
  </si>
  <si>
    <t>Melting_Curves/meltCurve_sp_Q9Y490_TLN1_HUMAN_.pdf</t>
  </si>
  <si>
    <t>Melting_Curves/meltCurve_sp_Q9Y4B6_3_VPRBP_HUMAN_.pdf</t>
  </si>
  <si>
    <t>Melting_Curves/meltCurve_sp_Q9Y4C2_2_F115A_HUMAN_.pdf</t>
  </si>
  <si>
    <t>Melting_Curves/meltCurve_sp_Q9Y4E8_UBP15_HUMAN_.pdf</t>
  </si>
  <si>
    <t>Melting_Curves/meltCurve_sp_Q9Y4F1_FARP1_HUMAN_.pdf</t>
  </si>
  <si>
    <t>Melting_Curves/meltCurve_sp_Q9Y4G6_TLN2_HUMAN_.pdf</t>
  </si>
  <si>
    <t>Melting_Curves/meltCurve_sp_Q9Y4H2_IRS2_HUMAN_.pdf</t>
  </si>
  <si>
    <t>Melting_Curves/meltCurve_sp_Q9Y4K1_AIM1_HUMAN_.pdf</t>
  </si>
  <si>
    <t>Melting_Curves/meltCurve_sp_Q9Y4K3_TRAF6_HUMAN_.pdf</t>
  </si>
  <si>
    <t>Melting_Curves/meltCurve_sp_Q9Y4P8_3_WIPI2_HUMAN_.pdf</t>
  </si>
  <si>
    <t>Melting_Curves/meltCurve_sp_Q9Y4X5_ARI1_HUMAN_.pdf</t>
  </si>
  <si>
    <t>Melting_Curves/meltCurve_sp_Q9Y4Z0_LSM4_HUMAN_.pdf</t>
  </si>
  <si>
    <t>Melting_Curves/meltCurve_sp_Q9Y520_4_PRC2C_HUMAN_.pdf</t>
  </si>
  <si>
    <t>Melting_Curves/meltCurve_sp_Q9Y570_PPME1_HUMAN_.pdf</t>
  </si>
  <si>
    <t>Melting_Curves/meltCurve_sp_Q9Y5A7_2_NUB1_HUMAN_.pdf</t>
  </si>
  <si>
    <t>Melting_Curves/meltCurve_sp_Q9Y5A9_2_YTHD2_HUMAN_.pdf</t>
  </si>
  <si>
    <t>Melting_Curves/meltCurve_sp_Q9Y5B0_CTDP1_HUMAN_.pdf</t>
  </si>
  <si>
    <t>Melting_Curves/meltCurve_sp_Q9Y5J7_TIM9_HUMAN_.pdf</t>
  </si>
  <si>
    <t>Melting_Curves/meltCurve_sp_Q9Y5J9_TIM8B_HUMAN_.pdf</t>
  </si>
  <si>
    <t>Melting_Curves/meltCurve_sp_Q9Y5K5_2_UCHL5_HUMAN_.pdf</t>
  </si>
  <si>
    <t>Melting_Curves/meltCurve_sp_Q9Y5K6_CD2AP_HUMAN_.pdf</t>
  </si>
  <si>
    <t>Melting_Curves/meltCurve_sp_Q9Y5K8_VATD_HUMAN_.pdf</t>
  </si>
  <si>
    <t>Melting_Curves/meltCurve_sp_Q9Y5L0_TNPO3_HUMAN_.pdf</t>
  </si>
  <si>
    <t>Melting_Curves/meltCurve_sp_Q9Y5L4_TIM13_HUMAN_.pdf</t>
  </si>
  <si>
    <t>Melting_Curves/meltCurve_sp_Q9Y5P4_2_C43BP_HUMAN_.pdf</t>
  </si>
  <si>
    <t>Melting_Curves/meltCurve_sp_Q9Y5P6_GMPPB_HUMAN_.pdf</t>
  </si>
  <si>
    <t>Melting_Curves/meltCurve_sp_Q9Y5S2_MRCKB_HUMAN_.pdf</t>
  </si>
  <si>
    <t>Melting_Curves/meltCurve_sp_Q9Y5S9_RBM8A_HUMAN_.pdf</t>
  </si>
  <si>
    <t>Melting_Curves/meltCurve_sp_Q9Y5X1_SNX9_HUMAN_.pdf</t>
  </si>
  <si>
    <t>Melting_Curves/meltCurve_sp_Q9Y5X3_SNX5_HUMAN_.pdf</t>
  </si>
  <si>
    <t>Melting_Curves/meltCurve_sp_Q9Y5Z4_HEBP2_HUMAN_.pdf</t>
  </si>
  <si>
    <t>Melting_Curves/meltCurve_sp_Q9Y608_4_LRRF2_HUMAN_.pdf</t>
  </si>
  <si>
    <t>Melting_Curves/meltCurve_sp_Q9Y617_SERC_HUMAN_.pdf</t>
  </si>
  <si>
    <t>Melting_Curves/meltCurve_sp_Q9Y646_CBPQ_HUMAN_.pdf</t>
  </si>
  <si>
    <t>Melting_Curves/meltCurve_sp_Q9Y678_COPG1_HUMAN_.pdf</t>
  </si>
  <si>
    <t>Melting_Curves/meltCurve_sp_Q9Y680_3_FKBP7_HUMAN_.pdf</t>
  </si>
  <si>
    <t>Melting_Curves/meltCurve_sp_Q9Y696_CLIC4_HUMAN_.pdf</t>
  </si>
  <si>
    <t>Melting_Curves/meltCurve_sp_Q9Y697_2_NFS1_HUMAN_.pdf</t>
  </si>
  <si>
    <t>Melting_Curves/meltCurve_sp_Q9Y6D5_BIG2_HUMAN_.pdf</t>
  </si>
  <si>
    <t>Melting_Curves/meltCurve_sp_Q9Y6D6_BIG1_HUMAN_.pdf</t>
  </si>
  <si>
    <t>Melting_Curves/meltCurve_sp_Q9Y6G5_COMDA_HUMAN_.pdf</t>
  </si>
  <si>
    <t>Melting_Curves/meltCurve_sp_Q9Y6G9_DC1L1_HUMAN_.pdf</t>
  </si>
  <si>
    <t>Melting_Curves/meltCurve_sp_Q9Y6H1_CHCH2_HUMAN_.pdf</t>
  </si>
  <si>
    <t>Melting_Curves/meltCurve_sp_Q9Y6I3_3_EPN1_HUMAN_.pdf</t>
  </si>
  <si>
    <t>Melting_Curves/meltCurve_sp_Q9Y6I9_TX264_HUMAN_.pdf</t>
  </si>
  <si>
    <t>Melting_Curves/meltCurve_sp_Q9Y6K5_OAS3_HUMAN_.pdf</t>
  </si>
  <si>
    <t>Melting_Curves/meltCurve_sp_Q9Y6K9_NEMO_HUMAN_.pdf</t>
  </si>
  <si>
    <t>Melting_Curves/meltCurve_sp_Q9Y6N5_SQRD_HUMAN_.pdf</t>
  </si>
  <si>
    <t>Melting_Curves/meltCurve_sp_Q9Y6V0_2_PCLO_HUMAN_.pdf</t>
  </si>
  <si>
    <t>Melting_Curves/meltCurve_sp_Q9Y6W3_CAN7_HUMAN_.pdf</t>
  </si>
  <si>
    <t>Melting_Curves/meltCurve_sp_Q9Y6W5_WASF2_HUMAN_.pdf</t>
  </si>
  <si>
    <t>Melting_Curves/meltCurve_sp_Q9Y6X8_ZHX2_HUMAN_.pdf</t>
  </si>
  <si>
    <t>Melting_Curves/meltCurve_tr_A1A528_A1A528_HUMAN_.pdf</t>
  </si>
  <si>
    <t>Melting_Curves/meltCurve_tr_A2ABK1_A2ABK1_HUMAN_.pdf</t>
  </si>
  <si>
    <t>Melting_Curves/meltCurve_tr_A3KFL4_A3KFL4_HUMAN_.pdf</t>
  </si>
  <si>
    <t>Melting_Curves/meltCurve_tr_A6H8Z3_A6H8Z3_HUMAN_.pdf</t>
  </si>
  <si>
    <t>Melting_Curves/meltCurve_tr_A6NG79_A6NG79_HUMAN_.pdf</t>
  </si>
  <si>
    <t>Melting_Curves/meltCurve_tr_A6NGP5_A6NGP5_HUMAN_.pdf</t>
  </si>
  <si>
    <t>Melting_Curves/meltCurve_tr_A6NHN7_A6NHN7_HUMAN_.pdf</t>
  </si>
  <si>
    <t>Melting_Curves/meltCurve_tr_A6NIR2_A6NIR2_HUMAN_.pdf</t>
  </si>
  <si>
    <t>Melting_Curves/meltCurve_tr_A6NML8_A6NML8_HUMAN_.pdf</t>
  </si>
  <si>
    <t>Melting_Curves/meltCurve_tr_A8MTY9_A8MTY9_HUMAN_.pdf</t>
  </si>
  <si>
    <t>Melting_Curves/meltCurve_tr_A8MU28_A8MU28_HUMAN_.pdf</t>
  </si>
  <si>
    <t>Melting_Curves/meltCurve_tr_A8MU44_A8MU44_HUMAN_.pdf</t>
  </si>
  <si>
    <t>Melting_Curves/meltCurve_tr_A8MUB1_A8MUB1_HUMAN_.pdf</t>
  </si>
  <si>
    <t>Melting_Curves/meltCurve_tr_A8MV73_A8MV73_HUMAN_.pdf</t>
  </si>
  <si>
    <t>Melting_Curves/meltCurve_tr_A8MVQ8_A8MVQ8_HUMAN_.pdf</t>
  </si>
  <si>
    <t>Melting_Curves/meltCurve_tr_A9Z1X7_A9Z1X7_HUMAN_.pdf</t>
  </si>
  <si>
    <t>Melting_Curves/meltCurve_tr_B0UX83_B0UX83_HUMAN_.pdf</t>
  </si>
  <si>
    <t>Melting_Curves/meltCurve_tr_B0V0T3_B0V0T3_HUMAN_.pdf</t>
  </si>
  <si>
    <t>Melting_Curves/meltCurve_tr_B1AK87_B1AK87_HUMAN_.pdf</t>
  </si>
  <si>
    <t>Melting_Curves/meltCurve_tr_B1AKG0_B1AKG0_HUMAN_.pdf</t>
  </si>
  <si>
    <t>Melting_Curves/meltCurve_tr_B1AKL4_B1AKL4_HUMAN_.pdf</t>
  </si>
  <si>
    <t>Melting_Curves/meltCurve_tr_B1AKN7_B1AKN7_HUMAN_.pdf</t>
  </si>
  <si>
    <t>Melting_Curves/meltCurve_tr_B1AKZ5_B1AKZ5_HUMAN_.pdf</t>
  </si>
  <si>
    <t>Melting_Curves/meltCurve_tr_B1AL69_B1AL69_HUMAN_.pdf</t>
  </si>
  <si>
    <t>Melting_Curves/meltCurve_tr_B1ALY0_B1ALY0_HUMAN_.pdf</t>
  </si>
  <si>
    <t>Melting_Curves/meltCurve_tr_B1AMX9_B1AMX9_HUMAN_.pdf</t>
  </si>
  <si>
    <t>Melting_Curves/meltCurve_tr_B1ANH0_B1ANH0_HUMAN_.pdf</t>
  </si>
  <si>
    <t>Melting_Curves/meltCurve_tr_B3KP49_B3KP49_HUMAN_.pdf</t>
  </si>
  <si>
    <t>Melting_Curves/meltCurve_tr_B3KSI9_B3KSI9_HUMAN_.pdf</t>
  </si>
  <si>
    <t>Melting_Curves/meltCurve_tr_B3KVH8_B3KVH8_HUMAN_.pdf</t>
  </si>
  <si>
    <t>Melting_Curves/meltCurve_tr_B3KWW1_B3KWW1_HUMAN_.pdf</t>
  </si>
  <si>
    <t>Melting_Curves/meltCurve_tr_B3KY83_B3KY83_HUMAN_.pdf</t>
  </si>
  <si>
    <t>Melting_Curves/meltCurve_tr_B4DDD1_B4DDD1_HUMAN_.pdf</t>
  </si>
  <si>
    <t>Melting_Curves/meltCurve_tr_B4DDD6_B4DDD6_HUMAN_.pdf</t>
  </si>
  <si>
    <t>Melting_Curves/meltCurve_tr_B4DDF4_B4DDF4_HUMAN_.pdf</t>
  </si>
  <si>
    <t>Melting_Curves/meltCurve_tr_B4DDZ0_B4DDZ0_HUMAN_.pdf</t>
  </si>
  <si>
    <t>Melting_Curves/meltCurve_tr_B4DE16_B4DE16_HUMAN_.pdf</t>
  </si>
  <si>
    <t>Melting_Curves/meltCurve_tr_B4DFA2_B4DFA2_HUMAN_.pdf</t>
  </si>
  <si>
    <t>Melting_Curves/meltCurve_tr_B4DFI9_B4DFI9_HUMAN_.pdf</t>
  </si>
  <si>
    <t>Melting_Curves/meltCurve_tr_B4DFM8_B4DFM8_HUMAN_.pdf</t>
  </si>
  <si>
    <t>Melting_Curves/meltCurve_tr_B4DFQ4_B4DFQ4_HUMAN_.pdf</t>
  </si>
  <si>
    <t>Melting_Curves/meltCurve_tr_B4DGU4_B4DGU4_HUMAN_.pdf</t>
  </si>
  <si>
    <t>Melting_Curves/meltCurve_tr_B4DGX2_B4DGX2_HUMAN_.pdf</t>
  </si>
  <si>
    <t>Melting_Curves/meltCurve_tr_B4DH53_B4DH53_HUMAN_.pdf</t>
  </si>
  <si>
    <t>Melting_Curves/meltCurve_tr_B4DHJ7_B4DHJ7_HUMAN_.pdf</t>
  </si>
  <si>
    <t>Melting_Curves/meltCurve_tr_B4DHT5_B4DHT5_HUMAN_.pdf</t>
  </si>
  <si>
    <t>Melting_Curves/meltCurve_tr_B4DIT7_B4DIT7_HUMAN_.pdf</t>
  </si>
  <si>
    <t>Melting_Curves/meltCurve_tr_B4DJ85_B4DJ85_HUMAN_.pdf</t>
  </si>
  <si>
    <t>Melting_Curves/meltCurve_tr_B4DJA5_B4DJA5_HUMAN_.pdf</t>
  </si>
  <si>
    <t>Melting_Curves/meltCurve_tr_B4DJP7_B4DJP7_HUMAN_.pdf</t>
  </si>
  <si>
    <t>Melting_Curves/meltCurve_tr_B4DJV2_B4DJV2_HUMAN_.pdf</t>
  </si>
  <si>
    <t>Melting_Curves/meltCurve_tr_B4DK69_B4DK69_HUMAN_.pdf</t>
  </si>
  <si>
    <t>Melting_Curves/meltCurve_tr_B4DK95_B4DK95_HUMAN_.pdf</t>
  </si>
  <si>
    <t>Melting_Curves/meltCurve_tr_B4DKJ3_B4DKJ3_HUMAN_.pdf</t>
  </si>
  <si>
    <t>Melting_Curves/meltCurve_tr_B4DKL4_B4DKL4_HUMAN_.pdf</t>
  </si>
  <si>
    <t>Melting_Curves/meltCurve_tr_B4DL14_B4DL14_HUMAN_.pdf</t>
  </si>
  <si>
    <t>Melting_Curves/meltCurve_tr_B4DL54_B4DL54_HUMAN_.pdf</t>
  </si>
  <si>
    <t>Melting_Curves/meltCurve_tr_B4DLW8_B4DLW8_HUMAN_.pdf</t>
  </si>
  <si>
    <t>Melting_Curves/meltCurve_tr_B4DP21_B4DP21_HUMAN_.pdf</t>
  </si>
  <si>
    <t>Melting_Curves/meltCurve_tr_B4DP38_B4DP38_HUMAN_.pdf</t>
  </si>
  <si>
    <t>Melting_Curves/meltCurve_tr_B4DPM9_B4DPM9_HUMAN_.pdf</t>
  </si>
  <si>
    <t>Melting_Curves/meltCurve_tr_B4DPR4_B4DPR4_HUMAN_.pdf</t>
  </si>
  <si>
    <t>Melting_Curves/meltCurve_tr_B4DQ14_B4DQ14_HUMAN_.pdf</t>
  </si>
  <si>
    <t>Melting_Curves/meltCurve_tr_B4DQA8_B4DQA8_HUMAN_.pdf</t>
  </si>
  <si>
    <t>Melting_Curves/meltCurve_tr_B4DQJ8_B4DQJ8_HUMAN_.pdf</t>
  </si>
  <si>
    <t>Melting_Curves/meltCurve_tr_B4DR80_B4DR80_HUMAN_.pdf</t>
  </si>
  <si>
    <t>Melting_Curves/meltCurve_tr_B4DRL9_B4DRL9_HUMAN_.pdf</t>
  </si>
  <si>
    <t>Melting_Curves/meltCurve_tr_B4DSN5_B4DSN5_HUMAN_.pdf</t>
  </si>
  <si>
    <t>Melting_Curves/meltCurve_tr_B4DT77_B4DT77_HUMAN_.pdf</t>
  </si>
  <si>
    <t>Melting_Curves/meltCurve_tr_B4DTG6_B4DTG6_HUMAN_.pdf</t>
  </si>
  <si>
    <t>Melting_Curves/meltCurve_tr_B4DUS9_B4DUS9_HUMAN_.pdf</t>
  </si>
  <si>
    <t>Melting_Curves/meltCurve_tr_B4DV96_B4DV96_HUMAN_.pdf</t>
  </si>
  <si>
    <t>Melting_Curves/meltCurve_tr_B4DVG8_B4DVG8_HUMAN_.pdf</t>
  </si>
  <si>
    <t>Melting_Curves/meltCurve_tr_B4DVY1_B4DVY1_HUMAN_.pdf</t>
  </si>
  <si>
    <t>Melting_Curves/meltCurve_tr_B4DWI1_B4DWI1_HUMAN_.pdf</t>
  </si>
  <si>
    <t>Melting_Curves/meltCurve_tr_B4DWW4_B4DWW4_HUMAN_.pdf</t>
  </si>
  <si>
    <t>Melting_Curves/meltCurve_tr_B4DXK4_B4DXK4_HUMAN_.pdf</t>
  </si>
  <si>
    <t>Melting_Curves/meltCurve_tr_B4DXP9_B4DXP9_HUMAN_.pdf</t>
  </si>
  <si>
    <t>Melting_Curves/meltCurve_tr_B4DXW4_B4DXW4_HUMAN_.pdf</t>
  </si>
  <si>
    <t>Melting_Curves/meltCurve_tr_B4DZW6_B4DZW6_HUMAN_.pdf</t>
  </si>
  <si>
    <t>Melting_Curves/meltCurve_tr_B4E072_B4E072_HUMAN_.pdf</t>
  </si>
  <si>
    <t>Melting_Curves/meltCurve_tr_B4E107_B4E107_HUMAN_.pdf</t>
  </si>
  <si>
    <t>Melting_Curves/meltCurve_tr_B4E1Z4_B4E1Z4_HUMAN_.pdf</t>
  </si>
  <si>
    <t>Melting_Curves/meltCurve_tr_B4E241_B4E241_HUMAN_.pdf</t>
  </si>
  <si>
    <t>Melting_Curves/meltCurve_tr_B4E2W0_B4E2W0_HUMAN_.pdf</t>
  </si>
  <si>
    <t>Melting_Curves/meltCurve_tr_B4E3J8_B4E3J8_HUMAN_.pdf</t>
  </si>
  <si>
    <t>Melting_Curves/meltCurve_tr_B4E3Q4_B4E3Q4_HUMAN_.pdf</t>
  </si>
  <si>
    <t>Melting_Curves/meltCurve_tr_B5MC59_B5MC59_HUMAN_.pdf</t>
  </si>
  <si>
    <t>Melting_Curves/meltCurve_tr_B5MCP9_B5MCP9_HUMAN_.pdf</t>
  </si>
  <si>
    <t>Melting_Curves/meltCurve_tr_B5MCX3_B5MCX3_HUMAN_.pdf</t>
  </si>
  <si>
    <t>Melting_Curves/meltCurve_tr_B7Z1L3_B7Z1L3_HUMAN_.pdf</t>
  </si>
  <si>
    <t>Melting_Curves/meltCurve_tr_B7Z1R5_B7Z1R5_HUMAN_.pdf</t>
  </si>
  <si>
    <t>Melting_Curves/meltCurve_tr_B7Z1T4_B7Z1T4_HUMAN_.pdf</t>
  </si>
  <si>
    <t>Melting_Curves/meltCurve_tr_B7Z1W9_B7Z1W9_HUMAN_.pdf</t>
  </si>
  <si>
    <t>Melting_Curves/meltCurve_tr_B7Z242_B7Z242_HUMAN_.pdf</t>
  </si>
  <si>
    <t>Melting_Curves/meltCurve_tr_B7Z254_B7Z254_HUMAN_.pdf</t>
  </si>
  <si>
    <t>Melting_Curves/meltCurve_tr_B7Z2C3_B7Z2C3_HUMAN_.pdf</t>
  </si>
  <si>
    <t>Melting_Curves/meltCurve_tr_B7Z2R9_B7Z2R9_HUMAN_.pdf</t>
  </si>
  <si>
    <t>Melting_Curves/meltCurve_tr_B7Z2X9_B7Z2X9_HUMAN_.pdf</t>
  </si>
  <si>
    <t>Melting_Curves/meltCurve_tr_B7Z2Y2_B7Z2Y2_HUMAN_.pdf</t>
  </si>
  <si>
    <t>Melting_Curves/meltCurve_tr_B7Z341_B7Z341_HUMAN_.pdf</t>
  </si>
  <si>
    <t>Melting_Curves/meltCurve_tr_B7Z385_B7Z385_HUMAN_.pdf</t>
  </si>
  <si>
    <t>Melting_Curves/meltCurve_tr_B7Z3B9_B7Z3B9_HUMAN_.pdf</t>
  </si>
  <si>
    <t>Melting_Curves/meltCurve_tr_B7Z3I9_B7Z3I9_HUMAN_.pdf</t>
  </si>
  <si>
    <t>Melting_Curves/meltCurve_tr_B7Z493_B7Z493_HUMAN_.pdf</t>
  </si>
  <si>
    <t>Melting_Curves/meltCurve_tr_B7Z4K4_B7Z4K4_HUMAN_.pdf</t>
  </si>
  <si>
    <t>Melting_Curves/meltCurve_tr_B7Z4K6_B7Z4K6_HUMAN_.pdf</t>
  </si>
  <si>
    <t>Melting_Curves/meltCurve_tr_B7Z4L4_B7Z4L4_HUMAN_.pdf</t>
  </si>
  <si>
    <t>Melting_Curves/meltCurve_tr_B7Z4M2_B7Z4M2_HUMAN_.pdf</t>
  </si>
  <si>
    <t>Melting_Curves/meltCurve_tr_B7Z583_B7Z583_HUMAN_.pdf</t>
  </si>
  <si>
    <t>Melting_Curves/meltCurve_tr_B7Z6B8_B7Z6B8_HUMAN_.pdf</t>
  </si>
  <si>
    <t>Melting_Curves/meltCurve_tr_B7Z6P0_B7Z6P0_HUMAN_.pdf</t>
  </si>
  <si>
    <t>Melting_Curves/meltCurve_tr_B7Z729_B7Z729_HUMAN_.pdf</t>
  </si>
  <si>
    <t>Melting_Curves/meltCurve_tr_B7Z7F3_B7Z7F3_HUMAN_.pdf</t>
  </si>
  <si>
    <t>Melting_Curves/meltCurve_tr_B7Z7F9_B7Z7F9_HUMAN_.pdf</t>
  </si>
  <si>
    <t>Melting_Curves/meltCurve_tr_B7Z815_B7Z815_HUMAN_.pdf</t>
  </si>
  <si>
    <t>Melting_Curves/meltCurve_tr_B7Z8V7_B7Z8V7_HUMAN_.pdf</t>
  </si>
  <si>
    <t>Melting_Curves/meltCurve_tr_B7Z9K1_B7Z9K1_HUMAN_.pdf</t>
  </si>
  <si>
    <t>Melting_Curves/meltCurve_tr_B8ZZG1_B8ZZG1_HUMAN_.pdf</t>
  </si>
  <si>
    <t>Melting_Curves/meltCurve_tr_B8ZZQ6_B8ZZQ6_HUMAN_.pdf</t>
  </si>
  <si>
    <t>Melting_Curves/meltCurve_tr_B8ZZU8_B8ZZU8_HUMAN_.pdf</t>
  </si>
  <si>
    <t>Melting_Curves/meltCurve_tr_C0H5X6_C0H5X6_HUMAN_.pdf</t>
  </si>
  <si>
    <t>Melting_Curves/meltCurve_tr_C9IZA5_C9IZA5_HUMAN_.pdf</t>
  </si>
  <si>
    <t>Melting_Curves/meltCurve_tr_C9IZG4_C9IZG4_HUMAN_.pdf</t>
  </si>
  <si>
    <t>Melting_Curves/meltCurve_tr_C9J050_C9J050_HUMAN_.pdf</t>
  </si>
  <si>
    <t>Melting_Curves/meltCurve_tr_C9J0K6_C9J0K6_HUMAN_.pdf</t>
  </si>
  <si>
    <t>Melting_Curves/meltCurve_tr_C9J1Z8_C9J1Z8_HUMAN_.pdf</t>
  </si>
  <si>
    <t>Melting_Curves/meltCurve_tr_C9J212_C9J212_HUMAN_.pdf</t>
  </si>
  <si>
    <t>Melting_Curves/meltCurve_tr_C9J5D1_C9J5D1_HUMAN_.pdf</t>
  </si>
  <si>
    <t>Melting_Curves/meltCurve_tr_C9J5S3_C9J5S3_HUMAN_.pdf</t>
  </si>
  <si>
    <t>Melting_Curves/meltCurve_tr_C9J9K3_C9J9K3_HUMAN_.pdf</t>
  </si>
  <si>
    <t>Melting_Curves/meltCurve_tr_C9JAX1_C9JAX1_HUMAN_.pdf</t>
  </si>
  <si>
    <t>Melting_Curves/meltCurve_tr_C9JB55_C9JB55_HUMAN_.pdf</t>
  </si>
  <si>
    <t>Melting_Curves/meltCurve_tr_C9JBI3_C9JBI3_HUMAN_.pdf</t>
  </si>
  <si>
    <t>Melting_Curves/meltCurve_tr_C9JBJ6_C9JBJ6_HUMAN_.pdf</t>
  </si>
  <si>
    <t>Melting_Curves/meltCurve_tr_C9JBY7_C9JBY7_HUMAN_.pdf</t>
  </si>
  <si>
    <t>Melting_Curves/meltCurve_tr_C9JCD9_C9JCD9_HUMAN_.pdf</t>
  </si>
  <si>
    <t>Melting_Curves/meltCurve_tr_C9JDE9_C9JDE9_HUMAN_.pdf</t>
  </si>
  <si>
    <t>Melting_Curves/meltCurve_tr_C9JEL3_C9JEL3_HUMAN_.pdf</t>
  </si>
  <si>
    <t>Melting_Curves/meltCurve_tr_C9JFE4_C9JFE4_HUMAN_.pdf</t>
  </si>
  <si>
    <t>Melting_Curves/meltCurve_tr_C9JG87_C9JG87_HUMAN_.pdf</t>
  </si>
  <si>
    <t>Melting_Curves/meltCurve_tr_C9JG97_C9JG97_HUMAN_.pdf</t>
  </si>
  <si>
    <t>Melting_Curves/meltCurve_tr_C9JGB2_C9JGB2_HUMAN_.pdf</t>
  </si>
  <si>
    <t>Melting_Curves/meltCurve_tr_C9JIS1_C9JIS1_HUMAN_.pdf</t>
  </si>
  <si>
    <t>Melting_Curves/meltCurve_tr_C9JJ54_C9JJ54_HUMAN_.pdf</t>
  </si>
  <si>
    <t>Melting_Curves/meltCurve_tr_C9JJV1_C9JJV1_HUMAN_.pdf</t>
  </si>
  <si>
    <t>Melting_Curves/meltCurve_tr_C9JNE2_C9JNE2_HUMAN_.pdf</t>
  </si>
  <si>
    <t>Melting_Curves/meltCurve_tr_C9JPM4_C9JPM4_HUMAN_.pdf</t>
  </si>
  <si>
    <t>Melting_Curves/meltCurve_tr_C9JQ41_C9JQ41_HUMAN_.pdf</t>
  </si>
  <si>
    <t>Melting_Curves/meltCurve_tr_C9JQD4_C9JQD4_HUMAN_.pdf</t>
  </si>
  <si>
    <t>Melting_Curves/meltCurve_tr_C9JS27_C9JS27_HUMAN_.pdf</t>
  </si>
  <si>
    <t>Melting_Curves/meltCurve_tr_C9JV49_C9JV49_HUMAN_.pdf</t>
  </si>
  <si>
    <t>Melting_Curves/meltCurve_tr_C9JVE2_C9JVE2_HUMAN_.pdf</t>
  </si>
  <si>
    <t>Melting_Curves/meltCurve_tr_C9JVN9_C9JVN9_HUMAN_.pdf</t>
  </si>
  <si>
    <t>Melting_Curves/meltCurve_tr_C9JW69_C9JW69_HUMAN_.pdf</t>
  </si>
  <si>
    <t>Melting_Curves/meltCurve_tr_C9JWG0_C9JWG0_HUMAN_.pdf</t>
  </si>
  <si>
    <t>Melting_Curves/meltCurve_tr_C9JWU7_C9JWU7_HUMAN_.pdf</t>
  </si>
  <si>
    <t>Melting_Curves/meltCurve_tr_C9JXB8_C9JXB8_HUMAN_.pdf</t>
  </si>
  <si>
    <t>Melting_Curves/meltCurve_tr_C9JXK0_C9JXK0_HUMAN_.pdf</t>
  </si>
  <si>
    <t>Melting_Curves/meltCurve_tr_C9JXK9_C9JXK9_HUMAN_.pdf</t>
  </si>
  <si>
    <t>Melting_Curves/meltCurve_tr_C9JYZ0_C9JYZ0_HUMAN_.pdf</t>
  </si>
  <si>
    <t>Melting_Curves/meltCurve_tr_C9JZP6_C9JZP6_HUMAN_.pdf</t>
  </si>
  <si>
    <t>Melting_Curves/meltCurve_tr_C9JZY6_C9JZY6_HUMAN_.pdf</t>
  </si>
  <si>
    <t>Melting_Curves/meltCurve_tr_D3DR31_D3DR31_HUMAN_.pdf</t>
  </si>
  <si>
    <t>Melting_Curves/meltCurve_tr_D3YHP0_D3YHP0_HUMAN_.pdf</t>
  </si>
  <si>
    <t>Melting_Curves/meltCurve_tr_D3YTE0_D3YTE0_HUMAN_.pdf</t>
  </si>
  <si>
    <t>Melting_Curves/meltCurve_tr_D6R905_D6R905_HUMAN_.pdf</t>
  </si>
  <si>
    <t>Melting_Curves/meltCurve_tr_D6R9C7_D6R9C7_HUMAN_.pdf</t>
  </si>
  <si>
    <t>Melting_Curves/meltCurve_tr_D6R9P3_D6R9P3_HUMAN_.pdf</t>
  </si>
  <si>
    <t>Melting_Curves/meltCurve_tr_D6RB81_D6RB81_HUMAN_.pdf</t>
  </si>
  <si>
    <t>Melting_Curves/meltCurve_tr_D6RBN5_D6RBN5_HUMAN_.pdf</t>
  </si>
  <si>
    <t>Melting_Curves/meltCurve_tr_D6RBS9_D6RBS9_HUMAN_.pdf</t>
  </si>
  <si>
    <t>Melting_Curves/meltCurve_tr_D6RBV0_D6RBV0_HUMAN_.pdf</t>
  </si>
  <si>
    <t>Melting_Curves/meltCurve_tr_D6RCD0_D6RCD0_HUMAN_.pdf</t>
  </si>
  <si>
    <t>Melting_Curves/meltCurve_tr_D6RD47_D6RD47_HUMAN_.pdf</t>
  </si>
  <si>
    <t>Melting_Curves/meltCurve_tr_D6RD67_D6RD67_HUMAN_.pdf</t>
  </si>
  <si>
    <t>Melting_Curves/meltCurve_tr_D6RDG3_D6RDG3_HUMAN_.pdf</t>
  </si>
  <si>
    <t>Melting_Curves/meltCurve_tr_D6RGI3_D6RGI3_HUMAN_.pdf</t>
  </si>
  <si>
    <t>Melting_Curves/meltCurve_tr_D6RHI9_D6RHI9_HUMAN_.pdf</t>
  </si>
  <si>
    <t>Melting_Curves/meltCurve_tr_E2QRD0_E2QRD0_HUMAN_.pdf</t>
  </si>
  <si>
    <t>Melting_Curves/meltCurve_tr_E2QRD5_E2QRD5_HUMAN_.pdf</t>
  </si>
  <si>
    <t>Melting_Curves/meltCurve_tr_E5RFZ8_E5RFZ8_HUMAN_.pdf</t>
  </si>
  <si>
    <t>Melting_Curves/meltCurve_tr_E5RGX5_E5RGX5_HUMAN_.pdf</t>
  </si>
  <si>
    <t>Melting_Curves/meltCurve_tr_E5RHF4_E5RHF4_HUMAN_.pdf</t>
  </si>
  <si>
    <t>Melting_Curves/meltCurve_tr_E5RHG8_E5RHG8_HUMAN_.pdf</t>
  </si>
  <si>
    <t>Melting_Curves/meltCurve_tr_E5RHG9_E5RHG9_HUMAN_.pdf</t>
  </si>
  <si>
    <t>Melting_Curves/meltCurve_tr_E5RIG5_E5RIG5_HUMAN_.pdf</t>
  </si>
  <si>
    <t>Melting_Curves/meltCurve_tr_E5RJ68_E5RJ68_HUMAN_.pdf</t>
  </si>
  <si>
    <t>Melting_Curves/meltCurve_tr_E5RJD2_E5RJD2_HUMAN_.pdf</t>
  </si>
  <si>
    <t>Melting_Curves/meltCurve_tr_E5RJR5_E5RJR5_HUMAN_.pdf</t>
  </si>
  <si>
    <t>Melting_Curves/meltCurve_tr_E5RJU9_E5RJU9_HUMAN_.pdf</t>
  </si>
  <si>
    <t>Melting_Curves/meltCurve_tr_E5RK00_E5RK00_HUMAN_.pdf</t>
  </si>
  <si>
    <t>Melting_Curves/meltCurve_tr_E7EM64_E7EM64_HUMAN_.pdf</t>
  </si>
  <si>
    <t>Melting_Curves/meltCurve_tr_E7EMM2_E7EMM2_HUMAN_.pdf</t>
  </si>
  <si>
    <t>Melting_Curves/meltCurve_tr_E7EMM4_E7EMM4_HUMAN_.pdf</t>
  </si>
  <si>
    <t>Melting_Curves/meltCurve_tr_E7EMN2_E7EMN2_HUMAN_.pdf</t>
  </si>
  <si>
    <t>Melting_Curves/meltCurve_tr_E7EMZ9_E7EMZ9_HUMAN_.pdf</t>
  </si>
  <si>
    <t>Melting_Curves/meltCurve_tr_E7ENN3_E7ENN3_HUMAN_.pdf</t>
  </si>
  <si>
    <t>Melting_Curves/meltCurve_tr_E7EP00_E7EP00_HUMAN_.pdf</t>
  </si>
  <si>
    <t>Melting_Curves/meltCurve_tr_E7EPD0_E7EPD0_HUMAN_.pdf</t>
  </si>
  <si>
    <t>Melting_Curves/meltCurve_tr_E7EPL4_E7EPL4_HUMAN_.pdf</t>
  </si>
  <si>
    <t>Melting_Curves/meltCurve_tr_E7EQA9_E7EQA9_HUMAN_.pdf</t>
  </si>
  <si>
    <t>Melting_Curves/meltCurve_tr_E7EQI7_E7EQI7_HUMAN_.pdf</t>
  </si>
  <si>
    <t>Melting_Curves/meltCurve_tr_E7EQT4_E7EQT4_HUMAN_.pdf</t>
  </si>
  <si>
    <t>Melting_Curves/meltCurve_tr_E7ER68_E7ER68_HUMAN_.pdf</t>
  </si>
  <si>
    <t>Melting_Curves/meltCurve_tr_E7ERJ0_E7ERJ0_HUMAN_.pdf</t>
  </si>
  <si>
    <t>Melting_Curves/meltCurve_tr_E7ES08_E7ES08_HUMAN_.pdf</t>
  </si>
  <si>
    <t>Melting_Curves/meltCurve_tr_E7ET15_E7ET15_HUMAN_.pdf</t>
  </si>
  <si>
    <t>Melting_Curves/meltCurve_tr_E7ETA6_E7ETA6_HUMAN_.pdf</t>
  </si>
  <si>
    <t>Melting_Curves/meltCurve_tr_E7ETZ4_E7ETZ4_HUMAN_.pdf</t>
  </si>
  <si>
    <t>Melting_Curves/meltCurve_tr_E7EU96_E7EU96_HUMAN_.pdf</t>
  </si>
  <si>
    <t>Melting_Curves/meltCurve_tr_E7EUG6_E7EUG6_HUMAN_.pdf</t>
  </si>
  <si>
    <t>Melting_Curves/meltCurve_tr_E7EUN9_E7EUN9_HUMAN_.pdf</t>
  </si>
  <si>
    <t>Melting_Curves/meltCurve_tr_E7EVD1_E7EVD1_HUMAN_.pdf</t>
  </si>
  <si>
    <t>Melting_Curves/meltCurve_tr_E7EVJ5_E7EVJ5_HUMAN_.pdf</t>
  </si>
  <si>
    <t>Melting_Curves/meltCurve_tr_E7EW52_E7EW52_HUMAN_.pdf</t>
  </si>
  <si>
    <t>Melting_Curves/meltCurve_tr_E7EW69_E7EW69_HUMAN_.pdf</t>
  </si>
  <si>
    <t>Melting_Curves/meltCurve_tr_E7EW84_E7EW84_HUMAN_.pdf</t>
  </si>
  <si>
    <t>Melting_Curves/meltCurve_tr_E7EX73_E7EX73_HUMAN_.pdf</t>
  </si>
  <si>
    <t>Melting_Curves/meltCurve_tr_E7EX83_E7EX83_HUMAN_.pdf</t>
  </si>
  <si>
    <t>Melting_Curves/meltCurve_tr_E9PB09_E9PB09_HUMAN_.pdf</t>
  </si>
  <si>
    <t>Melting_Curves/meltCurve_tr_E9PB14_E9PB14_HUMAN_.pdf</t>
  </si>
  <si>
    <t>Melting_Curves/meltCurve_tr_E9PBL8_E9PBL8_HUMAN_.pdf</t>
  </si>
  <si>
    <t>Melting_Curves/meltCurve_tr_E9PC74_E9PC74_HUMAN_.pdf</t>
  </si>
  <si>
    <t>Melting_Curves/meltCurve_tr_E9PCG9_E9PCG9_HUMAN_.pdf</t>
  </si>
  <si>
    <t>Melting_Curves/meltCurve_tr_E9PCJ7_E9PCJ7_HUMAN_.pdf</t>
  </si>
  <si>
    <t>Melting_Curves/meltCurve_tr_E9PCY7_E9PCY7_HUMAN_.pdf</t>
  </si>
  <si>
    <t>Melting_Curves/meltCurve_tr_E9PDQ5_E9PDQ5_HUMAN_.pdf</t>
  </si>
  <si>
    <t>Melting_Curves/meltCurve_tr_E9PDR5_E9PDR5_HUMAN_.pdf</t>
  </si>
  <si>
    <t>Melting_Curves/meltCurve_tr_E9PEG3_E9PEG3_HUMAN_.pdf</t>
  </si>
  <si>
    <t>Melting_Curves/meltCurve_tr_E9PEZ3_E9PEZ3_HUMAN_.pdf</t>
  </si>
  <si>
    <t>Melting_Curves/meltCurve_tr_E9PF01_E9PF01_HUMAN_.pdf</t>
  </si>
  <si>
    <t>Melting_Curves/meltCurve_tr_E9PFC1_E9PFC1_HUMAN_.pdf</t>
  </si>
  <si>
    <t>Melting_Curves/meltCurve_tr_E9PFD7_E9PFD7_HUMAN_.pdf</t>
  </si>
  <si>
    <t>Melting_Curves/meltCurve_tr_E9PFK5_E9PFK5_HUMAN_.pdf</t>
  </si>
  <si>
    <t>Melting_Curves/meltCurve_tr_E9PFR3_E9PFR3_HUMAN_.pdf</t>
  </si>
  <si>
    <t>Melting_Curves/meltCurve_tr_E9PG46_E9PG46_HUMAN_.pdf</t>
  </si>
  <si>
    <t>Melting_Curves/meltCurve_tr_E9PG73_E9PG73_HUMAN_.pdf</t>
  </si>
  <si>
    <t>Melting_Curves/meltCurve_tr_E9PGF5_E9PGF5_HUMAN_.pdf</t>
  </si>
  <si>
    <t>Melting_Curves/meltCurve_tr_E9PGF9_E9PGF9_HUMAN_.pdf</t>
  </si>
  <si>
    <t>Melting_Curves/meltCurve_tr_E9PGM7_E9PGM7_HUMAN_.pdf</t>
  </si>
  <si>
    <t>Melting_Curves/meltCurve_tr_E9PGT1_E9PGT1_HUMAN_.pdf</t>
  </si>
  <si>
    <t>Melting_Curves/meltCurve_tr_E9PGW7_E9PGW7_HUMAN_.pdf</t>
  </si>
  <si>
    <t>Melting_Curves/meltCurve_tr_E9PH29_E9PH29_HUMAN_.pdf</t>
  </si>
  <si>
    <t>Melting_Curves/meltCurve_tr_E9PHK0_E9PHK0_HUMAN_.pdf</t>
  </si>
  <si>
    <t>Melting_Curves/meltCurve_tr_E9PHM2_E9PHM2_HUMAN_.pdf</t>
  </si>
  <si>
    <t>Melting_Curves/meltCurve_tr_E9PHV4_E9PHV4_HUMAN_.pdf</t>
  </si>
  <si>
    <t>Melting_Curves/meltCurve_tr_E9PHV5_E9PHV5_HUMAN_.pdf</t>
  </si>
  <si>
    <t>Melting_Curves/meltCurve_tr_E9PHY8_E9PHY8_HUMAN_.pdf</t>
  </si>
  <si>
    <t>Melting_Curves/meltCurve_tr_E9PIB9_E9PIB9_HUMAN_.pdf</t>
  </si>
  <si>
    <t>Melting_Curves/meltCurve_tr_E9PIC2_E9PIC2_HUMAN_.pdf</t>
  </si>
  <si>
    <t>Melting_Curves/meltCurve_tr_E9PIR7_E9PIR7_HUMAN_.pdf</t>
  </si>
  <si>
    <t>Melting_Curves/meltCurve_tr_E9PJ81_E9PJ81_HUMAN_.pdf</t>
  </si>
  <si>
    <t>Melting_Curves/meltCurve_tr_E9PJD7_E9PJD7_HUMAN_.pdf</t>
  </si>
  <si>
    <t>Melting_Curves/meltCurve_tr_E9PJH1_E9PJH1_HUMAN_.pdf</t>
  </si>
  <si>
    <t>Melting_Curves/meltCurve_tr_E9PK01_E9PK01_HUMAN_.pdf</t>
  </si>
  <si>
    <t>Melting_Curves/meltCurve_tr_E9PK26_E9PK26_HUMAN_.pdf</t>
  </si>
  <si>
    <t>Melting_Curves/meltCurve_tr_E9PK67_E9PK67_HUMAN_.pdf</t>
  </si>
  <si>
    <t>Melting_Curves/meltCurve_tr_E9PKF3_E9PKF3_HUMAN_.pdf</t>
  </si>
  <si>
    <t>Melting_Curves/meltCurve_tr_E9PKG1_E9PKG1_HUMAN_.pdf</t>
  </si>
  <si>
    <t>Melting_Curves/meltCurve_tr_E9PKY5_E9PKY5_HUMAN_.pdf</t>
  </si>
  <si>
    <t>Melting_Curves/meltCurve_tr_E9PL22_E9PL22_HUMAN_.pdf</t>
  </si>
  <si>
    <t>Melting_Curves/meltCurve_tr_E9PL57_E9PL57_HUMAN_.pdf</t>
  </si>
  <si>
    <t>Melting_Curves/meltCurve_tr_E9PLD2_E9PLD2_HUMAN_.pdf</t>
  </si>
  <si>
    <t>Melting_Curves/meltCurve_tr_E9PLK3_E9PLK3_HUMAN_.pdf</t>
  </si>
  <si>
    <t>Melting_Curves/meltCurve_tr_E9PM46_E9PM46_HUMAN_.pdf</t>
  </si>
  <si>
    <t>Melting_Curves/meltCurve_tr_E9PMI6_E9PMI6_HUMAN_.pdf</t>
  </si>
  <si>
    <t>Melting_Curves/meltCurve_tr_E9PMS6_E9PMS6_HUMAN_.pdf</t>
  </si>
  <si>
    <t>Melting_Curves/meltCurve_tr_E9PN48_E9PN48_HUMAN_.pdf</t>
  </si>
  <si>
    <t>Melting_Curves/meltCurve_tr_E9PNK6_E9PNK6_HUMAN_.pdf</t>
  </si>
  <si>
    <t>Melting_Curves/meltCurve_tr_E9PNU4_E9PNU4_HUMAN_.pdf</t>
  </si>
  <si>
    <t>Melting_Curves/meltCurve_tr_E9PP36_E9PP36_HUMAN_.pdf</t>
  </si>
  <si>
    <t>Melting_Curves/meltCurve_tr_E9PPA0_E9PPA0_HUMAN_.pdf</t>
  </si>
  <si>
    <t>Melting_Curves/meltCurve_tr_E9PQ61_E9PQ61_HUMAN_.pdf</t>
  </si>
  <si>
    <t>Melting_Curves/meltCurve_tr_E9PQG4_E9PQG4_HUMAN_.pdf</t>
  </si>
  <si>
    <t>Melting_Curves/meltCurve_tr_E9PQL2_E9PQL2_HUMAN_.pdf</t>
  </si>
  <si>
    <t>Melting_Curves/meltCurve_tr_E9PQP7_E9PQP7_HUMAN_.pdf</t>
  </si>
  <si>
    <t>Melting_Curves/meltCurve_tr_E9PQW4_E9PQW4_HUMAN_.pdf</t>
  </si>
  <si>
    <t>Melting_Curves/meltCurve_tr_E9PQY3_E9PQY3_HUMAN_.pdf</t>
  </si>
  <si>
    <t>Melting_Curves/meltCurve_tr_E9PRE7_E9PRE7_HUMAN_.pdf</t>
  </si>
  <si>
    <t>Melting_Curves/meltCurve_tr_E9PRI4_E9PRI4_HUMAN_.pdf</t>
  </si>
  <si>
    <t>Melting_Curves/meltCurve_tr_E9PRM4_E9PRM4_HUMAN_.pdf</t>
  </si>
  <si>
    <t>Melting_Curves/meltCurve_tr_E9PRZ9_E9PRZ9_HUMAN_.pdf</t>
  </si>
  <si>
    <t>Melting_Curves/meltCurve_tr_F2Z2B9_F2Z2B9_HUMAN_.pdf</t>
  </si>
  <si>
    <t>Melting_Curves/meltCurve_tr_F2Z2E1_F2Z2E1_HUMAN_.pdf</t>
  </si>
  <si>
    <t>Melting_Curves/meltCurve_tr_F2Z2V0_F2Z2V0_HUMAN_.pdf</t>
  </si>
  <si>
    <t>Melting_Curves/meltCurve_tr_F2Z2X4_F2Z2X4_HUMAN_.pdf</t>
  </si>
  <si>
    <t>Melting_Curves/meltCurve_tr_F2Z3M0_F2Z3M0_HUMAN_.pdf</t>
  </si>
  <si>
    <t>Melting_Curves/meltCurve_tr_F5GWI4_F5GWI4_HUMAN_.pdf</t>
  </si>
  <si>
    <t>Melting_Curves/meltCurve_tr_F5GWI9_F5GWI9_HUMAN_.pdf</t>
  </si>
  <si>
    <t>Melting_Curves/meltCurve_tr_F5GWP8_F5GWP8_HUMAN_.pdf</t>
  </si>
  <si>
    <t>Melting_Curves/meltCurve_tr_F5GWT4_F5GWT4_HUMAN_.pdf</t>
  </si>
  <si>
    <t>Melting_Curves/meltCurve_tr_F5GWU7_F5GWU7_HUMAN_.pdf</t>
  </si>
  <si>
    <t>Melting_Curves/meltCurve_tr_F5GWX5_F5GWX5_HUMAN_.pdf</t>
  </si>
  <si>
    <t>Melting_Curves/meltCurve_tr_F5GX77_F5GX77_HUMAN_.pdf</t>
  </si>
  <si>
    <t>Melting_Curves/meltCurve_tr_F5GXC8_F5GXC8_HUMAN_.pdf</t>
  </si>
  <si>
    <t>Melting_Curves/meltCurve_tr_F5GY80_F5GY80_HUMAN_.pdf</t>
  </si>
  <si>
    <t>Melting_Curves/meltCurve_tr_F5GYC4_F5GYC4_HUMAN_.pdf</t>
  </si>
  <si>
    <t>Melting_Curves/meltCurve_tr_F5GYJ5_F5GYJ5_HUMAN_.pdf</t>
  </si>
  <si>
    <t>Melting_Curves/meltCurve_tr_F5GYK2_F5GYK2_HUMAN_.pdf</t>
  </si>
  <si>
    <t>Melting_Curves/meltCurve_tr_F5GYN4_F5GYN4_HUMAN_.pdf</t>
  </si>
  <si>
    <t>Melting_Curves/meltCurve_tr_F5GZ54_F5GZ54_HUMAN_.pdf</t>
  </si>
  <si>
    <t>Melting_Curves/meltCurve_tr_F5GZ78_F5GZ78_HUMAN_.pdf</t>
  </si>
  <si>
    <t>Melting_Curves/meltCurve_tr_F5GZU5_F5GZU5_HUMAN_.pdf</t>
  </si>
  <si>
    <t>Melting_Curves/meltCurve_tr_F5GZZ9_F5GZZ9_HUMAN_.pdf</t>
  </si>
  <si>
    <t>Melting_Curves/meltCurve_tr_F5H012_F5H012_HUMAN_.pdf</t>
  </si>
  <si>
    <t>Melting_Curves/meltCurve_tr_F5H0B0_F5H0B0_HUMAN_.pdf</t>
  </si>
  <si>
    <t>Melting_Curves/meltCurve_tr_F5H0L8_F5H0L8_HUMAN_.pdf</t>
  </si>
  <si>
    <t>Melting_Curves/meltCurve_tr_F5H157_F5H157_HUMAN_.pdf</t>
  </si>
  <si>
    <t>Melting_Curves/meltCurve_tr_F5H1L4_F5H1L4_HUMAN_.pdf</t>
  </si>
  <si>
    <t>Melting_Curves/meltCurve_tr_F5H1X8_F5H1X8_HUMAN_.pdf</t>
  </si>
  <si>
    <t>Melting_Curves/meltCurve_tr_F5H1Z6_F5H1Z6_HUMAN_.pdf</t>
  </si>
  <si>
    <t>Melting_Curves/meltCurve_tr_F5H261_F5H261_HUMAN_.pdf</t>
  </si>
  <si>
    <t>Melting_Curves/meltCurve_tr_F5H2B9_F5H2B9_HUMAN_.pdf</t>
  </si>
  <si>
    <t>Melting_Curves/meltCurve_tr_F5H2Q7_F5H2Q7_HUMAN_.pdf</t>
  </si>
  <si>
    <t>Melting_Curves/meltCurve_tr_F5H345_F5H345_HUMAN_.pdf</t>
  </si>
  <si>
    <t>Melting_Curves/meltCurve_tr_F5H365_F5H365_HUMAN_.pdf</t>
  </si>
  <si>
    <t>Melting_Curves/meltCurve_tr_F5H442_F5H442_HUMAN_.pdf</t>
  </si>
  <si>
    <t>Melting_Curves/meltCurve_tr_F5H4G7_F5H4G7_HUMAN_.pdf</t>
  </si>
  <si>
    <t>Melting_Curves/meltCurve_tr_F5H4J2_F5H4J2_HUMAN_.pdf</t>
  </si>
  <si>
    <t>Melting_Curves/meltCurve_tr_F5H5C2_F5H5C2_HUMAN_.pdf</t>
  </si>
  <si>
    <t>Melting_Curves/meltCurve_tr_F5H5W4_F5H5W4_HUMAN_.pdf</t>
  </si>
  <si>
    <t>Melting_Curves/meltCurve_tr_F5H604_F5H604_HUMAN_.pdf</t>
  </si>
  <si>
    <t>Melting_Curves/meltCurve_tr_F5H698_F5H698_HUMAN_.pdf</t>
  </si>
  <si>
    <t>Melting_Curves/meltCurve_tr_F5H715_F5H715_HUMAN_.pdf</t>
  </si>
  <si>
    <t>Melting_Curves/meltCurve_tr_F5H721_F5H721_HUMAN_.pdf</t>
  </si>
  <si>
    <t>Melting_Curves/meltCurve_tr_F5H780_F5H780_HUMAN_.pdf</t>
  </si>
  <si>
    <t>Melting_Curves/meltCurve_tr_F5H7D6_F5H7D6_HUMAN_.pdf</t>
  </si>
  <si>
    <t>Melting_Curves/meltCurve_tr_F5H7F6_F5H7F6_HUMAN_.pdf</t>
  </si>
  <si>
    <t>Melting_Curves/meltCurve_tr_F5H801_F5H801_HUMAN_.pdf</t>
  </si>
  <si>
    <t>Melting_Curves/meltCurve_tr_F5H897_F5H897_HUMAN_.pdf</t>
  </si>
  <si>
    <t>Melting_Curves/meltCurve_tr_F5H8D7_F5H8D7_HUMAN_.pdf</t>
  </si>
  <si>
    <t>Melting_Curves/meltCurve_tr_F5H8H2_F5H8H2_HUMAN_.pdf</t>
  </si>
  <si>
    <t>Melting_Curves/meltCurve_tr_F6RY50_F6RY50_HUMAN_.pdf</t>
  </si>
  <si>
    <t>Melting_Curves/meltCurve_tr_F6T1Q0_F6T1Q0_HUMAN_.pdf</t>
  </si>
  <si>
    <t>Melting_Curves/meltCurve_tr_F6TR53_F6TR53_HUMAN_.pdf</t>
  </si>
  <si>
    <t>Melting_Curves/meltCurve_tr_F6XY72_F6XY72_HUMAN_.pdf</t>
  </si>
  <si>
    <t>Melting_Curves/meltCurve_tr_F8VQP2_F8VQP2_HUMAN_.pdf</t>
  </si>
  <si>
    <t>Melting_Curves/meltCurve_tr_F8VQR7_F8VQR7_HUMAN_.pdf</t>
  </si>
  <si>
    <t>Melting_Curves/meltCurve_tr_F8VQX6_F8VQX6_HUMAN_.pdf</t>
  </si>
  <si>
    <t>Melting_Curves/meltCurve_tr_F8VQY6_F8VQY6_HUMAN_.pdf</t>
  </si>
  <si>
    <t>Melting_Curves/meltCurve_tr_F8VRR3_F8VRR3_HUMAN_.pdf</t>
  </si>
  <si>
    <t>Melting_Curves/meltCurve_tr_F8VSC5_F8VSC5_HUMAN_.pdf</t>
  </si>
  <si>
    <t>Melting_Curves/meltCurve_tr_F8VSL3_F8VSL3_HUMAN_.pdf</t>
  </si>
  <si>
    <t>Melting_Curves/meltCurve_tr_F8VUA6_F8VUA6_HUMAN_.pdf</t>
  </si>
  <si>
    <t>Melting_Curves/meltCurve_tr_F8VVL1_F8VVL1_HUMAN_.pdf</t>
  </si>
  <si>
    <t>Melting_Curves/meltCurve_tr_F8VVM2_F8VVM2_HUMAN_.pdf</t>
  </si>
  <si>
    <t>Melting_Curves/meltCurve_tr_F8VWA6_F8VWA6_HUMAN_.pdf</t>
  </si>
  <si>
    <t>Melting_Curves/meltCurve_tr_F8VWH9_F8VWH9_HUMAN_.pdf</t>
  </si>
  <si>
    <t>Melting_Curves/meltCurve_tr_F8VXY3_F8VXY3_HUMAN_.pdf</t>
  </si>
  <si>
    <t>Melting_Curves/meltCurve_tr_F8VYH9_F8VYH9_HUMAN_.pdf</t>
  </si>
  <si>
    <t>Melting_Curves/meltCurve_tr_F8VZJ2_F8VZJ2_HUMAN_.pdf</t>
  </si>
  <si>
    <t>Melting_Curves/meltCurve_tr_F8W038_F8W038_HUMAN_.pdf</t>
  </si>
  <si>
    <t>Melting_Curves/meltCurve_tr_F8W1Q3_F8W1Q3_HUMAN_.pdf</t>
  </si>
  <si>
    <t>Melting_Curves/meltCurve_tr_F8W1R7_F8W1R7_HUMAN_.pdf</t>
  </si>
  <si>
    <t>Melting_Curves/meltCurve_tr_F8W6K3_F8W6K3_HUMAN_.pdf</t>
  </si>
  <si>
    <t>Melting_Curves/meltCurve_tr_F8W720_F8W720_HUMAN_.pdf</t>
  </si>
  <si>
    <t>Melting_Curves/meltCurve_tr_F8W785_F8W785_HUMAN_.pdf</t>
  </si>
  <si>
    <t>Melting_Curves/meltCurve_tr_F8W7S5_F8W7S5_HUMAN_.pdf</t>
  </si>
  <si>
    <t>Melting_Curves/meltCurve_tr_F8W8I6_F8W8I6_HUMAN_.pdf</t>
  </si>
  <si>
    <t>Melting_Curves/meltCurve_tr_F8W8M4_F8W8M4_HUMAN_.pdf</t>
  </si>
  <si>
    <t>Melting_Curves/meltCurve_tr_F8W8V8_F8W8V8_HUMAN_.pdf</t>
  </si>
  <si>
    <t>Melting_Curves/meltCurve_tr_F8W914_F8W914_HUMAN_.pdf</t>
  </si>
  <si>
    <t>Melting_Curves/meltCurve_tr_F8W9S7_F8W9S7_HUMAN_.pdf</t>
  </si>
  <si>
    <t>Melting_Curves/meltCurve_tr_F8W9X7_F8W9X7_HUMAN_.pdf</t>
  </si>
  <si>
    <t>Melting_Curves/meltCurve_tr_F8WAS3_F8WAS3_HUMAN_.pdf</t>
  </si>
  <si>
    <t>Melting_Curves/meltCurve_tr_F8WBM7_F8WBM7_HUMAN_.pdf</t>
  </si>
  <si>
    <t>Melting_Curves/meltCurve_tr_F8WCM7_F8WCM7_HUMAN_.pdf</t>
  </si>
  <si>
    <t>Melting_Curves/meltCurve_tr_F8WF49_F8WF49_HUMAN_.pdf</t>
  </si>
  <si>
    <t>Melting_Curves/meltCurve_tr_F8WJN3_F8WJN3_HUMAN_.pdf</t>
  </si>
  <si>
    <t>Melting_Curves/meltCurve_tr_G3V0E8_G3V0E8_HUMAN_.pdf</t>
  </si>
  <si>
    <t>Melting_Curves/meltCurve_tr_G3V1D4_G3V1D4_HUMAN_.pdf</t>
  </si>
  <si>
    <t>Melting_Curves/meltCurve_tr_G3V1J5_G3V1J5_HUMAN_.pdf</t>
  </si>
  <si>
    <t>Melting_Curves/meltCurve_tr_G3V1P3_G3V1P3_HUMAN_.pdf</t>
  </si>
  <si>
    <t>Melting_Curves/meltCurve_tr_G3V1Q4_G3V1Q4_HUMAN_.pdf</t>
  </si>
  <si>
    <t>Melting_Curves/meltCurve_tr_G3V1Y8_G3V1Y8_HUMAN_.pdf</t>
  </si>
  <si>
    <t>Melting_Curves/meltCurve_tr_G3V2A6_G3V2A6_HUMAN_.pdf</t>
  </si>
  <si>
    <t>Melting_Curves/meltCurve_tr_G3V2S0_G3V2S0_HUMAN_.pdf</t>
  </si>
  <si>
    <t>Melting_Curves/meltCurve_tr_G3V2T6_G3V2T6_HUMAN_.pdf</t>
  </si>
  <si>
    <t>Melting_Curves/meltCurve_tr_G3V357_G3V357_HUMAN_.pdf</t>
  </si>
  <si>
    <t>Melting_Curves/meltCurve_tr_G3V394_G3V394_HUMAN_.pdf</t>
  </si>
  <si>
    <t>Melting_Curves/meltCurve_tr_G3V3D2_G3V3D2_HUMAN_.pdf</t>
  </si>
  <si>
    <t>Melting_Curves/meltCurve_tr_G3V3G9_G3V3G9_HUMAN_.pdf</t>
  </si>
  <si>
    <t>Melting_Curves/meltCurve_tr_G3V3R7_G3V3R7_HUMAN_.pdf</t>
  </si>
  <si>
    <t>Melting_Curves/meltCurve_tr_G3V4J7_G3V4J7_HUMAN_.pdf</t>
  </si>
  <si>
    <t>Melting_Curves/meltCurve_tr_G3V4P7_G3V4P7_HUMAN_.pdf</t>
  </si>
  <si>
    <t>Melting_Curves/meltCurve_tr_G3V4W0_G3V4W0_HUMAN_.pdf</t>
  </si>
  <si>
    <t>Melting_Curves/meltCurve_tr_G3V5T0_G3V5T0_HUMAN_.pdf</t>
  </si>
  <si>
    <t>Melting_Curves/meltCurve_tr_G3XAA0_G3XAA0_HUMAN_.pdf</t>
  </si>
  <si>
    <t>Melting_Curves/meltCurve_tr_G3XAH6_G3XAH6_HUMAN_.pdf</t>
  </si>
  <si>
    <t>Melting_Curves/meltCurve_tr_G3XAM2_G3XAM2_HUMAN_.pdf</t>
  </si>
  <si>
    <t>Melting_Curves/meltCurve_tr_G5E9W7_G5E9W7_HUMAN_.pdf</t>
  </si>
  <si>
    <t>Melting_Curves/meltCurve_tr_G5EA37_G5EA37_HUMAN_.pdf</t>
  </si>
  <si>
    <t>Melting_Curves/meltCurve_tr_G5EA52_G5EA52_HUMAN_.pdf</t>
  </si>
  <si>
    <t>Melting_Curves/meltCurve_tr_G8JL86_G8JL86_HUMAN_.pdf</t>
  </si>
  <si>
    <t>Melting_Curves/meltCurve_tr_G8JLB3_G8JLB3_HUMAN_.pdf</t>
  </si>
  <si>
    <t>Melting_Curves/meltCurve_tr_G8JLC6_G8JLC6_HUMAN_.pdf</t>
  </si>
  <si>
    <t>Melting_Curves/meltCurve_tr_G8JLI5_G8JLI5_HUMAN_.pdf</t>
  </si>
  <si>
    <t>Melting_Curves/meltCurve_tr_G8JLL7_G8JLL7_HUMAN_.pdf</t>
  </si>
  <si>
    <t>Melting_Curves/meltCurve_tr_H0Y300_H0Y300_HUMAN_.pdf</t>
  </si>
  <si>
    <t>Melting_Curves/meltCurve_tr_H0Y3A0_H0Y3A0_HUMAN_.pdf</t>
  </si>
  <si>
    <t>Melting_Curves/meltCurve_tr_H0Y3P2_H0Y3P2_HUMAN_.pdf</t>
  </si>
  <si>
    <t>Melting_Curves/meltCurve_tr_H0Y4R1_H0Y4R1_HUMAN_.pdf</t>
  </si>
  <si>
    <t>Melting_Curves/meltCurve_tr_H0Y614_H0Y614_HUMAN_.pdf</t>
  </si>
  <si>
    <t>Melting_Curves/meltCurve_tr_H0Y638_H0Y638_HUMAN_.pdf</t>
  </si>
  <si>
    <t>Melting_Curves/meltCurve_tr_H0Y6A0_H0Y6A0_HUMAN_.pdf</t>
  </si>
  <si>
    <t>Melting_Curves/meltCurve_tr_H0Y6C3_H0Y6C3_HUMAN_.pdf</t>
  </si>
  <si>
    <t>Melting_Curves/meltCurve_tr_H0Y6I0_H0Y6I0_HUMAN_.pdf</t>
  </si>
  <si>
    <t>Melting_Curves/meltCurve_tr_H0YA52_H0YA52_HUMAN_.pdf</t>
  </si>
  <si>
    <t>Melting_Curves/meltCurve_tr_H0YA68_H0YA68_HUMAN_.pdf</t>
  </si>
  <si>
    <t>Melting_Curves/meltCurve_tr_H0YBL1_H0YBL1_HUMAN_.pdf</t>
  </si>
  <si>
    <t>Melting_Curves/meltCurve_tr_H0YBZ4_H0YBZ4_HUMAN_.pdf</t>
  </si>
  <si>
    <t>Melting_Curves/meltCurve_tr_H0YDB2_H0YDB2_HUMAN_.pdf</t>
  </si>
  <si>
    <t>Melting_Curves/meltCurve_tr_H0YDP7_H0YDP7_HUMAN_.pdf</t>
  </si>
  <si>
    <t>Melting_Curves/meltCurve_tr_H0YDU8_H0YDU8_HUMAN_.pdf</t>
  </si>
  <si>
    <t>Melting_Curves/meltCurve_tr_H0YEB6_H0YEB6_HUMAN_.pdf</t>
  </si>
  <si>
    <t>Melting_Curves/meltCurve_tr_H0YEH2_H0YEH2_HUMAN_.pdf</t>
  </si>
  <si>
    <t>Melting_Curves/meltCurve_tr_H0YEN5_H0YEN5_HUMAN_.pdf</t>
  </si>
  <si>
    <t>Melting_Curves/meltCurve_tr_H0YEP5_H0YEP5_HUMAN_.pdf</t>
  </si>
  <si>
    <t>Melting_Curves/meltCurve_tr_H0YEZ2_H0YEZ2_HUMAN_.pdf</t>
  </si>
  <si>
    <t>Melting_Curves/meltCurve_tr_H0YF83_H0YF83_HUMAN_.pdf</t>
  </si>
  <si>
    <t>Melting_Curves/meltCurve_tr_H0YFI1_H0YFI1_HUMAN_.pdf</t>
  </si>
  <si>
    <t>Melting_Curves/meltCurve_tr_H0YFP3_H0YFP3_HUMAN_.pdf</t>
  </si>
  <si>
    <t>Melting_Curves/meltCurve_tr_H0YGR4_H0YGR4_HUMAN_.pdf</t>
  </si>
  <si>
    <t>Melting_Curves/meltCurve_tr_H0YGX7_H0YGX7_HUMAN_.pdf</t>
  </si>
  <si>
    <t>Melting_Curves/meltCurve_tr_H0YHC3_H0YHC3_HUMAN_.pdf</t>
  </si>
  <si>
    <t>Melting_Curves/meltCurve_tr_H0YI02_H0YI02_HUMAN_.pdf</t>
  </si>
  <si>
    <t>Melting_Curves/meltCurve_tr_H0YIA8_H0YIA8_HUMAN_.pdf</t>
  </si>
  <si>
    <t>Melting_Curves/meltCurve_tr_H0YIX9_H0YIX9_HUMAN_.pdf</t>
  </si>
  <si>
    <t>Melting_Curves/meltCurve_tr_H0YKF8_H0YKF8_HUMAN_.pdf</t>
  </si>
  <si>
    <t>Melting_Curves/meltCurve_tr_H0YL72_H0YL72_HUMAN_.pdf</t>
  </si>
  <si>
    <t>Melting_Curves/meltCurve_tr_H0YLA4_H0YLA4_HUMAN_.pdf</t>
  </si>
  <si>
    <t>Melting_Curves/meltCurve_tr_H0YMB1_H0YMB1_HUMAN_.pdf</t>
  </si>
  <si>
    <t>Melting_Curves/meltCurve_tr_H0YMB3_H0YMB3_HUMAN_.pdf</t>
  </si>
  <si>
    <t>Melting_Curves/meltCurve_tr_H0YMD0_H0YMD0_HUMAN_.pdf</t>
  </si>
  <si>
    <t>Melting_Curves/meltCurve_tr_H0YN26_H0YN26_HUMAN_.pdf</t>
  </si>
  <si>
    <t>Melting_Curves/meltCurve_tr_H0YN81_H0YN81_HUMAN_.pdf</t>
  </si>
  <si>
    <t>Melting_Curves/meltCurve_tr_H3BLU7_H3BLU7_HUMAN_.pdf</t>
  </si>
  <si>
    <t>Melting_Curves/meltCurve_tr_H3BM42_H3BM42_HUMAN_.pdf</t>
  </si>
  <si>
    <t>Melting_Curves/meltCurve_tr_H3BM67_H3BM67_HUMAN_.pdf</t>
  </si>
  <si>
    <t>Melting_Curves/meltCurve_tr_H3BM79_H3BM79_HUMAN_.pdf</t>
  </si>
  <si>
    <t>Melting_Curves/meltCurve_tr_H3BMM5_H3BMM5_HUMAN_.pdf</t>
  </si>
  <si>
    <t>Melting_Curves/meltCurve_tr_H3BNC0_H3BNC0_HUMAN_.pdf</t>
  </si>
  <si>
    <t>Melting_Curves/meltCurve_tr_H3BNU9_H3BNU9_HUMAN_.pdf</t>
  </si>
  <si>
    <t>Melting_Curves/meltCurve_tr_H3BNZ8_H3BNZ8_HUMAN_.pdf</t>
  </si>
  <si>
    <t>Melting_Curves/meltCurve_tr_H3BPB8_H3BPB8_HUMAN_.pdf</t>
  </si>
  <si>
    <t>Melting_Curves/meltCurve_tr_H3BPE1_H3BPE1_HUMAN_.pdf</t>
  </si>
  <si>
    <t>Melting_Curves/meltCurve_tr_H3BPN3_H3BPN3_HUMAN_.pdf</t>
  </si>
  <si>
    <t>Melting_Curves/meltCurve_tr_H3BPS8_H3BPS8_HUMAN_.pdf</t>
  </si>
  <si>
    <t>Melting_Curves/meltCurve_tr_H3BPZ6_H3BPZ6_HUMAN_.pdf</t>
  </si>
  <si>
    <t>Melting_Curves/meltCurve_tr_H3BQV3_H3BQV3_HUMAN_.pdf</t>
  </si>
  <si>
    <t>Melting_Curves/meltCurve_tr_H3BQZ7_H3BQZ7_HUMAN_.pdf</t>
  </si>
  <si>
    <t>Melting_Curves/meltCurve_tr_H3BRF9_H3BRF9_HUMAN_.pdf</t>
  </si>
  <si>
    <t>Melting_Curves/meltCurve_tr_H3BRL3_H3BRL3_HUMAN_.pdf</t>
  </si>
  <si>
    <t>Melting_Curves/meltCurve_tr_H3BRQ0_H3BRQ0_HUMAN_.pdf</t>
  </si>
  <si>
    <t>Melting_Curves/meltCurve_tr_H3BRT1_H3BRT1_HUMAN_.pdf</t>
  </si>
  <si>
    <t>Melting_Curves/meltCurve_tr_H3BRV0_H3BRV0_HUMAN_.pdf</t>
  </si>
  <si>
    <t>Melting_Curves/meltCurve_tr_H3BS10_H3BS10_HUMAN_.pdf</t>
  </si>
  <si>
    <t>Melting_Curves/meltCurve_tr_H3BSW0_H3BSW0_HUMAN_.pdf</t>
  </si>
  <si>
    <t>Melting_Curves/meltCurve_tr_H3BTB7_H3BTB7_HUMAN_.pdf</t>
  </si>
  <si>
    <t>Melting_Curves/meltCurve_tr_H3BTL2_H3BTL2_HUMAN_.pdf</t>
  </si>
  <si>
    <t>Melting_Curves/meltCurve_tr_H3BTP7_H3BTP7_HUMAN_.pdf</t>
  </si>
  <si>
    <t>Melting_Curves/meltCurve_tr_H3BU49_H3BU49_HUMAN_.pdf</t>
  </si>
  <si>
    <t>Melting_Curves/meltCurve_tr_H3BUL2_H3BUL2_HUMAN_.pdf</t>
  </si>
  <si>
    <t>Melting_Curves/meltCurve_tr_H7BXP5_H7BXP5_HUMAN_.pdf</t>
  </si>
  <si>
    <t>Melting_Curves/meltCurve_tr_H7BY36_H7BY36_HUMAN_.pdf</t>
  </si>
  <si>
    <t>Melting_Curves/meltCurve_tr_H7BYG8_H7BYG8_HUMAN_.pdf</t>
  </si>
  <si>
    <t>Melting_Curves/meltCurve_tr_H7BYY1_H7BYY1_HUMAN_.pdf</t>
  </si>
  <si>
    <t>Melting_Curves/meltCurve_tr_H7BZ00_H7BZ00_HUMAN_.pdf</t>
  </si>
  <si>
    <t>Melting_Curves/meltCurve_tr_H7BZL0_H7BZL0_HUMAN_.pdf</t>
  </si>
  <si>
    <t>Melting_Curves/meltCurve_tr_H7C0C0_H7C0C0_HUMAN_.pdf</t>
  </si>
  <si>
    <t>Melting_Curves/meltCurve_tr_H7C0E5_H7C0E5_HUMAN_.pdf</t>
  </si>
  <si>
    <t>Melting_Curves/meltCurve_tr_H7C0I1_H7C0I1_HUMAN_.pdf</t>
  </si>
  <si>
    <t>Melting_Curves/meltCurve_tr_H7C1U3_H7C1U3_HUMAN_.pdf</t>
  </si>
  <si>
    <t>Melting_Curves/meltCurve_tr_H7C2B1_H7C2B1_HUMAN_.pdf</t>
  </si>
  <si>
    <t>Melting_Curves/meltCurve_tr_H7C331_H7C331_HUMAN_.pdf</t>
  </si>
  <si>
    <t>Melting_Curves/meltCurve_tr_H7C3G7_H7C3G7_HUMAN_.pdf</t>
  </si>
  <si>
    <t>Melting_Curves/meltCurve_tr_H7C3P4_H7C3P4_HUMAN_.pdf</t>
  </si>
  <si>
    <t>Melting_Curves/meltCurve_tr_H7C462_H7C462_HUMAN_.pdf</t>
  </si>
  <si>
    <t>Melting_Curves/meltCurve_tr_H7C485_H7C485_HUMAN_.pdf</t>
  </si>
  <si>
    <t>Melting_Curves/meltCurve_tr_H7C4T5_H7C4T5_HUMAN_.pdf</t>
  </si>
  <si>
    <t>Melting_Curves/meltCurve_tr_H7C5G1_H7C5G1_HUMAN_.pdf</t>
  </si>
  <si>
    <t>Melting_Curves/meltCurve_tr_H8Y6P7_H8Y6P7_HUMAN_.pdf</t>
  </si>
  <si>
    <t>Melting_Curves/meltCurve_tr_I3L097_I3L097_HUMAN_.pdf</t>
  </si>
  <si>
    <t>Melting_Curves/meltCurve_tr_I3L0X5_I3L0X5_HUMAN_.pdf</t>
  </si>
  <si>
    <t>Melting_Curves/meltCurve_tr_I3L1Q3_I3L1Q3_HUMAN_.pdf</t>
  </si>
  <si>
    <t>Melting_Curves/meltCurve_tr_I3L276_I3L276_HUMAN_.pdf</t>
  </si>
  <si>
    <t>Melting_Curves/meltCurve_tr_I3L2B0_I3L2B0_HUMAN_.pdf</t>
  </si>
  <si>
    <t>Melting_Curves/meltCurve_tr_I3L2J0_I3L2J0_HUMAN_.pdf</t>
  </si>
  <si>
    <t>Melting_Curves/meltCurve_tr_I3L397_I3L397_HUMAN_.pdf</t>
  </si>
  <si>
    <t>Melting_Curves/meltCurve_tr_I3L3P7_I3L3P7_HUMAN_.pdf</t>
  </si>
  <si>
    <t>Melting_Curves/meltCurve_tr_I3L3T4_I3L3T4_HUMAN_.pdf</t>
  </si>
  <si>
    <t>Melting_Curves/meltCurve_tr_I3L4X3_I3L4X3_HUMAN_.pdf</t>
  </si>
  <si>
    <t>Melting_Curves/meltCurve_tr_J3KMY5_J3KMY5_HUMAN_.pdf</t>
  </si>
  <si>
    <t>Melting_Curves/meltCurve_tr_J3KN29_J3KN29_HUMAN_.pdf</t>
  </si>
  <si>
    <t>Melting_Curves/meltCurve_tr_J3KN75_J3KN75_HUMAN_.pdf</t>
  </si>
  <si>
    <t>Melting_Curves/meltCurve_tr_J3KND9_J3KND9_HUMAN_.pdf</t>
  </si>
  <si>
    <t>Melting_Curves/meltCurve_tr_J3KNF4_J3KNF4_HUMAN_.pdf</t>
  </si>
  <si>
    <t>Melting_Curves/meltCurve_tr_J3KNJ2_J3KNJ2_HUMAN_.pdf</t>
  </si>
  <si>
    <t>Melting_Curves/meltCurve_tr_J3KNL6_J3KNL6_HUMAN_.pdf</t>
  </si>
  <si>
    <t>Melting_Curves/meltCurve_tr_J3KP19_J3KP19_HUMAN_.pdf</t>
  </si>
  <si>
    <t>Melting_Curves/meltCurve_tr_J3KP29_J3KP29_HUMAN_.pdf</t>
  </si>
  <si>
    <t>Melting_Curves/meltCurve_tr_J3KP36_J3KP36_HUMAN_.pdf</t>
  </si>
  <si>
    <t>Melting_Curves/meltCurve_tr_J3KPV7_J3KPV7_HUMAN_.pdf</t>
  </si>
  <si>
    <t>Melting_Curves/meltCurve_tr_J3KQ72_J3KQ72_HUMAN_.pdf</t>
  </si>
  <si>
    <t>Melting_Curves/meltCurve_tr_J3KQC3_J3KQC3_HUMAN_.pdf</t>
  </si>
  <si>
    <t>Melting_Curves/meltCurve_tr_J3KQN6_J3KQN6_HUMAN_.pdf</t>
  </si>
  <si>
    <t>Melting_Curves/meltCurve_tr_J3KR05_J3KR05_HUMAN_.pdf</t>
  </si>
  <si>
    <t>Melting_Curves/meltCurve_tr_J3KSB8_J3KSB8_HUMAN_.pdf</t>
  </si>
  <si>
    <t>Melting_Curves/meltCurve_tr_J3KSI8_J3KSI8_HUMAN_.pdf</t>
  </si>
  <si>
    <t>Melting_Curves/meltCurve_tr_J3KSS7_J3KSS7_HUMAN_.pdf</t>
  </si>
  <si>
    <t>Melting_Curves/meltCurve_tr_J3KSW8_J3KSW8_HUMAN_.pdf</t>
  </si>
  <si>
    <t>Melting_Curves/meltCurve_tr_J3KT51_J3KT51_HUMAN_.pdf</t>
  </si>
  <si>
    <t>Melting_Curves/meltCurve_tr_J3KTF8_J3KTF8_HUMAN_.pdf</t>
  </si>
  <si>
    <t>Melting_Curves/meltCurve_tr_J3QK84_J3QK84_HUMAN_.pdf</t>
  </si>
  <si>
    <t>Melting_Curves/meltCurve_tr_J3QKK8_J3QKK8_HUMAN_.pdf</t>
  </si>
  <si>
    <t>Melting_Curves/meltCurve_tr_J3QL05_J3QL05_HUMAN_.pdf</t>
  </si>
  <si>
    <t>Melting_Curves/meltCurve_tr_J3QL56_J3QL56_HUMAN_.pdf</t>
  </si>
  <si>
    <t>Melting_Curves/meltCurve_tr_J3QLE5_J3QLE5_HUMAN_.pdf</t>
  </si>
  <si>
    <t>Melting_Curves/meltCurve_tr_J3QLI9_J3QLI9_HUMAN_.pdf</t>
  </si>
  <si>
    <t>Melting_Curves/meltCurve_tr_J3QLV0_J3QLV0_HUMAN_.pdf</t>
  </si>
  <si>
    <t>Melting_Curves/meltCurve_tr_J3QR09_J3QR09_HUMAN_.pdf</t>
  </si>
  <si>
    <t>Melting_Curves/meltCurve_tr_J3QR64_J3QR64_HUMAN_.pdf</t>
  </si>
  <si>
    <t>Melting_Curves/meltCurve_tr_J3QRD1_J3QRD1_HUMAN_.pdf</t>
  </si>
  <si>
    <t>Melting_Curves/meltCurve_tr_J3QRX6_J3QRX6_HUMAN_.pdf</t>
  </si>
  <si>
    <t>Melting_Curves/meltCurve_tr_J3QSV6_J3QSV6_HUMAN_.pdf</t>
  </si>
  <si>
    <t>Melting_Curves/meltCurve_tr_J3QT28_J3QT28_HUMAN_.pdf</t>
  </si>
  <si>
    <t>Melting_Curves/meltCurve_tr_J3QT87_J3QT87_HUMAN_.pdf</t>
  </si>
  <si>
    <t>Melting_Curves/meltCurve_tr_J9JIE9_J9JIE9_HUMAN_.pdf</t>
  </si>
  <si>
    <t>Melting_Curves/meltCurve_tr_K7EIG1_K7EIG1_HUMAN_.pdf</t>
  </si>
  <si>
    <t>Melting_Curves/meltCurve_tr_K7EIJ0_K7EIJ0_HUMAN_.pdf</t>
  </si>
  <si>
    <t>Melting_Curves/meltCurve_tr_K7EIU8_K7EIU8_HUMAN_.pdf</t>
  </si>
  <si>
    <t>Melting_Curves/meltCurve_tr_K7EJ78_K7EJ78_HUMAN_.pdf</t>
  </si>
  <si>
    <t>Melting_Curves/meltCurve_tr_K7EJB9_K7EJB9_HUMAN_.pdf</t>
  </si>
  <si>
    <t>Melting_Curves/meltCurve_tr_K7EJG0_K7EJG0_HUMAN_.pdf</t>
  </si>
  <si>
    <t>Melting_Curves/meltCurve_tr_K7EJL1_K7EJL1_HUMAN_.pdf</t>
  </si>
  <si>
    <t>Melting_Curves/meltCurve_tr_K7EJU8_K7EJU8_HUMAN_.pdf</t>
  </si>
  <si>
    <t>Melting_Curves/meltCurve_tr_K7EK07_K7EK07_HUMAN_.pdf</t>
  </si>
  <si>
    <t>Melting_Curves/meltCurve_tr_K7EK11_K7EK11_HUMAN_.pdf</t>
  </si>
  <si>
    <t>Melting_Curves/meltCurve_tr_K7EKE6_K7EKE6_HUMAN_.pdf</t>
  </si>
  <si>
    <t>Melting_Curves/meltCurve_tr_K7EKI8_K7EKI8_HUMAN_.pdf</t>
  </si>
  <si>
    <t>Melting_Curves/meltCurve_tr_K7ELV2_K7ELV2_HUMAN_.pdf</t>
  </si>
  <si>
    <t>Melting_Curves/meltCurve_tr_K7EMA2_K7EMA2_HUMAN_.pdf</t>
  </si>
  <si>
    <t>Melting_Curves/meltCurve_tr_K7EME0_K7EME0_HUMAN_.pdf</t>
  </si>
  <si>
    <t>Melting_Curves/meltCurve_tr_K7ENR6_K7ENR6_HUMAN_.pdf</t>
  </si>
  <si>
    <t>Melting_Curves/meltCurve_tr_K7ENT8_K7ENT8_HUMAN_.pdf</t>
  </si>
  <si>
    <t>Melting_Curves/meltCurve_tr_K7EPS8_K7EPS8_HUMAN_.pdf</t>
  </si>
  <si>
    <t>Melting_Curves/meltCurve_tr_K7ER15_K7ER15_HUMAN_.pdf</t>
  </si>
  <si>
    <t>Melting_Curves/meltCurve_tr_K7ER25_K7ER25_HUMAN_.pdf</t>
  </si>
  <si>
    <t>Melting_Curves/meltCurve_tr_K7ERI9_K7ERI9_HUMAN_.pdf</t>
  </si>
  <si>
    <t>Melting_Curves/meltCurve_tr_K7ES31_K7ES31_HUMAN_.pdf</t>
  </si>
  <si>
    <t>Melting_Curves/meltCurve_tr_K7ESE3_K7ESE3_HUMAN_.pdf</t>
  </si>
  <si>
    <t>Melting_Curves/meltCurve_tr_M0QWZ7_M0QWZ7_HUMAN_.pdf</t>
  </si>
  <si>
    <t>Melting_Curves/meltCurve_tr_M0QX35_M0QX35_HUMAN_.pdf</t>
  </si>
  <si>
    <t>Melting_Curves/meltCurve_tr_M0QY97_M0QY97_HUMAN_.pdf</t>
  </si>
  <si>
    <t>Melting_Curves/meltCurve_tr_M0R042_M0R042_HUMAN_.pdf</t>
  </si>
  <si>
    <t>Melting_Curves/meltCurve_tr_M0R0F0_M0R0F0_HUMAN_.pdf</t>
  </si>
  <si>
    <t>Melting_Curves/meltCurve_tr_M0R0I0_M0R0I0_HUMAN_.pdf</t>
  </si>
  <si>
    <t>Melting_Curves/meltCurve_tr_M0R248_M0R248_HUMAN_.pdf</t>
  </si>
  <si>
    <t>Melting_Curves/meltCurve_tr_M0R259_M0R259_HUMAN_.pdf</t>
  </si>
  <si>
    <t>Melting_Curves/meltCurve_tr_Q2TAM5_Q2TAM5_HUMAN_.pdf</t>
  </si>
  <si>
    <t>Melting_Curves/meltCurve_tr_Q32N00_Q32N00_HUMAN_.pdf</t>
  </si>
  <si>
    <t>Melting_Curves/meltCurve_tr_Q3SYB4_Q3SYB4_HUMAN_.pdf</t>
  </si>
  <si>
    <t>Melting_Curves/meltCurve_tr_Q53XA7_Q53XA7_HUMAN_.pdf</t>
  </si>
  <si>
    <t>Melting_Curves/meltCurve_tr_Q567Q0_Q567Q0_HUMAN_.pdf</t>
  </si>
  <si>
    <t>Melting_Curves/meltCurve_tr_Q5HY54_Q5HY54_HUMAN_.pdf</t>
  </si>
  <si>
    <t>Melting_Curves/meltCurve_tr_Q5JP53_Q5JP53_HUMAN_.pdf</t>
  </si>
  <si>
    <t>Melting_Curves/meltCurve_tr_Q5JR04_Q5JR04_HUMAN_.pdf</t>
  </si>
  <si>
    <t>Melting_Curves/meltCurve_tr_Q5JR08_Q5JR08_HUMAN_.pdf</t>
  </si>
  <si>
    <t>Melting_Curves/meltCurve_tr_Q5JSK8_Q5JSK8_HUMAN_.pdf</t>
  </si>
  <si>
    <t>Melting_Curves/meltCurve_tr_Q5JUA8_Q5JUA8_HUMAN_.pdf</t>
  </si>
  <si>
    <t>Melting_Curves/meltCurve_tr_Q5JW30_Q5JW30_HUMAN_.pdf</t>
  </si>
  <si>
    <t>Melting_Curves/meltCurve_tr_Q5JXX6_Q5JXX6_HUMAN_.pdf</t>
  </si>
  <si>
    <t>Melting_Curves/meltCurve_tr_Q5QNY5_Q5QNY5_HUMAN_.pdf</t>
  </si>
  <si>
    <t>Melting_Curves/meltCurve_tr_Q5QPM0_Q5QPM0_HUMAN_.pdf</t>
  </si>
  <si>
    <t>Melting_Curves/meltCurve_tr_Q5QPM7_Q5QPM7_HUMAN_.pdf</t>
  </si>
  <si>
    <t>Melting_Curves/meltCurve_tr_Q5SSZ3_Q5SSZ3_HUMAN_.pdf</t>
  </si>
  <si>
    <t>Melting_Curves/meltCurve_tr_Q5T123_Q5T123_HUMAN_.pdf</t>
  </si>
  <si>
    <t>Melting_Curves/meltCurve_tr_Q5T760_Q5T760_HUMAN_.pdf</t>
  </si>
  <si>
    <t>Melting_Curves/meltCurve_tr_Q5T985_Q5T985_HUMAN_.pdf</t>
  </si>
  <si>
    <t>Melting_Curves/meltCurve_tr_Q5TA02_Q5TA02_HUMAN_.pdf</t>
  </si>
  <si>
    <t>Melting_Curves/meltCurve_tr_Q5TA58_Q5TA58_HUMAN_.pdf</t>
  </si>
  <si>
    <t>Melting_Curves/meltCurve_tr_Q5TAQ0_Q5TAQ0_HUMAN_.pdf</t>
  </si>
  <si>
    <t>Melting_Curves/meltCurve_tr_Q5TBP5_Q5TBP5_HUMAN_.pdf</t>
  </si>
  <si>
    <t>Melting_Curves/meltCurve_tr_Q5TBU2_Q5TBU2_HUMAN_.pdf</t>
  </si>
  <si>
    <t>Melting_Curves/meltCurve_tr_Q5TCZ7_Q5TCZ7_HUMAN_.pdf</t>
  </si>
  <si>
    <t>Melting_Curves/meltCurve_tr_Q5VTU3_Q5VTU3_HUMAN_.pdf</t>
  </si>
  <si>
    <t>Melting_Curves/meltCurve_tr_Q5VTW1_Q5VTW1_HUMAN_.pdf</t>
  </si>
  <si>
    <t>Melting_Curves/meltCurve_tr_Q5VU10_Q5VU10_HUMAN_.pdf</t>
  </si>
  <si>
    <t>Melting_Curves/meltCurve_tr_Q64EX5_Q64EX5_HUMAN_.pdf</t>
  </si>
  <si>
    <t>Melting_Curves/meltCurve_tr_Q658Y7_Q658Y7_HUMAN_.pdf</t>
  </si>
  <si>
    <t>Melting_Curves/meltCurve_tr_Q6ICJ4_Q6ICJ4_HUMAN_.pdf</t>
  </si>
  <si>
    <t>Melting_Curves/meltCurve_tr_Q7Z721_Q7Z721_HUMAN_.pdf</t>
  </si>
  <si>
    <t>Melting_Curves/meltCurve_tr_Q86TV2_Q86TV2_HUMAN_.pdf</t>
  </si>
  <si>
    <t>Melting_Curves/meltCurve_tr_Q86UY0_Q86UY0_HUMAN_.pdf</t>
  </si>
  <si>
    <t>Melting_Curves/meltCurve_tr_Q86VQ2_Q86VQ2_HUMAN_.pdf</t>
  </si>
  <si>
    <t>Melting_Curves/meltCurve_tr_Q8IYN9_Q8IYN9_HUMAN_.pdf</t>
  </si>
  <si>
    <t>Melting_Curves/meltCurve_tr_Q8NBY1_Q8NBY1_HUMAN_.pdf</t>
  </si>
  <si>
    <t>Melting_Curves/meltCurve_tr_Q96CG1_Q96CG1_HUMAN_.pdf</t>
  </si>
  <si>
    <t>Melting_Curves/meltCurve_tr_Q96G53_Q96G53_HUMAN_.pdf</t>
  </si>
  <si>
    <t>Melting_Curves/meltCurve_tr_Q9BVB1_Q9BVB1_HUMAN_.pdf</t>
  </si>
  <si>
    <t>Melting_Curves/meltCurve_tr_Q9UQL0_Q9UQL0_HUMAN_.pdf</t>
  </si>
  <si>
    <t>Melting_Curves/meltCurve_tr_R4GMR5_R4GMR5_HUMAN_.pdf</t>
  </si>
  <si>
    <t>Melting_Curves/meltCurve_tr_R4GMX3_R4GMX3_HUMAN_.pdf</t>
  </si>
  <si>
    <t>Melting_Curves/meltCurve_tr_R4GN55_R4GN55_HUMAN_.pdf</t>
  </si>
  <si>
    <t>Melting_Curves/meltCurve_tr_R4GN98_R4GN98_HUMAN_.pdf</t>
  </si>
  <si>
    <t>Melting_Curves/meltCurve_tr_R4GNB2_R4GNB2_HUMAN_.pdf</t>
  </si>
  <si>
    <t>Melting_Curves/meltCurve_tr_R4GNG2_R4GNG2_HUMAN_.pdf</t>
  </si>
  <si>
    <t>Melting_Curves/meltCurve_tr_R4GNH3_R4GNH3_HUMAN_.pdf</t>
  </si>
  <si>
    <t>Yes</t>
  </si>
  <si>
    <t>No</t>
  </si>
  <si>
    <t>A0AVT1</t>
  </si>
  <si>
    <t>A0JNW5</t>
  </si>
  <si>
    <t>A0MZ66</t>
  </si>
  <si>
    <t>A1L170</t>
  </si>
  <si>
    <t>A1L188</t>
  </si>
  <si>
    <t>A1Z1Q3-2</t>
  </si>
  <si>
    <t>A2VDF0-2</t>
  </si>
  <si>
    <t>A4D126-2</t>
  </si>
  <si>
    <t>A4D1P6-2</t>
  </si>
  <si>
    <t>A4D1U4</t>
  </si>
  <si>
    <t>A5YKK6-2</t>
  </si>
  <si>
    <t>A6ND91</t>
  </si>
  <si>
    <t>A6NDB9</t>
  </si>
  <si>
    <t>A6NDG6</t>
  </si>
  <si>
    <t>A6NDJ8</t>
  </si>
  <si>
    <t>A6NEL2</t>
  </si>
  <si>
    <t>A6NHL2-2</t>
  </si>
  <si>
    <t>A6NK44</t>
  </si>
  <si>
    <t>A6NKN8</t>
  </si>
  <si>
    <t>A6NLP5</t>
  </si>
  <si>
    <t>A8MSI8</t>
  </si>
  <si>
    <t>A8MXV4</t>
  </si>
  <si>
    <t>B1AK53</t>
  </si>
  <si>
    <t>B7ZAP0</t>
  </si>
  <si>
    <t>B7ZBB8</t>
  </si>
  <si>
    <t>C4AMC7</t>
  </si>
  <si>
    <t>O00142</t>
  </si>
  <si>
    <t>O00151</t>
  </si>
  <si>
    <t>O00154-4</t>
  </si>
  <si>
    <t>O00161-2</t>
  </si>
  <si>
    <t>O00170</t>
  </si>
  <si>
    <t>O00178</t>
  </si>
  <si>
    <t>O00231</t>
  </si>
  <si>
    <t>O00232</t>
  </si>
  <si>
    <t>O00244</t>
  </si>
  <si>
    <t>O00267-2</t>
  </si>
  <si>
    <t>O00273</t>
  </si>
  <si>
    <t>O00299</t>
  </si>
  <si>
    <t>O00303</t>
  </si>
  <si>
    <t>O00401</t>
  </si>
  <si>
    <t>O00410</t>
  </si>
  <si>
    <t>O00429-4</t>
  </si>
  <si>
    <t>O00459</t>
  </si>
  <si>
    <t>O00462</t>
  </si>
  <si>
    <t>O00471</t>
  </si>
  <si>
    <t>O00479</t>
  </si>
  <si>
    <t>O00487</t>
  </si>
  <si>
    <t>O00499-6</t>
  </si>
  <si>
    <t>O00505</t>
  </si>
  <si>
    <t>O00515</t>
  </si>
  <si>
    <t>O00534</t>
  </si>
  <si>
    <t>O00567</t>
  </si>
  <si>
    <t>O00571</t>
  </si>
  <si>
    <t>O00625</t>
  </si>
  <si>
    <t>O00629</t>
  </si>
  <si>
    <t>O00635</t>
  </si>
  <si>
    <t>O00743</t>
  </si>
  <si>
    <t>O00748</t>
  </si>
  <si>
    <t>O00754</t>
  </si>
  <si>
    <t>O00757</t>
  </si>
  <si>
    <t>O00763</t>
  </si>
  <si>
    <t>O00764</t>
  </si>
  <si>
    <t>O14497</t>
  </si>
  <si>
    <t>O14545</t>
  </si>
  <si>
    <t>O14561</t>
  </si>
  <si>
    <t>O14579</t>
  </si>
  <si>
    <t>O14686</t>
  </si>
  <si>
    <t>O14732-2</t>
  </si>
  <si>
    <t>O14734</t>
  </si>
  <si>
    <t>O14737</t>
  </si>
  <si>
    <t>O14744</t>
  </si>
  <si>
    <t>O14745</t>
  </si>
  <si>
    <t>O14756</t>
  </si>
  <si>
    <t>O14772</t>
  </si>
  <si>
    <t>O14773-2</t>
  </si>
  <si>
    <t>O14776-2</t>
  </si>
  <si>
    <t>O14787-2</t>
  </si>
  <si>
    <t>O14818</t>
  </si>
  <si>
    <t>O14832</t>
  </si>
  <si>
    <t>O14841</t>
  </si>
  <si>
    <t>O14879</t>
  </si>
  <si>
    <t>O14896</t>
  </si>
  <si>
    <t>O14907</t>
  </si>
  <si>
    <t>O14908</t>
  </si>
  <si>
    <t>O14929</t>
  </si>
  <si>
    <t>O14933</t>
  </si>
  <si>
    <t>O14936-3</t>
  </si>
  <si>
    <t>O14964</t>
  </si>
  <si>
    <t>O14974</t>
  </si>
  <si>
    <t>O14975-2</t>
  </si>
  <si>
    <t>O14979-3</t>
  </si>
  <si>
    <t>O14980</t>
  </si>
  <si>
    <t>O15020</t>
  </si>
  <si>
    <t>O15021-2</t>
  </si>
  <si>
    <t>O15067</t>
  </si>
  <si>
    <t>O15084</t>
  </si>
  <si>
    <t>O15143</t>
  </si>
  <si>
    <t>O15144</t>
  </si>
  <si>
    <t>O15145</t>
  </si>
  <si>
    <t>O15212</t>
  </si>
  <si>
    <t>O15217</t>
  </si>
  <si>
    <t>O15229-3</t>
  </si>
  <si>
    <t>O15254</t>
  </si>
  <si>
    <t>O15294-3</t>
  </si>
  <si>
    <t>O15305</t>
  </si>
  <si>
    <t>O15355</t>
  </si>
  <si>
    <t>O15357</t>
  </si>
  <si>
    <t>O15372</t>
  </si>
  <si>
    <t>O15379</t>
  </si>
  <si>
    <t>O15382</t>
  </si>
  <si>
    <t>O15397</t>
  </si>
  <si>
    <t>O15400-2</t>
  </si>
  <si>
    <t>O15488-4</t>
  </si>
  <si>
    <t>O15498</t>
  </si>
  <si>
    <t>O15511</t>
  </si>
  <si>
    <t>O15541</t>
  </si>
  <si>
    <t>O43143</t>
  </si>
  <si>
    <t>O43148</t>
  </si>
  <si>
    <t>O43149</t>
  </si>
  <si>
    <t>O43172-2</t>
  </si>
  <si>
    <t>O43175</t>
  </si>
  <si>
    <t>O43236-5</t>
  </si>
  <si>
    <t>O43237</t>
  </si>
  <si>
    <t>O43242</t>
  </si>
  <si>
    <t>O43252</t>
  </si>
  <si>
    <t>O43290</t>
  </si>
  <si>
    <t>O43312-4</t>
  </si>
  <si>
    <t>O43314-2</t>
  </si>
  <si>
    <t>O43318-2</t>
  </si>
  <si>
    <t>O43324</t>
  </si>
  <si>
    <t>O43325</t>
  </si>
  <si>
    <t>O43390</t>
  </si>
  <si>
    <t>O43396</t>
  </si>
  <si>
    <t>O43399</t>
  </si>
  <si>
    <t>O43414-3</t>
  </si>
  <si>
    <t>O43432</t>
  </si>
  <si>
    <t>O43464</t>
  </si>
  <si>
    <t>O43491-3</t>
  </si>
  <si>
    <t>O43493-2</t>
  </si>
  <si>
    <t>O43592</t>
  </si>
  <si>
    <t>O43598</t>
  </si>
  <si>
    <t>O43615</t>
  </si>
  <si>
    <t>O43617-2</t>
  </si>
  <si>
    <t>O43633</t>
  </si>
  <si>
    <t>O43670-2</t>
  </si>
  <si>
    <t>O43678</t>
  </si>
  <si>
    <t>O43681</t>
  </si>
  <si>
    <t>O43704</t>
  </si>
  <si>
    <t>O43707</t>
  </si>
  <si>
    <t>O43708</t>
  </si>
  <si>
    <t>O43715</t>
  </si>
  <si>
    <t>O43716</t>
  </si>
  <si>
    <t>O43719</t>
  </si>
  <si>
    <t>O43741</t>
  </si>
  <si>
    <t>O43747</t>
  </si>
  <si>
    <t>O43765</t>
  </si>
  <si>
    <t>O43766-2</t>
  </si>
  <si>
    <t>O43768-2</t>
  </si>
  <si>
    <t>O43776</t>
  </si>
  <si>
    <t>O43795-2</t>
  </si>
  <si>
    <t>O43805</t>
  </si>
  <si>
    <t>O43809</t>
  </si>
  <si>
    <t>O43813</t>
  </si>
  <si>
    <t>O43815-2</t>
  </si>
  <si>
    <t>O43820-4</t>
  </si>
  <si>
    <t>O43837</t>
  </si>
  <si>
    <t>O43847</t>
  </si>
  <si>
    <t>O43852</t>
  </si>
  <si>
    <t>O43865</t>
  </si>
  <si>
    <t>O43903</t>
  </si>
  <si>
    <t>O60216</t>
  </si>
  <si>
    <t>O60218</t>
  </si>
  <si>
    <t>O60220</t>
  </si>
  <si>
    <t>O60231</t>
  </si>
  <si>
    <t>O60240</t>
  </si>
  <si>
    <t>O60256</t>
  </si>
  <si>
    <t>O60260-5</t>
  </si>
  <si>
    <t>O60271-4</t>
  </si>
  <si>
    <t>O60341</t>
  </si>
  <si>
    <t>O60343-2</t>
  </si>
  <si>
    <t>O60443</t>
  </si>
  <si>
    <t>O60493</t>
  </si>
  <si>
    <t>O60504-2</t>
  </si>
  <si>
    <t>O60506-2</t>
  </si>
  <si>
    <t>O60547-2</t>
  </si>
  <si>
    <t>O60551</t>
  </si>
  <si>
    <t>O60613</t>
  </si>
  <si>
    <t>O60645-3</t>
  </si>
  <si>
    <t>O60664-4</t>
  </si>
  <si>
    <t>O60701</t>
  </si>
  <si>
    <t>O60716-5</t>
  </si>
  <si>
    <t>O60749</t>
  </si>
  <si>
    <t>O60763</t>
  </si>
  <si>
    <t>O60826</t>
  </si>
  <si>
    <t>O60828-2</t>
  </si>
  <si>
    <t>O60832</t>
  </si>
  <si>
    <t>O60841</t>
  </si>
  <si>
    <t>O60869</t>
  </si>
  <si>
    <t>O60884</t>
  </si>
  <si>
    <t>O60885</t>
  </si>
  <si>
    <t>O60925</t>
  </si>
  <si>
    <t>O60927</t>
  </si>
  <si>
    <t>O60934</t>
  </si>
  <si>
    <t>O60942-3</t>
  </si>
  <si>
    <t>O75081-2</t>
  </si>
  <si>
    <t>O75083</t>
  </si>
  <si>
    <t>O75113</t>
  </si>
  <si>
    <t>O75116</t>
  </si>
  <si>
    <t>O75131</t>
  </si>
  <si>
    <t>O75146</t>
  </si>
  <si>
    <t>O75150</t>
  </si>
  <si>
    <t>O75155-2</t>
  </si>
  <si>
    <t>O75165</t>
  </si>
  <si>
    <t>O75170-4</t>
  </si>
  <si>
    <t>O75175</t>
  </si>
  <si>
    <t>O75177</t>
  </si>
  <si>
    <t>O75185</t>
  </si>
  <si>
    <t>O75191</t>
  </si>
  <si>
    <t>O75208</t>
  </si>
  <si>
    <t>O75223</t>
  </si>
  <si>
    <t>O75323</t>
  </si>
  <si>
    <t>O75340</t>
  </si>
  <si>
    <t>O75347</t>
  </si>
  <si>
    <t>O75348</t>
  </si>
  <si>
    <t>O75351</t>
  </si>
  <si>
    <t>O75356</t>
  </si>
  <si>
    <t>O75368</t>
  </si>
  <si>
    <t>O75369-8</t>
  </si>
  <si>
    <t>O75376</t>
  </si>
  <si>
    <t>O75380</t>
  </si>
  <si>
    <t>O75396</t>
  </si>
  <si>
    <t>O75400-2</t>
  </si>
  <si>
    <t>O75414-2</t>
  </si>
  <si>
    <t>O75436</t>
  </si>
  <si>
    <t>O75439</t>
  </si>
  <si>
    <t>O75452</t>
  </si>
  <si>
    <t>O75475</t>
  </si>
  <si>
    <t>O75503</t>
  </si>
  <si>
    <t>O75521-2</t>
  </si>
  <si>
    <t>O75531</t>
  </si>
  <si>
    <t>O75533</t>
  </si>
  <si>
    <t>O75534</t>
  </si>
  <si>
    <t>O75570</t>
  </si>
  <si>
    <t>O75600</t>
  </si>
  <si>
    <t>O75608-2</t>
  </si>
  <si>
    <t>O75629</t>
  </si>
  <si>
    <t>O75643</t>
  </si>
  <si>
    <t>O75663</t>
  </si>
  <si>
    <t>O75688</t>
  </si>
  <si>
    <t>O75695</t>
  </si>
  <si>
    <t>O75764</t>
  </si>
  <si>
    <t>O75821</t>
  </si>
  <si>
    <t>O75822</t>
  </si>
  <si>
    <t>O75874</t>
  </si>
  <si>
    <t>O75884</t>
  </si>
  <si>
    <t>O75886</t>
  </si>
  <si>
    <t>O75891</t>
  </si>
  <si>
    <t>O75896</t>
  </si>
  <si>
    <t>O75934</t>
  </si>
  <si>
    <t>O75935-3</t>
  </si>
  <si>
    <t>O75936</t>
  </si>
  <si>
    <t>O75937</t>
  </si>
  <si>
    <t>O75940</t>
  </si>
  <si>
    <t>O75970-3</t>
  </si>
  <si>
    <t>O75976</t>
  </si>
  <si>
    <t>O76003</t>
  </si>
  <si>
    <t>O76024</t>
  </si>
  <si>
    <t>O76031</t>
  </si>
  <si>
    <t>O76054</t>
  </si>
  <si>
    <t>O76071</t>
  </si>
  <si>
    <t>O76094</t>
  </si>
  <si>
    <t>O94760</t>
  </si>
  <si>
    <t>O94776</t>
  </si>
  <si>
    <t>O94788-4</t>
  </si>
  <si>
    <t>O94804</t>
  </si>
  <si>
    <t>O94811</t>
  </si>
  <si>
    <t>O94819</t>
  </si>
  <si>
    <t>O94826</t>
  </si>
  <si>
    <t>O94851-5</t>
  </si>
  <si>
    <t>O94855</t>
  </si>
  <si>
    <t>O94874</t>
  </si>
  <si>
    <t>O94875-12</t>
  </si>
  <si>
    <t>O94887</t>
  </si>
  <si>
    <t>O94903</t>
  </si>
  <si>
    <t>O94929-2</t>
  </si>
  <si>
    <t>O94973</t>
  </si>
  <si>
    <t>O94979-3</t>
  </si>
  <si>
    <t>O94992</t>
  </si>
  <si>
    <t>O95081</t>
  </si>
  <si>
    <t>O95104-3</t>
  </si>
  <si>
    <t>O95154</t>
  </si>
  <si>
    <t>O95155-3</t>
  </si>
  <si>
    <t>O95163</t>
  </si>
  <si>
    <t>O95202</t>
  </si>
  <si>
    <t>O95210</t>
  </si>
  <si>
    <t>O95218-2</t>
  </si>
  <si>
    <t>O95219</t>
  </si>
  <si>
    <t>O95232</t>
  </si>
  <si>
    <t>O95251-2</t>
  </si>
  <si>
    <t>O95278-7</t>
  </si>
  <si>
    <t>O95292</t>
  </si>
  <si>
    <t>O95295</t>
  </si>
  <si>
    <t>O95336</t>
  </si>
  <si>
    <t>O95340</t>
  </si>
  <si>
    <t>O95352</t>
  </si>
  <si>
    <t>O95363</t>
  </si>
  <si>
    <t>O95372</t>
  </si>
  <si>
    <t>O95373</t>
  </si>
  <si>
    <t>O95376</t>
  </si>
  <si>
    <t>O95394</t>
  </si>
  <si>
    <t>O95396</t>
  </si>
  <si>
    <t>O95399</t>
  </si>
  <si>
    <t>O95425-2</t>
  </si>
  <si>
    <t>O95429-2</t>
  </si>
  <si>
    <t>O95433</t>
  </si>
  <si>
    <t>O95456-2</t>
  </si>
  <si>
    <t>O95479</t>
  </si>
  <si>
    <t>O95486</t>
  </si>
  <si>
    <t>O95487-2</t>
  </si>
  <si>
    <t>O95497</t>
  </si>
  <si>
    <t>O95544</t>
  </si>
  <si>
    <t>O95571</t>
  </si>
  <si>
    <t>O95630</t>
  </si>
  <si>
    <t>O95671-2</t>
  </si>
  <si>
    <t>O95721</t>
  </si>
  <si>
    <t>O95747</t>
  </si>
  <si>
    <t>O95757</t>
  </si>
  <si>
    <t>O95777</t>
  </si>
  <si>
    <t>O95782-2</t>
  </si>
  <si>
    <t>O95810</t>
  </si>
  <si>
    <t>O95816</t>
  </si>
  <si>
    <t>O95817</t>
  </si>
  <si>
    <t>O95822</t>
  </si>
  <si>
    <t>O95825</t>
  </si>
  <si>
    <t>O95831-3</t>
  </si>
  <si>
    <t>O95834</t>
  </si>
  <si>
    <t>O95865</t>
  </si>
  <si>
    <t>O95881</t>
  </si>
  <si>
    <t>O95954</t>
  </si>
  <si>
    <t>O95989</t>
  </si>
  <si>
    <t>O96007</t>
  </si>
  <si>
    <t>O96033</t>
  </si>
  <si>
    <t>P00325</t>
  </si>
  <si>
    <t>P00326</t>
  </si>
  <si>
    <t>P00338</t>
  </si>
  <si>
    <t>P00352</t>
  </si>
  <si>
    <t>P00387-2</t>
  </si>
  <si>
    <t>P00390-2</t>
  </si>
  <si>
    <t>P00390-5</t>
  </si>
  <si>
    <t>P00439</t>
  </si>
  <si>
    <t>P00450</t>
  </si>
  <si>
    <t>P00480</t>
  </si>
  <si>
    <t>P00491</t>
  </si>
  <si>
    <t>P00492</t>
  </si>
  <si>
    <t>P00505</t>
  </si>
  <si>
    <t>P00558</t>
  </si>
  <si>
    <t>P00568</t>
  </si>
  <si>
    <t>P00734</t>
  </si>
  <si>
    <t>P00736</t>
  </si>
  <si>
    <t>P00738</t>
  </si>
  <si>
    <t>P00740</t>
  </si>
  <si>
    <t>P00747</t>
  </si>
  <si>
    <t>P00966</t>
  </si>
  <si>
    <t>P01009</t>
  </si>
  <si>
    <t>P01011</t>
  </si>
  <si>
    <t>P01019</t>
  </si>
  <si>
    <t>P01023</t>
  </si>
  <si>
    <t>P01024</t>
  </si>
  <si>
    <t>P01034</t>
  </si>
  <si>
    <t>P01040</t>
  </si>
  <si>
    <t>P01042-2</t>
  </si>
  <si>
    <t>P01111</t>
  </si>
  <si>
    <t>P01116-2</t>
  </si>
  <si>
    <t>P01598</t>
  </si>
  <si>
    <t>P01763</t>
  </si>
  <si>
    <t>P01765</t>
  </si>
  <si>
    <t>P01834</t>
  </si>
  <si>
    <t>P01857</t>
  </si>
  <si>
    <t>P01860</t>
  </si>
  <si>
    <t>P01871</t>
  </si>
  <si>
    <t>P01876</t>
  </si>
  <si>
    <t>P01877</t>
  </si>
  <si>
    <t>P02462-2</t>
  </si>
  <si>
    <t>P02533</t>
  </si>
  <si>
    <t>P02538</t>
  </si>
  <si>
    <t>P02545</t>
  </si>
  <si>
    <t>P02647</t>
  </si>
  <si>
    <t>P02649</t>
  </si>
  <si>
    <t>P02652</t>
  </si>
  <si>
    <t>P02656</t>
  </si>
  <si>
    <t>P02671-2</t>
  </si>
  <si>
    <t>P02675</t>
  </si>
  <si>
    <t>P02679-2</t>
  </si>
  <si>
    <t>P02743</t>
  </si>
  <si>
    <t>P02748</t>
  </si>
  <si>
    <t>P02749</t>
  </si>
  <si>
    <t>P02750</t>
  </si>
  <si>
    <t>P02760</t>
  </si>
  <si>
    <t>P02763</t>
  </si>
  <si>
    <t>P02765</t>
  </si>
  <si>
    <t>P02766</t>
  </si>
  <si>
    <t>P02771</t>
  </si>
  <si>
    <t>P02774</t>
  </si>
  <si>
    <t>P02790</t>
  </si>
  <si>
    <t>P02792</t>
  </si>
  <si>
    <t>P02794</t>
  </si>
  <si>
    <t>P02795</t>
  </si>
  <si>
    <t>P03950</t>
  </si>
  <si>
    <t>P04003</t>
  </si>
  <si>
    <t>P04004</t>
  </si>
  <si>
    <t>P04066</t>
  </si>
  <si>
    <t>P04080</t>
  </si>
  <si>
    <t>P04083</t>
  </si>
  <si>
    <t>P04114</t>
  </si>
  <si>
    <t>P04150-7</t>
  </si>
  <si>
    <t>P04179</t>
  </si>
  <si>
    <t>P04181</t>
  </si>
  <si>
    <t>P04196</t>
  </si>
  <si>
    <t>P04206</t>
  </si>
  <si>
    <t>P04217</t>
  </si>
  <si>
    <t>P04259</t>
  </si>
  <si>
    <t>P04264</t>
  </si>
  <si>
    <t>P04406-2</t>
  </si>
  <si>
    <t>P04406</t>
  </si>
  <si>
    <t>P04424</t>
  </si>
  <si>
    <t>P04632</t>
  </si>
  <si>
    <t>P04731</t>
  </si>
  <si>
    <t>P04732</t>
  </si>
  <si>
    <t>P04733</t>
  </si>
  <si>
    <t>P04792</t>
  </si>
  <si>
    <t>P05023-3</t>
  </si>
  <si>
    <t>P05062</t>
  </si>
  <si>
    <t>P05089</t>
  </si>
  <si>
    <t>P05090</t>
  </si>
  <si>
    <t>P05091</t>
  </si>
  <si>
    <t>P05109</t>
  </si>
  <si>
    <t>P05114</t>
  </si>
  <si>
    <t>P05155</t>
  </si>
  <si>
    <t>P05161</t>
  </si>
  <si>
    <t>P05164-2</t>
  </si>
  <si>
    <t>P05165</t>
  </si>
  <si>
    <t>P05166</t>
  </si>
  <si>
    <t>P05181</t>
  </si>
  <si>
    <t>P05186-2</t>
  </si>
  <si>
    <t>P05198</t>
  </si>
  <si>
    <t>P05204</t>
  </si>
  <si>
    <t>P05387</t>
  </si>
  <si>
    <t>P05455</t>
  </si>
  <si>
    <t>P05543</t>
  </si>
  <si>
    <t>P05546</t>
  </si>
  <si>
    <t>P05556</t>
  </si>
  <si>
    <t>P05783</t>
  </si>
  <si>
    <t>P05787</t>
  </si>
  <si>
    <t>P05976-2</t>
  </si>
  <si>
    <t>P06132</t>
  </si>
  <si>
    <t>P06280</t>
  </si>
  <si>
    <t>P06576</t>
  </si>
  <si>
    <t>P06681</t>
  </si>
  <si>
    <t>P06702</t>
  </si>
  <si>
    <t>P06727</t>
  </si>
  <si>
    <t>P06730</t>
  </si>
  <si>
    <t>P06733</t>
  </si>
  <si>
    <t>P06737-2</t>
  </si>
  <si>
    <t>P06744</t>
  </si>
  <si>
    <t>P06748</t>
  </si>
  <si>
    <t>P06753-2</t>
  </si>
  <si>
    <t>P06753-5</t>
  </si>
  <si>
    <t>P07099</t>
  </si>
  <si>
    <t>P07108</t>
  </si>
  <si>
    <t>P07148</t>
  </si>
  <si>
    <t>P07195</t>
  </si>
  <si>
    <t>P07203</t>
  </si>
  <si>
    <t>P07237</t>
  </si>
  <si>
    <t>P07305-2</t>
  </si>
  <si>
    <t>P07311</t>
  </si>
  <si>
    <t>P07327</t>
  </si>
  <si>
    <t>P07357</t>
  </si>
  <si>
    <t>P07384</t>
  </si>
  <si>
    <t>P07438</t>
  </si>
  <si>
    <t>P07602</t>
  </si>
  <si>
    <t>P07686</t>
  </si>
  <si>
    <t>P07711</t>
  </si>
  <si>
    <t>P07737</t>
  </si>
  <si>
    <t>P07738</t>
  </si>
  <si>
    <t>P07741</t>
  </si>
  <si>
    <t>P07814</t>
  </si>
  <si>
    <t>P07858</t>
  </si>
  <si>
    <t>P07900</t>
  </si>
  <si>
    <t>P07902</t>
  </si>
  <si>
    <t>P07947</t>
  </si>
  <si>
    <t>P07954-2</t>
  </si>
  <si>
    <t>P07996</t>
  </si>
  <si>
    <t>P08107</t>
  </si>
  <si>
    <t>P08133-2</t>
  </si>
  <si>
    <t>P08185</t>
  </si>
  <si>
    <t>P08236</t>
  </si>
  <si>
    <t>P08238</t>
  </si>
  <si>
    <t>P08240-2</t>
  </si>
  <si>
    <t>P08319</t>
  </si>
  <si>
    <t>P08519</t>
  </si>
  <si>
    <t>P08559-3</t>
  </si>
  <si>
    <t>P08579</t>
  </si>
  <si>
    <t>P08603</t>
  </si>
  <si>
    <t>P08621-2</t>
  </si>
  <si>
    <t>P08651-2</t>
  </si>
  <si>
    <t>P08670</t>
  </si>
  <si>
    <t>P08697</t>
  </si>
  <si>
    <t>P08727</t>
  </si>
  <si>
    <t>P08729</t>
  </si>
  <si>
    <t>P08779</t>
  </si>
  <si>
    <t>P09110</t>
  </si>
  <si>
    <t>P09132</t>
  </si>
  <si>
    <t>P09210</t>
  </si>
  <si>
    <t>P09234</t>
  </si>
  <si>
    <t>P09327</t>
  </si>
  <si>
    <t>P09382</t>
  </si>
  <si>
    <t>P09417</t>
  </si>
  <si>
    <t>P09429</t>
  </si>
  <si>
    <t>P09467</t>
  </si>
  <si>
    <t>P09493-3</t>
  </si>
  <si>
    <t>P09496-2</t>
  </si>
  <si>
    <t>P09497-2</t>
  </si>
  <si>
    <t>P09525</t>
  </si>
  <si>
    <t>P09543-2</t>
  </si>
  <si>
    <t>P09601</t>
  </si>
  <si>
    <t>P09622</t>
  </si>
  <si>
    <t>P09651-3</t>
  </si>
  <si>
    <t>P09661</t>
  </si>
  <si>
    <t>P09668</t>
  </si>
  <si>
    <t>P09871</t>
  </si>
  <si>
    <t>P09874</t>
  </si>
  <si>
    <t>P09913</t>
  </si>
  <si>
    <t>P09960</t>
  </si>
  <si>
    <t>P09972</t>
  </si>
  <si>
    <t>P0C024</t>
  </si>
  <si>
    <t>P0C0L5</t>
  </si>
  <si>
    <t>P0CG05</t>
  </si>
  <si>
    <t>P0CW22</t>
  </si>
  <si>
    <t>P0DJI8</t>
  </si>
  <si>
    <t>P10109</t>
  </si>
  <si>
    <t>P10153</t>
  </si>
  <si>
    <t>P10155-3</t>
  </si>
  <si>
    <t>P10253</t>
  </si>
  <si>
    <t>P10398</t>
  </si>
  <si>
    <t>P10412</t>
  </si>
  <si>
    <t>P10515</t>
  </si>
  <si>
    <t>P10586-2</t>
  </si>
  <si>
    <t>P10606</t>
  </si>
  <si>
    <t>P10619</t>
  </si>
  <si>
    <t>P10632-2</t>
  </si>
  <si>
    <t>P10644</t>
  </si>
  <si>
    <t>P10746</t>
  </si>
  <si>
    <t>P10768</t>
  </si>
  <si>
    <t>P10809</t>
  </si>
  <si>
    <t>P10909-4</t>
  </si>
  <si>
    <t>P11021</t>
  </si>
  <si>
    <t>P11047</t>
  </si>
  <si>
    <t>P11142</t>
  </si>
  <si>
    <t>P11171-4</t>
  </si>
  <si>
    <t>P11172</t>
  </si>
  <si>
    <t>P11177-3</t>
  </si>
  <si>
    <t>P11182</t>
  </si>
  <si>
    <t>P11216</t>
  </si>
  <si>
    <t>P11226</t>
  </si>
  <si>
    <t>P11245</t>
  </si>
  <si>
    <t>P11274-2</t>
  </si>
  <si>
    <t>P11277-3</t>
  </si>
  <si>
    <t>P11310</t>
  </si>
  <si>
    <t>P11413</t>
  </si>
  <si>
    <t>P11441</t>
  </si>
  <si>
    <t>P11498</t>
  </si>
  <si>
    <t>P11509</t>
  </si>
  <si>
    <t>P11532-3</t>
  </si>
  <si>
    <t>P11532-5</t>
  </si>
  <si>
    <t>P11586</t>
  </si>
  <si>
    <t>P11712</t>
  </si>
  <si>
    <t>P11766</t>
  </si>
  <si>
    <t>P11908</t>
  </si>
  <si>
    <t>P11940-2</t>
  </si>
  <si>
    <t>P12004</t>
  </si>
  <si>
    <t>P12270</t>
  </si>
  <si>
    <t>P12694</t>
  </si>
  <si>
    <t>P12724</t>
  </si>
  <si>
    <t>P12814</t>
  </si>
  <si>
    <t>P12955</t>
  </si>
  <si>
    <t>P12956</t>
  </si>
  <si>
    <t>P13010</t>
  </si>
  <si>
    <t>P13073</t>
  </si>
  <si>
    <t>P13196</t>
  </si>
  <si>
    <t>P13284</t>
  </si>
  <si>
    <t>P13489</t>
  </si>
  <si>
    <t>P13639</t>
  </si>
  <si>
    <t>P13640-2</t>
  </si>
  <si>
    <t>P13647</t>
  </si>
  <si>
    <t>P13667</t>
  </si>
  <si>
    <t>P13671</t>
  </si>
  <si>
    <t>P13674</t>
  </si>
  <si>
    <t>P13693</t>
  </si>
  <si>
    <t>P13796</t>
  </si>
  <si>
    <t>P13797</t>
  </si>
  <si>
    <t>P13798</t>
  </si>
  <si>
    <t>P13804</t>
  </si>
  <si>
    <t>P13861</t>
  </si>
  <si>
    <t>P13929</t>
  </si>
  <si>
    <t>P14174</t>
  </si>
  <si>
    <t>P14314-2</t>
  </si>
  <si>
    <t>P14317</t>
  </si>
  <si>
    <t>P14324-2</t>
  </si>
  <si>
    <t>P14543</t>
  </si>
  <si>
    <t>P14550</t>
  </si>
  <si>
    <t>P14618</t>
  </si>
  <si>
    <t>P14621</t>
  </si>
  <si>
    <t>P14625</t>
  </si>
  <si>
    <t>P14735</t>
  </si>
  <si>
    <t>P14854</t>
  </si>
  <si>
    <t>P14866</t>
  </si>
  <si>
    <t>P14868</t>
  </si>
  <si>
    <t>P14920</t>
  </si>
  <si>
    <t>P14923</t>
  </si>
  <si>
    <t>P15104</t>
  </si>
  <si>
    <t>P15121</t>
  </si>
  <si>
    <t>P15144</t>
  </si>
  <si>
    <t>P15170-2</t>
  </si>
  <si>
    <t>P15289-2</t>
  </si>
  <si>
    <t>P15289</t>
  </si>
  <si>
    <t>P15311</t>
  </si>
  <si>
    <t>P15374</t>
  </si>
  <si>
    <t>P15428</t>
  </si>
  <si>
    <t>P15529-16</t>
  </si>
  <si>
    <t>P15531</t>
  </si>
  <si>
    <t>P15735-2</t>
  </si>
  <si>
    <t>P15848</t>
  </si>
  <si>
    <t>P15924</t>
  </si>
  <si>
    <t>P15927</t>
  </si>
  <si>
    <t>P16118</t>
  </si>
  <si>
    <t>P16152</t>
  </si>
  <si>
    <t>P16219</t>
  </si>
  <si>
    <t>P16278-3</t>
  </si>
  <si>
    <t>P16298-3</t>
  </si>
  <si>
    <t>P16333</t>
  </si>
  <si>
    <t>P16383-2</t>
  </si>
  <si>
    <t>P16435</t>
  </si>
  <si>
    <t>P16455</t>
  </si>
  <si>
    <t>P16885</t>
  </si>
  <si>
    <t>P16930</t>
  </si>
  <si>
    <t>P16949</t>
  </si>
  <si>
    <t>P16989-2</t>
  </si>
  <si>
    <t>P17029</t>
  </si>
  <si>
    <t>P17050</t>
  </si>
  <si>
    <t>P17066</t>
  </si>
  <si>
    <t>P17174</t>
  </si>
  <si>
    <t>P17516</t>
  </si>
  <si>
    <t>P17612</t>
  </si>
  <si>
    <t>P17655</t>
  </si>
  <si>
    <t>P17735</t>
  </si>
  <si>
    <t>P17812</t>
  </si>
  <si>
    <t>P17858</t>
  </si>
  <si>
    <t>P17900</t>
  </si>
  <si>
    <t>P17931</t>
  </si>
  <si>
    <t>P17987</t>
  </si>
  <si>
    <t>P18065</t>
  </si>
  <si>
    <t>P18206-2</t>
  </si>
  <si>
    <t>P18283</t>
  </si>
  <si>
    <t>P18510-4</t>
  </si>
  <si>
    <t>P18583-2</t>
  </si>
  <si>
    <t>P18621-2</t>
  </si>
  <si>
    <t>P18669</t>
  </si>
  <si>
    <t>P18859</t>
  </si>
  <si>
    <t>P19105</t>
  </si>
  <si>
    <t>P19174</t>
  </si>
  <si>
    <t>P19338</t>
  </si>
  <si>
    <t>P19388</t>
  </si>
  <si>
    <t>P19404</t>
  </si>
  <si>
    <t>P19525-2</t>
  </si>
  <si>
    <t>P19623</t>
  </si>
  <si>
    <t>P19652</t>
  </si>
  <si>
    <t>P19784</t>
  </si>
  <si>
    <t>P19827</t>
  </si>
  <si>
    <t>P19838</t>
  </si>
  <si>
    <t>P19971</t>
  </si>
  <si>
    <t>P20042</t>
  </si>
  <si>
    <t>P20132</t>
  </si>
  <si>
    <t>P20290</t>
  </si>
  <si>
    <t>P20338</t>
  </si>
  <si>
    <t>P20340-2</t>
  </si>
  <si>
    <t>P20591</t>
  </si>
  <si>
    <t>P20618</t>
  </si>
  <si>
    <t>P20674</t>
  </si>
  <si>
    <t>P20700</t>
  </si>
  <si>
    <t>P20711-3</t>
  </si>
  <si>
    <t>P20742</t>
  </si>
  <si>
    <t>P20810-5</t>
  </si>
  <si>
    <t>P20930</t>
  </si>
  <si>
    <t>P20933</t>
  </si>
  <si>
    <t>P20962</t>
  </si>
  <si>
    <t>P21266</t>
  </si>
  <si>
    <t>P21281</t>
  </si>
  <si>
    <t>P21283</t>
  </si>
  <si>
    <t>P21291</t>
  </si>
  <si>
    <t>P21397-2</t>
  </si>
  <si>
    <t>P21399</t>
  </si>
  <si>
    <t>P21549</t>
  </si>
  <si>
    <t>P21695-2</t>
  </si>
  <si>
    <t>P21912</t>
  </si>
  <si>
    <t>P21964-2</t>
  </si>
  <si>
    <t>P22033</t>
  </si>
  <si>
    <t>P22059</t>
  </si>
  <si>
    <t>P22061</t>
  </si>
  <si>
    <t>P22102</t>
  </si>
  <si>
    <t>P22234</t>
  </si>
  <si>
    <t>P22307-2</t>
  </si>
  <si>
    <t>P22307</t>
  </si>
  <si>
    <t>P22314</t>
  </si>
  <si>
    <t>P22392-2</t>
  </si>
  <si>
    <t>P22570</t>
  </si>
  <si>
    <t>P22626</t>
  </si>
  <si>
    <t>P22670</t>
  </si>
  <si>
    <t>P22694-4</t>
  </si>
  <si>
    <t>P22830</t>
  </si>
  <si>
    <t>P23141-3</t>
  </si>
  <si>
    <t>P23142-3</t>
  </si>
  <si>
    <t>P23193</t>
  </si>
  <si>
    <t>P23246</t>
  </si>
  <si>
    <t>P23284</t>
  </si>
  <si>
    <t>P23368</t>
  </si>
  <si>
    <t>P23378</t>
  </si>
  <si>
    <t>P23381</t>
  </si>
  <si>
    <t>P23396</t>
  </si>
  <si>
    <t>P23409</t>
  </si>
  <si>
    <t>P23434</t>
  </si>
  <si>
    <t>P23497</t>
  </si>
  <si>
    <t>P23508</t>
  </si>
  <si>
    <t>P23526</t>
  </si>
  <si>
    <t>P23528</t>
  </si>
  <si>
    <t>P23588</t>
  </si>
  <si>
    <t>P23786</t>
  </si>
  <si>
    <t>P23919</t>
  </si>
  <si>
    <t>P23921</t>
  </si>
  <si>
    <t>P24298</t>
  </si>
  <si>
    <t>P24534</t>
  </si>
  <si>
    <t>P24666-2</t>
  </si>
  <si>
    <t>P24666</t>
  </si>
  <si>
    <t>P24752</t>
  </si>
  <si>
    <t>P24928</t>
  </si>
  <si>
    <t>P24941</t>
  </si>
  <si>
    <t>P25054-2</t>
  </si>
  <si>
    <t>P25311</t>
  </si>
  <si>
    <t>P25398</t>
  </si>
  <si>
    <t>P25685</t>
  </si>
  <si>
    <t>P25705</t>
  </si>
  <si>
    <t>P25774</t>
  </si>
  <si>
    <t>P25786</t>
  </si>
  <si>
    <t>P25787</t>
  </si>
  <si>
    <t>P25788-2</t>
  </si>
  <si>
    <t>P25789</t>
  </si>
  <si>
    <t>P26038</t>
  </si>
  <si>
    <t>P26196</t>
  </si>
  <si>
    <t>P26358</t>
  </si>
  <si>
    <t>P26368-2</t>
  </si>
  <si>
    <t>P26373</t>
  </si>
  <si>
    <t>P26440</t>
  </si>
  <si>
    <t>P26447</t>
  </si>
  <si>
    <t>P26583</t>
  </si>
  <si>
    <t>P26599</t>
  </si>
  <si>
    <t>P26639</t>
  </si>
  <si>
    <t>P26640</t>
  </si>
  <si>
    <t>P26641</t>
  </si>
  <si>
    <t>P26885</t>
  </si>
  <si>
    <t>P27144</t>
  </si>
  <si>
    <t>P27348</t>
  </si>
  <si>
    <t>P27487</t>
  </si>
  <si>
    <t>P27694</t>
  </si>
  <si>
    <t>P27695</t>
  </si>
  <si>
    <t>P27797</t>
  </si>
  <si>
    <t>P27816-6</t>
  </si>
  <si>
    <t>P27986</t>
  </si>
  <si>
    <t>P28062-2</t>
  </si>
  <si>
    <t>P28066</t>
  </si>
  <si>
    <t>P28070</t>
  </si>
  <si>
    <t>P28072</t>
  </si>
  <si>
    <t>P28074</t>
  </si>
  <si>
    <t>P28289</t>
  </si>
  <si>
    <t>P28330</t>
  </si>
  <si>
    <t>P28331</t>
  </si>
  <si>
    <t>P28332</t>
  </si>
  <si>
    <t>P28340</t>
  </si>
  <si>
    <t>P28482</t>
  </si>
  <si>
    <t>P28799</t>
  </si>
  <si>
    <t>P28838</t>
  </si>
  <si>
    <t>P29083</t>
  </si>
  <si>
    <t>P29144</t>
  </si>
  <si>
    <t>P29350</t>
  </si>
  <si>
    <t>P29353-7</t>
  </si>
  <si>
    <t>P29401</t>
  </si>
  <si>
    <t>P29590</t>
  </si>
  <si>
    <t>P29966</t>
  </si>
  <si>
    <t>P30038</t>
  </si>
  <si>
    <t>P30039</t>
  </si>
  <si>
    <t>P30040</t>
  </si>
  <si>
    <t>P30041</t>
  </si>
  <si>
    <t>P30042</t>
  </si>
  <si>
    <t>P30043</t>
  </si>
  <si>
    <t>P30044-2</t>
  </si>
  <si>
    <t>P30046</t>
  </si>
  <si>
    <t>P30047</t>
  </si>
  <si>
    <t>P30049</t>
  </si>
  <si>
    <t>P30050</t>
  </si>
  <si>
    <t>P30084</t>
  </si>
  <si>
    <t>P30085</t>
  </si>
  <si>
    <t>P30086</t>
  </si>
  <si>
    <t>P30153</t>
  </si>
  <si>
    <t>P30154-4</t>
  </si>
  <si>
    <t>P30405</t>
  </si>
  <si>
    <t>P30414</t>
  </si>
  <si>
    <t>P30419</t>
  </si>
  <si>
    <t>P30520</t>
  </si>
  <si>
    <t>P30533</t>
  </si>
  <si>
    <t>P30566</t>
  </si>
  <si>
    <t>P30613-2</t>
  </si>
  <si>
    <t>P30622-2</t>
  </si>
  <si>
    <t>P30711</t>
  </si>
  <si>
    <t>P30740</t>
  </si>
  <si>
    <t>P30793</t>
  </si>
  <si>
    <t>P30837</t>
  </si>
  <si>
    <t>P31040</t>
  </si>
  <si>
    <t>P31146</t>
  </si>
  <si>
    <t>P31150</t>
  </si>
  <si>
    <t>P31153</t>
  </si>
  <si>
    <t>P31321</t>
  </si>
  <si>
    <t>P31327</t>
  </si>
  <si>
    <t>P31689</t>
  </si>
  <si>
    <t>P31749</t>
  </si>
  <si>
    <t>P31751</t>
  </si>
  <si>
    <t>P31930</t>
  </si>
  <si>
    <t>P31937</t>
  </si>
  <si>
    <t>P31939</t>
  </si>
  <si>
    <t>P31942-2</t>
  </si>
  <si>
    <t>P31944</t>
  </si>
  <si>
    <t>P31946-2</t>
  </si>
  <si>
    <t>P31947-2</t>
  </si>
  <si>
    <t>P31948</t>
  </si>
  <si>
    <t>P31949</t>
  </si>
  <si>
    <t>P32119</t>
  </si>
  <si>
    <t>P32189-1</t>
  </si>
  <si>
    <t>P32320</t>
  </si>
  <si>
    <t>P32321</t>
  </si>
  <si>
    <t>P32455</t>
  </si>
  <si>
    <t>P32456</t>
  </si>
  <si>
    <t>P32519-2</t>
  </si>
  <si>
    <t>P32754-2</t>
  </si>
  <si>
    <t>P32754</t>
  </si>
  <si>
    <t>P32929</t>
  </si>
  <si>
    <t>P33121</t>
  </si>
  <si>
    <t>P33176</t>
  </si>
  <si>
    <t>P33240-2</t>
  </si>
  <si>
    <t>P33241</t>
  </si>
  <si>
    <t>P33316</t>
  </si>
  <si>
    <t>P33991</t>
  </si>
  <si>
    <t>P33992</t>
  </si>
  <si>
    <t>P33993</t>
  </si>
  <si>
    <t>P34059</t>
  </si>
  <si>
    <t>P34096</t>
  </si>
  <si>
    <t>P34896-2</t>
  </si>
  <si>
    <t>P34897-3</t>
  </si>
  <si>
    <t>P34913</t>
  </si>
  <si>
    <t>P34932</t>
  </si>
  <si>
    <t>P35030-2</t>
  </si>
  <si>
    <t>P35218</t>
  </si>
  <si>
    <t>P35221</t>
  </si>
  <si>
    <t>P35237</t>
  </si>
  <si>
    <t>P35241</t>
  </si>
  <si>
    <t>P35251-2</t>
  </si>
  <si>
    <t>P35268</t>
  </si>
  <si>
    <t>P35270</t>
  </si>
  <si>
    <t>P35520</t>
  </si>
  <si>
    <t>P35558</t>
  </si>
  <si>
    <t>P35568</t>
  </si>
  <si>
    <t>P35573</t>
  </si>
  <si>
    <t>P35579</t>
  </si>
  <si>
    <t>P35580</t>
  </si>
  <si>
    <t>P35606</t>
  </si>
  <si>
    <t>P35611-2</t>
  </si>
  <si>
    <t>P35637-2</t>
  </si>
  <si>
    <t>P35658-2</t>
  </si>
  <si>
    <t>P35659</t>
  </si>
  <si>
    <t>P35754</t>
  </si>
  <si>
    <t>P35813</t>
  </si>
  <si>
    <t>P35858</t>
  </si>
  <si>
    <t>P35914</t>
  </si>
  <si>
    <t>P35998</t>
  </si>
  <si>
    <t>P36405</t>
  </si>
  <si>
    <t>P36507</t>
  </si>
  <si>
    <t>P36543</t>
  </si>
  <si>
    <t>P36551</t>
  </si>
  <si>
    <t>P36871</t>
  </si>
  <si>
    <t>P36873</t>
  </si>
  <si>
    <t>P36915</t>
  </si>
  <si>
    <t>P36955</t>
  </si>
  <si>
    <t>P36957</t>
  </si>
  <si>
    <t>P36959</t>
  </si>
  <si>
    <t>P36969-2</t>
  </si>
  <si>
    <t>P36980-2</t>
  </si>
  <si>
    <t>P37108</t>
  </si>
  <si>
    <t>P37198</t>
  </si>
  <si>
    <t>P37235</t>
  </si>
  <si>
    <t>P37802</t>
  </si>
  <si>
    <t>P37837</t>
  </si>
  <si>
    <t>P38117</t>
  </si>
  <si>
    <t>P38159</t>
  </si>
  <si>
    <t>P38432</t>
  </si>
  <si>
    <t>P38570</t>
  </si>
  <si>
    <t>P38646</t>
  </si>
  <si>
    <t>P38919</t>
  </si>
  <si>
    <t>P39019</t>
  </si>
  <si>
    <t>P39060-2</t>
  </si>
  <si>
    <t>P39748</t>
  </si>
  <si>
    <t>P40222</t>
  </si>
  <si>
    <t>P40227</t>
  </si>
  <si>
    <t>P40261</t>
  </si>
  <si>
    <t>P40306</t>
  </si>
  <si>
    <t>P40394</t>
  </si>
  <si>
    <t>P40763-2</t>
  </si>
  <si>
    <t>P40763</t>
  </si>
  <si>
    <t>P40818</t>
  </si>
  <si>
    <t>P40925</t>
  </si>
  <si>
    <t>P40926</t>
  </si>
  <si>
    <t>P40939</t>
  </si>
  <si>
    <t>P41091</t>
  </si>
  <si>
    <t>P41208</t>
  </si>
  <si>
    <t>P41226</t>
  </si>
  <si>
    <t>P41227-2</t>
  </si>
  <si>
    <t>P41236</t>
  </si>
  <si>
    <t>P41240</t>
  </si>
  <si>
    <t>P41250</t>
  </si>
  <si>
    <t>P41252</t>
  </si>
  <si>
    <t>P41567</t>
  </si>
  <si>
    <t>P41743</t>
  </si>
  <si>
    <t>P42025</t>
  </si>
  <si>
    <t>P42126-2</t>
  </si>
  <si>
    <t>P42166</t>
  </si>
  <si>
    <t>P42224-2</t>
  </si>
  <si>
    <t>P42226-3</t>
  </si>
  <si>
    <t>P42285</t>
  </si>
  <si>
    <t>P42330</t>
  </si>
  <si>
    <t>P42336</t>
  </si>
  <si>
    <t>P42338</t>
  </si>
  <si>
    <t>P42345</t>
  </si>
  <si>
    <t>P42357</t>
  </si>
  <si>
    <t>P42566</t>
  </si>
  <si>
    <t>P42574</t>
  </si>
  <si>
    <t>P42704</t>
  </si>
  <si>
    <t>P42765</t>
  </si>
  <si>
    <t>P42773</t>
  </si>
  <si>
    <t>P42785</t>
  </si>
  <si>
    <t>P42858</t>
  </si>
  <si>
    <t>P43034</t>
  </si>
  <si>
    <t>P43155-2</t>
  </si>
  <si>
    <t>P43243</t>
  </si>
  <si>
    <t>P43246</t>
  </si>
  <si>
    <t>P43487</t>
  </si>
  <si>
    <t>P43490</t>
  </si>
  <si>
    <t>P43652</t>
  </si>
  <si>
    <t>P43686</t>
  </si>
  <si>
    <t>P43897</t>
  </si>
  <si>
    <t>P45381</t>
  </si>
  <si>
    <t>P45954</t>
  </si>
  <si>
    <t>P45974-2</t>
  </si>
  <si>
    <t>P45984-2</t>
  </si>
  <si>
    <t>P45985</t>
  </si>
  <si>
    <t>P46013-2</t>
  </si>
  <si>
    <t>P46019</t>
  </si>
  <si>
    <t>P46060</t>
  </si>
  <si>
    <t>P46063</t>
  </si>
  <si>
    <t>P46087-2</t>
  </si>
  <si>
    <t>P46100-2</t>
  </si>
  <si>
    <t>P46108</t>
  </si>
  <si>
    <t>P46109</t>
  </si>
  <si>
    <t>P46199</t>
  </si>
  <si>
    <t>P46527</t>
  </si>
  <si>
    <t>P46736-2</t>
  </si>
  <si>
    <t>P46777</t>
  </si>
  <si>
    <t>P46781</t>
  </si>
  <si>
    <t>P46783</t>
  </si>
  <si>
    <t>P46926</t>
  </si>
  <si>
    <t>P46934-4</t>
  </si>
  <si>
    <t>P46937</t>
  </si>
  <si>
    <t>P46939</t>
  </si>
  <si>
    <t>P46940</t>
  </si>
  <si>
    <t>P46952</t>
  </si>
  <si>
    <t>P46976-2</t>
  </si>
  <si>
    <t>P47224</t>
  </si>
  <si>
    <t>P47755</t>
  </si>
  <si>
    <t>P47813</t>
  </si>
  <si>
    <t>P47897</t>
  </si>
  <si>
    <t>P47985</t>
  </si>
  <si>
    <t>P47989</t>
  </si>
  <si>
    <t>P48059</t>
  </si>
  <si>
    <t>P48147</t>
  </si>
  <si>
    <t>P48163</t>
  </si>
  <si>
    <t>P48200</t>
  </si>
  <si>
    <t>P48444</t>
  </si>
  <si>
    <t>P48449-3</t>
  </si>
  <si>
    <t>P48506</t>
  </si>
  <si>
    <t>P48507</t>
  </si>
  <si>
    <t>P48553</t>
  </si>
  <si>
    <t>P48634</t>
  </si>
  <si>
    <t>P48637</t>
  </si>
  <si>
    <t>P48643</t>
  </si>
  <si>
    <t>P48668</t>
  </si>
  <si>
    <t>P48728</t>
  </si>
  <si>
    <t>P48735</t>
  </si>
  <si>
    <t>P48739</t>
  </si>
  <si>
    <t>P49006</t>
  </si>
  <si>
    <t>P49137</t>
  </si>
  <si>
    <t>P49189</t>
  </si>
  <si>
    <t>P49247</t>
  </si>
  <si>
    <t>P49321</t>
  </si>
  <si>
    <t>P49326</t>
  </si>
  <si>
    <t>P49327</t>
  </si>
  <si>
    <t>P49354</t>
  </si>
  <si>
    <t>P49366</t>
  </si>
  <si>
    <t>P49368</t>
  </si>
  <si>
    <t>P49407-2</t>
  </si>
  <si>
    <t>P49411</t>
  </si>
  <si>
    <t>P49419-2</t>
  </si>
  <si>
    <t>P49427</t>
  </si>
  <si>
    <t>P49441</t>
  </si>
  <si>
    <t>P49448</t>
  </si>
  <si>
    <t>P49458</t>
  </si>
  <si>
    <t>P49459</t>
  </si>
  <si>
    <t>P49588</t>
  </si>
  <si>
    <t>P49589-3</t>
  </si>
  <si>
    <t>P49591</t>
  </si>
  <si>
    <t>P49638</t>
  </si>
  <si>
    <t>P49662</t>
  </si>
  <si>
    <t>P49711</t>
  </si>
  <si>
    <t>P49720</t>
  </si>
  <si>
    <t>P49721</t>
  </si>
  <si>
    <t>P49736</t>
  </si>
  <si>
    <t>P49748</t>
  </si>
  <si>
    <t>P49750-4</t>
  </si>
  <si>
    <t>P49756</t>
  </si>
  <si>
    <t>P49757-4</t>
  </si>
  <si>
    <t>P49770</t>
  </si>
  <si>
    <t>P49773</t>
  </si>
  <si>
    <t>P49789</t>
  </si>
  <si>
    <t>P49790</t>
  </si>
  <si>
    <t>P49792</t>
  </si>
  <si>
    <t>P49821-2</t>
  </si>
  <si>
    <t>P49840</t>
  </si>
  <si>
    <t>P49888</t>
  </si>
  <si>
    <t>P49902</t>
  </si>
  <si>
    <t>P49903</t>
  </si>
  <si>
    <t>P49914</t>
  </si>
  <si>
    <t>P49959</t>
  </si>
  <si>
    <t>P50053-2</t>
  </si>
  <si>
    <t>P50053</t>
  </si>
  <si>
    <t>P50135</t>
  </si>
  <si>
    <t>P50225</t>
  </si>
  <si>
    <t>P50226</t>
  </si>
  <si>
    <t>P50395</t>
  </si>
  <si>
    <t>P50402</t>
  </si>
  <si>
    <t>P50440</t>
  </si>
  <si>
    <t>P50452</t>
  </si>
  <si>
    <t>P50453</t>
  </si>
  <si>
    <t>P50454</t>
  </si>
  <si>
    <t>P50502</t>
  </si>
  <si>
    <t>P50542-2</t>
  </si>
  <si>
    <t>P50552</t>
  </si>
  <si>
    <t>P50570-2</t>
  </si>
  <si>
    <t>P50583</t>
  </si>
  <si>
    <t>P50747</t>
  </si>
  <si>
    <t>P50750</t>
  </si>
  <si>
    <t>P50897</t>
  </si>
  <si>
    <t>P50990</t>
  </si>
  <si>
    <t>P50991</t>
  </si>
  <si>
    <t>P51114-3</t>
  </si>
  <si>
    <t>P51116</t>
  </si>
  <si>
    <t>P51148</t>
  </si>
  <si>
    <t>P51149</t>
  </si>
  <si>
    <t>P51153</t>
  </si>
  <si>
    <t>P51178</t>
  </si>
  <si>
    <t>P51398-2</t>
  </si>
  <si>
    <t>P51452</t>
  </si>
  <si>
    <t>P51553</t>
  </si>
  <si>
    <t>P51570</t>
  </si>
  <si>
    <t>P51572</t>
  </si>
  <si>
    <t>P51580</t>
  </si>
  <si>
    <t>P51608</t>
  </si>
  <si>
    <t>P51610-4</t>
  </si>
  <si>
    <t>P51649</t>
  </si>
  <si>
    <t>P51659</t>
  </si>
  <si>
    <t>P51665</t>
  </si>
  <si>
    <t>P51687</t>
  </si>
  <si>
    <t>P51688</t>
  </si>
  <si>
    <t>P51692</t>
  </si>
  <si>
    <t>P51857</t>
  </si>
  <si>
    <t>P51858</t>
  </si>
  <si>
    <t>P51991</t>
  </si>
  <si>
    <t>P52272-2</t>
  </si>
  <si>
    <t>P52292</t>
  </si>
  <si>
    <t>P52294</t>
  </si>
  <si>
    <t>P52306</t>
  </si>
  <si>
    <t>P52594-2</t>
  </si>
  <si>
    <t>P52597</t>
  </si>
  <si>
    <t>P52630-4</t>
  </si>
  <si>
    <t>P52732</t>
  </si>
  <si>
    <t>P52735-3</t>
  </si>
  <si>
    <t>P52758</t>
  </si>
  <si>
    <t>P52788</t>
  </si>
  <si>
    <t>P52790</t>
  </si>
  <si>
    <t>P52815</t>
  </si>
  <si>
    <t>P52888</t>
  </si>
  <si>
    <t>P52907</t>
  </si>
  <si>
    <t>P52943</t>
  </si>
  <si>
    <t>P53004</t>
  </si>
  <si>
    <t>P53367</t>
  </si>
  <si>
    <t>P53370</t>
  </si>
  <si>
    <t>P53384-2</t>
  </si>
  <si>
    <t>P53396</t>
  </si>
  <si>
    <t>P53597</t>
  </si>
  <si>
    <t>P53602</t>
  </si>
  <si>
    <t>P53609</t>
  </si>
  <si>
    <t>P53611</t>
  </si>
  <si>
    <t>P53618</t>
  </si>
  <si>
    <t>P53621</t>
  </si>
  <si>
    <t>P53634</t>
  </si>
  <si>
    <t>P53675-2</t>
  </si>
  <si>
    <t>P53680</t>
  </si>
  <si>
    <t>P53990-2</t>
  </si>
  <si>
    <t>P53999</t>
  </si>
  <si>
    <t>P54098</t>
  </si>
  <si>
    <t>P54136</t>
  </si>
  <si>
    <t>P54577</t>
  </si>
  <si>
    <t>P54578-2</t>
  </si>
  <si>
    <t>P54619-2</t>
  </si>
  <si>
    <t>P54727</t>
  </si>
  <si>
    <t>P54802</t>
  </si>
  <si>
    <t>P54819-5</t>
  </si>
  <si>
    <t>P54840</t>
  </si>
  <si>
    <t>P54868</t>
  </si>
  <si>
    <t>P54886-2</t>
  </si>
  <si>
    <t>P54920</t>
  </si>
  <si>
    <t>P55008</t>
  </si>
  <si>
    <t>P55010</t>
  </si>
  <si>
    <t>P55036</t>
  </si>
  <si>
    <t>P55039</t>
  </si>
  <si>
    <t>P55060-3</t>
  </si>
  <si>
    <t>P55072</t>
  </si>
  <si>
    <t>P55081</t>
  </si>
  <si>
    <t>P55145</t>
  </si>
  <si>
    <t>P55157</t>
  </si>
  <si>
    <t>P55196</t>
  </si>
  <si>
    <t>P55210</t>
  </si>
  <si>
    <t>P55212</t>
  </si>
  <si>
    <t>P55263</t>
  </si>
  <si>
    <t>P55265-5</t>
  </si>
  <si>
    <t>P55268</t>
  </si>
  <si>
    <t>P55735</t>
  </si>
  <si>
    <t>P55769</t>
  </si>
  <si>
    <t>P55795</t>
  </si>
  <si>
    <t>P55854</t>
  </si>
  <si>
    <t>P55884</t>
  </si>
  <si>
    <t>P56181-2</t>
  </si>
  <si>
    <t>P56181</t>
  </si>
  <si>
    <t>P56192</t>
  </si>
  <si>
    <t>P56211-2</t>
  </si>
  <si>
    <t>P56277</t>
  </si>
  <si>
    <t>P56470</t>
  </si>
  <si>
    <t>P56537</t>
  </si>
  <si>
    <t>P57105</t>
  </si>
  <si>
    <t>P57740</t>
  </si>
  <si>
    <t>P57764</t>
  </si>
  <si>
    <t>P57772</t>
  </si>
  <si>
    <t>P58546</t>
  </si>
  <si>
    <t>P59666</t>
  </si>
  <si>
    <t>P59998</t>
  </si>
  <si>
    <t>P60174-1</t>
  </si>
  <si>
    <t>P60228</t>
  </si>
  <si>
    <t>P60468</t>
  </si>
  <si>
    <t>P60510</t>
  </si>
  <si>
    <t>P60842</t>
  </si>
  <si>
    <t>P60866</t>
  </si>
  <si>
    <t>P60891</t>
  </si>
  <si>
    <t>P60900</t>
  </si>
  <si>
    <t>P60953</t>
  </si>
  <si>
    <t>P60981</t>
  </si>
  <si>
    <t>P60983</t>
  </si>
  <si>
    <t>P61006</t>
  </si>
  <si>
    <t>P61011-2</t>
  </si>
  <si>
    <t>P61019</t>
  </si>
  <si>
    <t>P61020</t>
  </si>
  <si>
    <t>P61077</t>
  </si>
  <si>
    <t>P61081</t>
  </si>
  <si>
    <t>P61086</t>
  </si>
  <si>
    <t>P61088</t>
  </si>
  <si>
    <t>P61106</t>
  </si>
  <si>
    <t>P61158</t>
  </si>
  <si>
    <t>P61160</t>
  </si>
  <si>
    <t>P61163</t>
  </si>
  <si>
    <t>P61201</t>
  </si>
  <si>
    <t>P61221</t>
  </si>
  <si>
    <t>P61224-3</t>
  </si>
  <si>
    <t>P61247</t>
  </si>
  <si>
    <t>P61289</t>
  </si>
  <si>
    <t>P61326</t>
  </si>
  <si>
    <t>P61353</t>
  </si>
  <si>
    <t>P61457</t>
  </si>
  <si>
    <t>P61586</t>
  </si>
  <si>
    <t>P61604</t>
  </si>
  <si>
    <t>P61758</t>
  </si>
  <si>
    <t>P61923</t>
  </si>
  <si>
    <t>P61956-2</t>
  </si>
  <si>
    <t>P61962</t>
  </si>
  <si>
    <t>P61966</t>
  </si>
  <si>
    <t>P61970</t>
  </si>
  <si>
    <t>P61978-3</t>
  </si>
  <si>
    <t>P61981</t>
  </si>
  <si>
    <t>P62070</t>
  </si>
  <si>
    <t>P62072</t>
  </si>
  <si>
    <t>P62136</t>
  </si>
  <si>
    <t>P62140</t>
  </si>
  <si>
    <t>P62158</t>
  </si>
  <si>
    <t>P62191</t>
  </si>
  <si>
    <t>P62195-2</t>
  </si>
  <si>
    <t>P62241</t>
  </si>
  <si>
    <t>P62258</t>
  </si>
  <si>
    <t>P62263</t>
  </si>
  <si>
    <t>P62269</t>
  </si>
  <si>
    <t>P62277</t>
  </si>
  <si>
    <t>P62280</t>
  </si>
  <si>
    <t>P62304</t>
  </si>
  <si>
    <t>P62310</t>
  </si>
  <si>
    <t>P62312</t>
  </si>
  <si>
    <t>P62316</t>
  </si>
  <si>
    <t>P62328</t>
  </si>
  <si>
    <t>P62330</t>
  </si>
  <si>
    <t>P62333</t>
  </si>
  <si>
    <t>P62633-2</t>
  </si>
  <si>
    <t>P62701</t>
  </si>
  <si>
    <t>P62714</t>
  </si>
  <si>
    <t>P62750</t>
  </si>
  <si>
    <t>P62753</t>
  </si>
  <si>
    <t>P62760</t>
  </si>
  <si>
    <t>P62805</t>
  </si>
  <si>
    <t>P62820</t>
  </si>
  <si>
    <t>P62826</t>
  </si>
  <si>
    <t>P62837</t>
  </si>
  <si>
    <t>P62851</t>
  </si>
  <si>
    <t>P62854</t>
  </si>
  <si>
    <t>P62857</t>
  </si>
  <si>
    <t>P62877</t>
  </si>
  <si>
    <t>P62906</t>
  </si>
  <si>
    <t>P62942</t>
  </si>
  <si>
    <t>P62993</t>
  </si>
  <si>
    <t>P62995-3</t>
  </si>
  <si>
    <t>P63000</t>
  </si>
  <si>
    <t>P63010</t>
  </si>
  <si>
    <t>P63096</t>
  </si>
  <si>
    <t>P63104</t>
  </si>
  <si>
    <t>P63151</t>
  </si>
  <si>
    <t>P63244</t>
  </si>
  <si>
    <t>P63261</t>
  </si>
  <si>
    <t>P63302</t>
  </si>
  <si>
    <t>P63313</t>
  </si>
  <si>
    <t>P67775</t>
  </si>
  <si>
    <t>P67809</t>
  </si>
  <si>
    <t>P67870</t>
  </si>
  <si>
    <t>P67936</t>
  </si>
  <si>
    <t>P68036</t>
  </si>
  <si>
    <t>P68133</t>
  </si>
  <si>
    <t>P68363</t>
  </si>
  <si>
    <t>P68371</t>
  </si>
  <si>
    <t>P68402</t>
  </si>
  <si>
    <t>P78314</t>
  </si>
  <si>
    <t>P78318</t>
  </si>
  <si>
    <t>P78329</t>
  </si>
  <si>
    <t>P78347-2</t>
  </si>
  <si>
    <t>P78371</t>
  </si>
  <si>
    <t>P78417</t>
  </si>
  <si>
    <t>P78524</t>
  </si>
  <si>
    <t>P78527</t>
  </si>
  <si>
    <t>P78560</t>
  </si>
  <si>
    <t>P80217</t>
  </si>
  <si>
    <t>P80294</t>
  </si>
  <si>
    <t>P80297</t>
  </si>
  <si>
    <t>P80303-2</t>
  </si>
  <si>
    <t>P80404</t>
  </si>
  <si>
    <t>P80723</t>
  </si>
  <si>
    <t>P82094</t>
  </si>
  <si>
    <t>P82673-2</t>
  </si>
  <si>
    <t>P82675</t>
  </si>
  <si>
    <t>P82909</t>
  </si>
  <si>
    <t>P82914</t>
  </si>
  <si>
    <t>P82930</t>
  </si>
  <si>
    <t>P82979</t>
  </si>
  <si>
    <t>P82980</t>
  </si>
  <si>
    <t>P83111</t>
  </si>
  <si>
    <t>P84077</t>
  </si>
  <si>
    <t>P84090</t>
  </si>
  <si>
    <t>P84101-4</t>
  </si>
  <si>
    <t>P85037</t>
  </si>
  <si>
    <t>P98160</t>
  </si>
  <si>
    <t>P98170</t>
  </si>
  <si>
    <t>P98179</t>
  </si>
  <si>
    <t>Q00059</t>
  </si>
  <si>
    <t>Q00169</t>
  </si>
  <si>
    <t>Q00266</t>
  </si>
  <si>
    <t>Q00341</t>
  </si>
  <si>
    <t>Q00403</t>
  </si>
  <si>
    <t>Q00534</t>
  </si>
  <si>
    <t>Q00577</t>
  </si>
  <si>
    <t>Q00610-2</t>
  </si>
  <si>
    <t>Q00653</t>
  </si>
  <si>
    <t>Q00688</t>
  </si>
  <si>
    <t>Q00765</t>
  </si>
  <si>
    <t>Q00796</t>
  </si>
  <si>
    <t>Q00839</t>
  </si>
  <si>
    <t>Q01081</t>
  </si>
  <si>
    <t>Q01082-3</t>
  </si>
  <si>
    <t>Q01082</t>
  </si>
  <si>
    <t>Q01085-2</t>
  </si>
  <si>
    <t>Q01105</t>
  </si>
  <si>
    <t>Q01415</t>
  </si>
  <si>
    <t>Q01433-2</t>
  </si>
  <si>
    <t>Q01459</t>
  </si>
  <si>
    <t>Q01469</t>
  </si>
  <si>
    <t>Q01518-2</t>
  </si>
  <si>
    <t>Q01581</t>
  </si>
  <si>
    <t>Q01658</t>
  </si>
  <si>
    <t>Q01804</t>
  </si>
  <si>
    <t>Q01844-6</t>
  </si>
  <si>
    <t>Q01995</t>
  </si>
  <si>
    <t>Q02083-2</t>
  </si>
  <si>
    <t>Q02224-3</t>
  </si>
  <si>
    <t>Q02252</t>
  </si>
  <si>
    <t>Q02318</t>
  </si>
  <si>
    <t>Q02325</t>
  </si>
  <si>
    <t>Q02410</t>
  </si>
  <si>
    <t>Q02413</t>
  </si>
  <si>
    <t>Q02750</t>
  </si>
  <si>
    <t>Q02790</t>
  </si>
  <si>
    <t>Q02818</t>
  </si>
  <si>
    <t>Q02928</t>
  </si>
  <si>
    <t>Q03001-8</t>
  </si>
  <si>
    <t>Q03013-2</t>
  </si>
  <si>
    <t>Q03154</t>
  </si>
  <si>
    <t>Q03252</t>
  </si>
  <si>
    <t>Q03393</t>
  </si>
  <si>
    <t>Q04446</t>
  </si>
  <si>
    <t>Q04637-5</t>
  </si>
  <si>
    <t>Q04695</t>
  </si>
  <si>
    <t>Q04760</t>
  </si>
  <si>
    <t>Q04828</t>
  </si>
  <si>
    <t>Q04837</t>
  </si>
  <si>
    <t>Q04917</t>
  </si>
  <si>
    <t>Q05048</t>
  </si>
  <si>
    <t>Q05086-2</t>
  </si>
  <si>
    <t>Q05682-5</t>
  </si>
  <si>
    <t>Q06033-2</t>
  </si>
  <si>
    <t>Q06124-2</t>
  </si>
  <si>
    <t>Q06203</t>
  </si>
  <si>
    <t>Q06210-2</t>
  </si>
  <si>
    <t>Q06278</t>
  </si>
  <si>
    <t>Q06323</t>
  </si>
  <si>
    <t>Q06520</t>
  </si>
  <si>
    <t>Q06787-8</t>
  </si>
  <si>
    <t>Q07021</t>
  </si>
  <si>
    <t>Q07065</t>
  </si>
  <si>
    <t>Q07075</t>
  </si>
  <si>
    <t>Q07157</t>
  </si>
  <si>
    <t>Q07283</t>
  </si>
  <si>
    <t>Q07666</t>
  </si>
  <si>
    <t>Q07812-5</t>
  </si>
  <si>
    <t>Q07820-2</t>
  </si>
  <si>
    <t>Q07954</t>
  </si>
  <si>
    <t>Q07955</t>
  </si>
  <si>
    <t>Q07960</t>
  </si>
  <si>
    <t>Q08170</t>
  </si>
  <si>
    <t>Q08209-2</t>
  </si>
  <si>
    <t>Q08211</t>
  </si>
  <si>
    <t>Q08257</t>
  </si>
  <si>
    <t>Q08378</t>
  </si>
  <si>
    <t>Q08379</t>
  </si>
  <si>
    <t>Q08380</t>
  </si>
  <si>
    <t>Q08426-2</t>
  </si>
  <si>
    <t>Q08426</t>
  </si>
  <si>
    <t>Q08554-2</t>
  </si>
  <si>
    <t>Q08752</t>
  </si>
  <si>
    <t>Q08830</t>
  </si>
  <si>
    <t>Q08AG7</t>
  </si>
  <si>
    <t>Q08AH3</t>
  </si>
  <si>
    <t>Q08AM6</t>
  </si>
  <si>
    <t>Q08J23-2</t>
  </si>
  <si>
    <t>Q09028-3</t>
  </si>
  <si>
    <t>Q09161</t>
  </si>
  <si>
    <t>Q09472</t>
  </si>
  <si>
    <t>Q09666</t>
  </si>
  <si>
    <t>Q0JRZ9</t>
  </si>
  <si>
    <t>Q0PNE2</t>
  </si>
  <si>
    <t>Q0VDG4-2</t>
  </si>
  <si>
    <t>Q0VF96</t>
  </si>
  <si>
    <t>Q10567-2</t>
  </si>
  <si>
    <t>Q10567-3</t>
  </si>
  <si>
    <t>Q10713</t>
  </si>
  <si>
    <t>Q12774</t>
  </si>
  <si>
    <t>Q12792</t>
  </si>
  <si>
    <t>Q12802-4</t>
  </si>
  <si>
    <t>Q12849-5</t>
  </si>
  <si>
    <t>Q12874</t>
  </si>
  <si>
    <t>Q12882</t>
  </si>
  <si>
    <t>Q12899</t>
  </si>
  <si>
    <t>Q12904</t>
  </si>
  <si>
    <t>Q12905</t>
  </si>
  <si>
    <t>Q12906-4</t>
  </si>
  <si>
    <t>Q12929</t>
  </si>
  <si>
    <t>Q12959-5</t>
  </si>
  <si>
    <t>Q12965</t>
  </si>
  <si>
    <t>Q12972</t>
  </si>
  <si>
    <t>Q12986-2</t>
  </si>
  <si>
    <t>Q12996</t>
  </si>
  <si>
    <t>Q13011</t>
  </si>
  <si>
    <t>Q13017-2</t>
  </si>
  <si>
    <t>Q13033-2</t>
  </si>
  <si>
    <t>Q13042-3</t>
  </si>
  <si>
    <t>Q13045-2</t>
  </si>
  <si>
    <t>Q13045</t>
  </si>
  <si>
    <t>Q13057</t>
  </si>
  <si>
    <t>Q13085-3</t>
  </si>
  <si>
    <t>Q13123</t>
  </si>
  <si>
    <t>Q13126</t>
  </si>
  <si>
    <t>Q13131-2</t>
  </si>
  <si>
    <t>Q13136-2</t>
  </si>
  <si>
    <t>Q13148</t>
  </si>
  <si>
    <t>Q13151</t>
  </si>
  <si>
    <t>Q13153</t>
  </si>
  <si>
    <t>Q13155</t>
  </si>
  <si>
    <t>Q13162</t>
  </si>
  <si>
    <t>Q13177</t>
  </si>
  <si>
    <t>Q13185</t>
  </si>
  <si>
    <t>Q13188</t>
  </si>
  <si>
    <t>Q13200</t>
  </si>
  <si>
    <t>Q13217</t>
  </si>
  <si>
    <t>Q13228</t>
  </si>
  <si>
    <t>Q13232</t>
  </si>
  <si>
    <t>Q13243-3</t>
  </si>
  <si>
    <t>Q13247-3</t>
  </si>
  <si>
    <t>Q13257</t>
  </si>
  <si>
    <t>Q13263</t>
  </si>
  <si>
    <t>Q13283</t>
  </si>
  <si>
    <t>Q13287</t>
  </si>
  <si>
    <t>Q13310-3</t>
  </si>
  <si>
    <t>Q13310</t>
  </si>
  <si>
    <t>Q13315</t>
  </si>
  <si>
    <t>Q13325</t>
  </si>
  <si>
    <t>Q13330-3</t>
  </si>
  <si>
    <t>Q13347</t>
  </si>
  <si>
    <t>Q13362-2</t>
  </si>
  <si>
    <t>Q13363-2</t>
  </si>
  <si>
    <t>Q13395</t>
  </si>
  <si>
    <t>Q13404</t>
  </si>
  <si>
    <t>Q13409-6</t>
  </si>
  <si>
    <t>Q13418</t>
  </si>
  <si>
    <t>Q13423</t>
  </si>
  <si>
    <t>Q13426-2</t>
  </si>
  <si>
    <t>Q13428</t>
  </si>
  <si>
    <t>Q13435</t>
  </si>
  <si>
    <t>Q13442</t>
  </si>
  <si>
    <t>Q13451</t>
  </si>
  <si>
    <t>Q13464</t>
  </si>
  <si>
    <t>Q13492-3</t>
  </si>
  <si>
    <t>Q13496</t>
  </si>
  <si>
    <t>Q13501-2</t>
  </si>
  <si>
    <t>Q13522</t>
  </si>
  <si>
    <t>Q13526</t>
  </si>
  <si>
    <t>Q13541</t>
  </si>
  <si>
    <t>Q13546</t>
  </si>
  <si>
    <t>Q13547</t>
  </si>
  <si>
    <t>Q13557-8</t>
  </si>
  <si>
    <t>Q13561</t>
  </si>
  <si>
    <t>Q13573</t>
  </si>
  <si>
    <t>Q13576</t>
  </si>
  <si>
    <t>Q13596</t>
  </si>
  <si>
    <t>Q13608</t>
  </si>
  <si>
    <t>Q13610</t>
  </si>
  <si>
    <t>Q13616</t>
  </si>
  <si>
    <t>Q13617</t>
  </si>
  <si>
    <t>Q13618-2</t>
  </si>
  <si>
    <t>Q13619</t>
  </si>
  <si>
    <t>Q13620-1</t>
  </si>
  <si>
    <t>Q13630</t>
  </si>
  <si>
    <t>Q13642-1</t>
  </si>
  <si>
    <t>Q13796</t>
  </si>
  <si>
    <t>Q13813-2</t>
  </si>
  <si>
    <t>Q13813</t>
  </si>
  <si>
    <t>Q13825</t>
  </si>
  <si>
    <t>Q13835-2</t>
  </si>
  <si>
    <t>Q13838</t>
  </si>
  <si>
    <t>Q13867</t>
  </si>
  <si>
    <t>Q13884</t>
  </si>
  <si>
    <t>Q13885</t>
  </si>
  <si>
    <t>Q13907</t>
  </si>
  <si>
    <t>Q13951-2</t>
  </si>
  <si>
    <t>Q14008-2</t>
  </si>
  <si>
    <t>Q14012</t>
  </si>
  <si>
    <t>Q14019</t>
  </si>
  <si>
    <t>Q14032</t>
  </si>
  <si>
    <t>Q14061</t>
  </si>
  <si>
    <t>Q14103-3</t>
  </si>
  <si>
    <t>Q14116-2</t>
  </si>
  <si>
    <t>Q14117</t>
  </si>
  <si>
    <t>Q14118</t>
  </si>
  <si>
    <t>Q14126</t>
  </si>
  <si>
    <t>Q14139</t>
  </si>
  <si>
    <t>Q14141-2</t>
  </si>
  <si>
    <t>Q14151</t>
  </si>
  <si>
    <t>Q14152</t>
  </si>
  <si>
    <t>Q14157</t>
  </si>
  <si>
    <t>Q14160-2</t>
  </si>
  <si>
    <t>Q14161-3</t>
  </si>
  <si>
    <t>Q14166</t>
  </si>
  <si>
    <t>Q14192</t>
  </si>
  <si>
    <t>Q14203-3</t>
  </si>
  <si>
    <t>Q14204</t>
  </si>
  <si>
    <t>Q14232</t>
  </si>
  <si>
    <t>Q14240</t>
  </si>
  <si>
    <t>Q14241</t>
  </si>
  <si>
    <t>Q14244-3</t>
  </si>
  <si>
    <t>Q14247-3</t>
  </si>
  <si>
    <t>Q14247</t>
  </si>
  <si>
    <t>Q14258</t>
  </si>
  <si>
    <t>Q14318-2</t>
  </si>
  <si>
    <t>Q14320</t>
  </si>
  <si>
    <t>Q14353</t>
  </si>
  <si>
    <t>Q14376</t>
  </si>
  <si>
    <t>Q14397</t>
  </si>
  <si>
    <t>Q14410</t>
  </si>
  <si>
    <t>Q14444-2</t>
  </si>
  <si>
    <t>Q14498-2</t>
  </si>
  <si>
    <t>Q14520-2</t>
  </si>
  <si>
    <t>Q14554</t>
  </si>
  <si>
    <t>Q14558</t>
  </si>
  <si>
    <t>Q14566</t>
  </si>
  <si>
    <t>Q14624</t>
  </si>
  <si>
    <t>Q14651</t>
  </si>
  <si>
    <t>Q14653</t>
  </si>
  <si>
    <t>Q14657</t>
  </si>
  <si>
    <t>Q14669</t>
  </si>
  <si>
    <t>Q14676-4</t>
  </si>
  <si>
    <t>Q14677</t>
  </si>
  <si>
    <t>Q14678-2</t>
  </si>
  <si>
    <t>Q14683</t>
  </si>
  <si>
    <t>Q14694</t>
  </si>
  <si>
    <t>Q14696</t>
  </si>
  <si>
    <t>Q14697</t>
  </si>
  <si>
    <t>Q14749</t>
  </si>
  <si>
    <t>Q14789</t>
  </si>
  <si>
    <t>Q14790-8</t>
  </si>
  <si>
    <t>Q14847</t>
  </si>
  <si>
    <t>Q14894</t>
  </si>
  <si>
    <t>Q14914-2</t>
  </si>
  <si>
    <t>Q14966</t>
  </si>
  <si>
    <t>Q14974</t>
  </si>
  <si>
    <t>Q14978</t>
  </si>
  <si>
    <t>Q14980-2</t>
  </si>
  <si>
    <t>Q14997</t>
  </si>
  <si>
    <t>Q15008</t>
  </si>
  <si>
    <t>Q15018</t>
  </si>
  <si>
    <t>Q15020</t>
  </si>
  <si>
    <t>Q15024</t>
  </si>
  <si>
    <t>Q15029-2</t>
  </si>
  <si>
    <t>Q15036-2</t>
  </si>
  <si>
    <t>Q15046</t>
  </si>
  <si>
    <t>Q15056-2</t>
  </si>
  <si>
    <t>Q15057</t>
  </si>
  <si>
    <t>Q15067-2</t>
  </si>
  <si>
    <t>Q15075</t>
  </si>
  <si>
    <t>Q15102</t>
  </si>
  <si>
    <t>Q15119</t>
  </si>
  <si>
    <t>Q15120</t>
  </si>
  <si>
    <t>Q15126</t>
  </si>
  <si>
    <t>Q15149-8</t>
  </si>
  <si>
    <t>Q15172</t>
  </si>
  <si>
    <t>Q15181</t>
  </si>
  <si>
    <t>Q15233-2</t>
  </si>
  <si>
    <t>Q15257-2</t>
  </si>
  <si>
    <t>Q15274</t>
  </si>
  <si>
    <t>Q15276</t>
  </si>
  <si>
    <t>Q15291</t>
  </si>
  <si>
    <t>Q15293</t>
  </si>
  <si>
    <t>Q15311</t>
  </si>
  <si>
    <t>Q15345</t>
  </si>
  <si>
    <t>Q15365</t>
  </si>
  <si>
    <t>Q15382</t>
  </si>
  <si>
    <t>Q15393</t>
  </si>
  <si>
    <t>Q15404</t>
  </si>
  <si>
    <t>Q15417</t>
  </si>
  <si>
    <t>Q15424</t>
  </si>
  <si>
    <t>Q15427</t>
  </si>
  <si>
    <t>Q15428</t>
  </si>
  <si>
    <t>Q15435</t>
  </si>
  <si>
    <t>Q15437</t>
  </si>
  <si>
    <t>Q15459</t>
  </si>
  <si>
    <t>Q15477</t>
  </si>
  <si>
    <t>Q15493</t>
  </si>
  <si>
    <t>Q15526-2</t>
  </si>
  <si>
    <t>Q15555-4</t>
  </si>
  <si>
    <t>Q15596</t>
  </si>
  <si>
    <t>Q15599</t>
  </si>
  <si>
    <t>Q15637-5</t>
  </si>
  <si>
    <t>Q15642</t>
  </si>
  <si>
    <t>Q15643</t>
  </si>
  <si>
    <t>Q15654</t>
  </si>
  <si>
    <t>Q15691</t>
  </si>
  <si>
    <t>Q15714-2</t>
  </si>
  <si>
    <t>Q15717</t>
  </si>
  <si>
    <t>Q15746-6</t>
  </si>
  <si>
    <t>Q15750-2</t>
  </si>
  <si>
    <t>Q15785</t>
  </si>
  <si>
    <t>Q15796-2</t>
  </si>
  <si>
    <t>Q15813</t>
  </si>
  <si>
    <t>Q15814</t>
  </si>
  <si>
    <t>Q15819</t>
  </si>
  <si>
    <t>Q15833</t>
  </si>
  <si>
    <t>Q15847</t>
  </si>
  <si>
    <t>Q15907</t>
  </si>
  <si>
    <t>Q15942</t>
  </si>
  <si>
    <t>Q16181</t>
  </si>
  <si>
    <t>Q16186</t>
  </si>
  <si>
    <t>Q16204</t>
  </si>
  <si>
    <t>Q16222-3</t>
  </si>
  <si>
    <t>Q16401-2</t>
  </si>
  <si>
    <t>Q16531</t>
  </si>
  <si>
    <t>Q16539</t>
  </si>
  <si>
    <t>Q16543</t>
  </si>
  <si>
    <t>Q16555-2</t>
  </si>
  <si>
    <t>Q16576</t>
  </si>
  <si>
    <t>Q16625-5</t>
  </si>
  <si>
    <t>Q16626</t>
  </si>
  <si>
    <t>Q16629-3</t>
  </si>
  <si>
    <t>Q16637-4</t>
  </si>
  <si>
    <t>Q16658</t>
  </si>
  <si>
    <t>Q16719</t>
  </si>
  <si>
    <t>Q16740</t>
  </si>
  <si>
    <t>Q16762</t>
  </si>
  <si>
    <t>Q16773</t>
  </si>
  <si>
    <t>Q16775</t>
  </si>
  <si>
    <t>Q16787-4</t>
  </si>
  <si>
    <t>Q16822</t>
  </si>
  <si>
    <t>Q16831</t>
  </si>
  <si>
    <t>Q16836</t>
  </si>
  <si>
    <t>Q16851-2</t>
  </si>
  <si>
    <t>Q16851</t>
  </si>
  <si>
    <t>Q16854</t>
  </si>
  <si>
    <t>Q17R31-5</t>
  </si>
  <si>
    <t>Q17RC7</t>
  </si>
  <si>
    <t>Q1W6H9</t>
  </si>
  <si>
    <t>Q27J81</t>
  </si>
  <si>
    <t>Q29RF7</t>
  </si>
  <si>
    <t>Q2KHT3</t>
  </si>
  <si>
    <t>Q2M389</t>
  </si>
  <si>
    <t>Q2PPJ7-3</t>
  </si>
  <si>
    <t>Q2T9J0</t>
  </si>
  <si>
    <t>Q2TAZ0</t>
  </si>
  <si>
    <t>Q32M88</t>
  </si>
  <si>
    <t>Q32MZ4-2</t>
  </si>
  <si>
    <t>Q32MZ4-4</t>
  </si>
  <si>
    <t>Q32P44</t>
  </si>
  <si>
    <t>Q3LXA3</t>
  </si>
  <si>
    <t>Q3MHD2</t>
  </si>
  <si>
    <t>Q3MIT2</t>
  </si>
  <si>
    <t>Q3V6T2-5</t>
  </si>
  <si>
    <t>Q49A26-5</t>
  </si>
  <si>
    <t>Q49AH0</t>
  </si>
  <si>
    <t>Q4G0F5</t>
  </si>
  <si>
    <t>Q4G0J3</t>
  </si>
  <si>
    <t>Q4G0N4</t>
  </si>
  <si>
    <t>Q4G176</t>
  </si>
  <si>
    <t>Q4KMP7</t>
  </si>
  <si>
    <t>Q4KWH8-3</t>
  </si>
  <si>
    <t>Q4V328</t>
  </si>
  <si>
    <t>Q504Q3-2</t>
  </si>
  <si>
    <t>Q52LJ0-2</t>
  </si>
  <si>
    <t>Q52LW3</t>
  </si>
  <si>
    <t>Q53FA7</t>
  </si>
  <si>
    <t>Q53FZ2</t>
  </si>
  <si>
    <t>Q53H82</t>
  </si>
  <si>
    <t>Q53HC9</t>
  </si>
  <si>
    <t>Q53LP3</t>
  </si>
  <si>
    <t>Q53S33</t>
  </si>
  <si>
    <t>Q562E7-4</t>
  </si>
  <si>
    <t>Q58FF8</t>
  </si>
  <si>
    <t>Q58FG1</t>
  </si>
  <si>
    <t>Q5BKU9</t>
  </si>
  <si>
    <t>Q5D862</t>
  </si>
  <si>
    <t>Q5EBM0</t>
  </si>
  <si>
    <t>Q5GLZ8-6</t>
  </si>
  <si>
    <t>Q5HYK7-3</t>
  </si>
  <si>
    <t>Q5JRX3</t>
  </si>
  <si>
    <t>Q5JS37</t>
  </si>
  <si>
    <t>Q5JSH3-2</t>
  </si>
  <si>
    <t>Q5JSZ5-5</t>
  </si>
  <si>
    <t>Q5JTJ3-3</t>
  </si>
  <si>
    <t>Q5JTV8-2</t>
  </si>
  <si>
    <t>Q5JTZ9</t>
  </si>
  <si>
    <t>Q5MNZ6</t>
  </si>
  <si>
    <t>Q5QJ74</t>
  </si>
  <si>
    <t>Q5R3I4</t>
  </si>
  <si>
    <t>Q5RHP9</t>
  </si>
  <si>
    <t>Q5RKV6</t>
  </si>
  <si>
    <t>Q5SRE5-2</t>
  </si>
  <si>
    <t>Q5SRE7-2</t>
  </si>
  <si>
    <t>Q5SSJ5</t>
  </si>
  <si>
    <t>Q5ST30</t>
  </si>
  <si>
    <t>Q5SW79-2</t>
  </si>
  <si>
    <t>Q5SXM8</t>
  </si>
  <si>
    <t>Q5SYE7-2</t>
  </si>
  <si>
    <t>Q5T0N5-3</t>
  </si>
  <si>
    <t>Q5T160</t>
  </si>
  <si>
    <t>Q5T1M5</t>
  </si>
  <si>
    <t>Q5T2E6</t>
  </si>
  <si>
    <t>Q5T2W1</t>
  </si>
  <si>
    <t>Q5T440</t>
  </si>
  <si>
    <t>Q5T447</t>
  </si>
  <si>
    <t>Q5T4F4-6</t>
  </si>
  <si>
    <t>Q5T4S7-3</t>
  </si>
  <si>
    <t>Q5T5P2</t>
  </si>
  <si>
    <t>Q5T6F2</t>
  </si>
  <si>
    <t>Q5T6J7</t>
  </si>
  <si>
    <t>Q5T6V5</t>
  </si>
  <si>
    <t>Q5T749</t>
  </si>
  <si>
    <t>Q5T8D3-2</t>
  </si>
  <si>
    <t>Q5T8D3</t>
  </si>
  <si>
    <t>Q5T8P6-2</t>
  </si>
  <si>
    <t>Q5TA50</t>
  </si>
  <si>
    <t>Q5TC12</t>
  </si>
  <si>
    <t>Q5TCQ9-4</t>
  </si>
  <si>
    <t>Q5TDH0</t>
  </si>
  <si>
    <t>Q5TEU4</t>
  </si>
  <si>
    <t>Q5TFE4</t>
  </si>
  <si>
    <t>Q5U5X0</t>
  </si>
  <si>
    <t>Q5UIP0-2</t>
  </si>
  <si>
    <t>Q5VIR6-4</t>
  </si>
  <si>
    <t>Q5VSL9</t>
  </si>
  <si>
    <t>Q5VTB9</t>
  </si>
  <si>
    <t>Q5VTE0</t>
  </si>
  <si>
    <t>Q5VTR2</t>
  </si>
  <si>
    <t>Q5VUE5</t>
  </si>
  <si>
    <t>Q5VW32</t>
  </si>
  <si>
    <t>Q5VWP3</t>
  </si>
  <si>
    <t>Q5VWZ2</t>
  </si>
  <si>
    <t>Q5VYK3</t>
  </si>
  <si>
    <t>Q5VYS8-6</t>
  </si>
  <si>
    <t>Q5VYX0-2</t>
  </si>
  <si>
    <t>Q5VZL5-4</t>
  </si>
  <si>
    <t>Q5W0V3</t>
  </si>
  <si>
    <t>Q63HM1</t>
  </si>
  <si>
    <t>Q63HN8</t>
  </si>
  <si>
    <t>Q63HR2-2</t>
  </si>
  <si>
    <t>Q63ZY3-3</t>
  </si>
  <si>
    <t>Q66K14-2</t>
  </si>
  <si>
    <t>Q66PJ3</t>
  </si>
  <si>
    <t>Q676U5-2</t>
  </si>
  <si>
    <t>Q68CK6</t>
  </si>
  <si>
    <t>Q68CZ2</t>
  </si>
  <si>
    <t>Q69YN2</t>
  </si>
  <si>
    <t>Q69YN4-4</t>
  </si>
  <si>
    <t>Q69YQ0-2</t>
  </si>
  <si>
    <t>Q6A1A2</t>
  </si>
  <si>
    <t>Q6DD88</t>
  </si>
  <si>
    <t>Q6DN90-2</t>
  </si>
  <si>
    <t>Q6EMK4</t>
  </si>
  <si>
    <t>Q6FI81-3</t>
  </si>
  <si>
    <t>Q6FIF0-2</t>
  </si>
  <si>
    <t>Q6GMV2</t>
  </si>
  <si>
    <t>Q6GMV3</t>
  </si>
  <si>
    <t>Q6GQQ9-2</t>
  </si>
  <si>
    <t>Q6IA69</t>
  </si>
  <si>
    <t>Q6IA86-4</t>
  </si>
  <si>
    <t>Q6IB77</t>
  </si>
  <si>
    <t>Q6IBS0</t>
  </si>
  <si>
    <t>Q6IC98</t>
  </si>
  <si>
    <t>Q6IN85-2</t>
  </si>
  <si>
    <t>Q6IPR1</t>
  </si>
  <si>
    <t>Q6IQ22</t>
  </si>
  <si>
    <t>Q6IQ23</t>
  </si>
  <si>
    <t>Q6JQN1</t>
  </si>
  <si>
    <t>Q6K0P9-4</t>
  </si>
  <si>
    <t>Q6N043-2</t>
  </si>
  <si>
    <t>Q6N063</t>
  </si>
  <si>
    <t>Q6NUN0</t>
  </si>
  <si>
    <t>Q6NUQ4-2</t>
  </si>
  <si>
    <t>Q6NVY1</t>
  </si>
  <si>
    <t>Q6NYC8</t>
  </si>
  <si>
    <t>Q6NZY4</t>
  </si>
  <si>
    <t>Q6P1N0-2</t>
  </si>
  <si>
    <t>Q6P1N9</t>
  </si>
  <si>
    <t>Q6P1X6</t>
  </si>
  <si>
    <t>Q6P2E9</t>
  </si>
  <si>
    <t>Q6P2P2</t>
  </si>
  <si>
    <t>Q6P2Q9</t>
  </si>
  <si>
    <t>Q6P4A8</t>
  </si>
  <si>
    <t>Q6P4F2</t>
  </si>
  <si>
    <t>Q6P4R8-3</t>
  </si>
  <si>
    <t>Q6P587</t>
  </si>
  <si>
    <t>Q6P6B1</t>
  </si>
  <si>
    <t>Q6PGP7</t>
  </si>
  <si>
    <t>Q6PI48</t>
  </si>
  <si>
    <t>Q6PJT7-5</t>
  </si>
  <si>
    <t>Q6PKG0</t>
  </si>
  <si>
    <t>Q6QHF9-4</t>
  </si>
  <si>
    <t>Q6UB28</t>
  </si>
  <si>
    <t>Q6UN15-4</t>
  </si>
  <si>
    <t>Q6UUV9-3</t>
  </si>
  <si>
    <t>Q6UWP2</t>
  </si>
  <si>
    <t>Q6UWP8</t>
  </si>
  <si>
    <t>Q6UX53</t>
  </si>
  <si>
    <t>Q6UXH1-4</t>
  </si>
  <si>
    <t>Q6UXN9</t>
  </si>
  <si>
    <t>Q6UXV4</t>
  </si>
  <si>
    <t>Q6XQN6</t>
  </si>
  <si>
    <t>Q6XZF7</t>
  </si>
  <si>
    <t>Q6Y7W6-4</t>
  </si>
  <si>
    <t>Q6YN16</t>
  </si>
  <si>
    <t>Q6YP21-3</t>
  </si>
  <si>
    <t>Q6ZMI0</t>
  </si>
  <si>
    <t>Q6ZT12</t>
  </si>
  <si>
    <t>Q6ZUJ8</t>
  </si>
  <si>
    <t>Q709C8-3</t>
  </si>
  <si>
    <t>Q709F0</t>
  </si>
  <si>
    <t>Q70E73</t>
  </si>
  <si>
    <t>Q71RC2-6</t>
  </si>
  <si>
    <t>Q71U36-2</t>
  </si>
  <si>
    <t>Q765P7</t>
  </si>
  <si>
    <t>Q7KZ85</t>
  </si>
  <si>
    <t>Q7KZF4</t>
  </si>
  <si>
    <t>Q7KZI7-12</t>
  </si>
  <si>
    <t>Q7L014</t>
  </si>
  <si>
    <t>Q7L099-4</t>
  </si>
  <si>
    <t>Q7L0Y3</t>
  </si>
  <si>
    <t>Q7L1Q6</t>
  </si>
  <si>
    <t>Q7L1W4</t>
  </si>
  <si>
    <t>Q7L2J0</t>
  </si>
  <si>
    <t>Q7L523</t>
  </si>
  <si>
    <t>Q7L576</t>
  </si>
  <si>
    <t>Q7L5D6</t>
  </si>
  <si>
    <t>Q7L5Y1</t>
  </si>
  <si>
    <t>Q7L775</t>
  </si>
  <si>
    <t>Q7L8L6</t>
  </si>
  <si>
    <t>Q7LBR1</t>
  </si>
  <si>
    <t>Q7LG56</t>
  </si>
  <si>
    <t>Q7RTP6</t>
  </si>
  <si>
    <t>Q7RTV0</t>
  </si>
  <si>
    <t>Q7Z2W4</t>
  </si>
  <si>
    <t>Q7Z2Z2</t>
  </si>
  <si>
    <t>Q7Z392-4</t>
  </si>
  <si>
    <t>Q7Z3J2</t>
  </si>
  <si>
    <t>Q7Z3T8</t>
  </si>
  <si>
    <t>Q7Z406-6</t>
  </si>
  <si>
    <t>Q7Z417</t>
  </si>
  <si>
    <t>Q7Z422-2</t>
  </si>
  <si>
    <t>Q7Z434</t>
  </si>
  <si>
    <t>Q7Z460-2</t>
  </si>
  <si>
    <t>Q7Z478</t>
  </si>
  <si>
    <t>Q7Z4G1</t>
  </si>
  <si>
    <t>Q7Z4G4-2</t>
  </si>
  <si>
    <t>Q7Z4I7-3</t>
  </si>
  <si>
    <t>Q7Z4Q2</t>
  </si>
  <si>
    <t>Q7Z4S6-3</t>
  </si>
  <si>
    <t>Q7Z4V5</t>
  </si>
  <si>
    <t>Q7Z4W1</t>
  </si>
  <si>
    <t>Q7Z5K2-3</t>
  </si>
  <si>
    <t>Q7Z5L9-2</t>
  </si>
  <si>
    <t>Q7Z5P4</t>
  </si>
  <si>
    <t>Q7Z5Q5</t>
  </si>
  <si>
    <t>Q7Z5R6</t>
  </si>
  <si>
    <t>Q7Z6M1</t>
  </si>
  <si>
    <t>Q7Z6Z7-2</t>
  </si>
  <si>
    <t>Q7Z7K0</t>
  </si>
  <si>
    <t>Q7Z7K6-3</t>
  </si>
  <si>
    <t>Q86SQ0-3</t>
  </si>
  <si>
    <t>Q86SQ0</t>
  </si>
  <si>
    <t>Q86SX6</t>
  </si>
  <si>
    <t>Q86SZ2-2</t>
  </si>
  <si>
    <t>Q86TB9-4</t>
  </si>
  <si>
    <t>Q86TI2</t>
  </si>
  <si>
    <t>Q86TP1</t>
  </si>
  <si>
    <t>Q86TU7</t>
  </si>
  <si>
    <t>Q86TX2</t>
  </si>
  <si>
    <t>Q86U17</t>
  </si>
  <si>
    <t>Q86U28</t>
  </si>
  <si>
    <t>Q86U42-2</t>
  </si>
  <si>
    <t>Q86U44</t>
  </si>
  <si>
    <t>Q86UA1</t>
  </si>
  <si>
    <t>Q86UK7-2</t>
  </si>
  <si>
    <t>Q86UP2</t>
  </si>
  <si>
    <t>Q86UX7-2</t>
  </si>
  <si>
    <t>Q86UY8-2</t>
  </si>
  <si>
    <t>Q86V48-2</t>
  </si>
  <si>
    <t>Q86V81</t>
  </si>
  <si>
    <t>Q86VN1-2</t>
  </si>
  <si>
    <t>Q86VP6</t>
  </si>
  <si>
    <t>Q86VQ6</t>
  </si>
  <si>
    <t>Q86VS8</t>
  </si>
  <si>
    <t>Q86VX2-2</t>
  </si>
  <si>
    <t>Q86W92-4</t>
  </si>
  <si>
    <t>Q86WA6</t>
  </si>
  <si>
    <t>Q86WA8</t>
  </si>
  <si>
    <t>Q86WR0</t>
  </si>
  <si>
    <t>Q86WR7</t>
  </si>
  <si>
    <t>Q86WU2-2</t>
  </si>
  <si>
    <t>Q86X10-3</t>
  </si>
  <si>
    <t>Q86X27</t>
  </si>
  <si>
    <t>Q86X55-1</t>
  </si>
  <si>
    <t>Q86X76-2</t>
  </si>
  <si>
    <t>Q86XE5</t>
  </si>
  <si>
    <t>Q86XP3</t>
  </si>
  <si>
    <t>Q86Y07-4</t>
  </si>
  <si>
    <t>Q86Y82</t>
  </si>
  <si>
    <t>Q86YB7</t>
  </si>
  <si>
    <t>Q86YH6</t>
  </si>
  <si>
    <t>Q86YJ6-4</t>
  </si>
  <si>
    <t>Q86YP4-2</t>
  </si>
  <si>
    <t>Q86YZ3</t>
  </si>
  <si>
    <t>Q8IU81</t>
  </si>
  <si>
    <t>Q8IUD2</t>
  </si>
  <si>
    <t>Q8IUR7-7</t>
  </si>
  <si>
    <t>Q8IUZ5</t>
  </si>
  <si>
    <t>Q8IV08</t>
  </si>
  <si>
    <t>Q8IV38</t>
  </si>
  <si>
    <t>Q8IV50</t>
  </si>
  <si>
    <t>Q8IVD9</t>
  </si>
  <si>
    <t>Q8IVF2-3</t>
  </si>
  <si>
    <t>Q8IVH4</t>
  </si>
  <si>
    <t>Q8IVM0</t>
  </si>
  <si>
    <t>Q8IVS2</t>
  </si>
  <si>
    <t>Q8IVS8</t>
  </si>
  <si>
    <t>Q8IW45</t>
  </si>
  <si>
    <t>Q8IWB9</t>
  </si>
  <si>
    <t>Q8IWE2</t>
  </si>
  <si>
    <t>Q8IWJ2</t>
  </si>
  <si>
    <t>Q8IWL3</t>
  </si>
  <si>
    <t>Q8IWU2</t>
  </si>
  <si>
    <t>Q8IWV8-4</t>
  </si>
  <si>
    <t>Q8IWW6-2</t>
  </si>
  <si>
    <t>Q8IWW8</t>
  </si>
  <si>
    <t>Q8IWX8</t>
  </si>
  <si>
    <t>Q8IWZ3</t>
  </si>
  <si>
    <t>Q8IWZ8</t>
  </si>
  <si>
    <t>Q8IX07</t>
  </si>
  <si>
    <t>Q8IX12-2</t>
  </si>
  <si>
    <t>Q8IXH7-4</t>
  </si>
  <si>
    <t>Q8IXJ6-2</t>
  </si>
  <si>
    <t>Q8IXQ4</t>
  </si>
  <si>
    <t>Q8IXQ6-2</t>
  </si>
  <si>
    <t>Q8IY50-2</t>
  </si>
  <si>
    <t>Q8IY81</t>
  </si>
  <si>
    <t>Q8IYA8-2</t>
  </si>
  <si>
    <t>Q8IYB5-3</t>
  </si>
  <si>
    <t>Q8IYB7</t>
  </si>
  <si>
    <t>Q8IYB8</t>
  </si>
  <si>
    <t>Q8IYD1</t>
  </si>
  <si>
    <t>Q8IYI6</t>
  </si>
  <si>
    <t>Q8IYQ7</t>
  </si>
  <si>
    <t>Q8IYT4</t>
  </si>
  <si>
    <t>Q8IZ41</t>
  </si>
  <si>
    <t>Q8IZ69</t>
  </si>
  <si>
    <t>Q8IZ83</t>
  </si>
  <si>
    <t>Q8IZP0-10</t>
  </si>
  <si>
    <t>Q8IZV5</t>
  </si>
  <si>
    <t>Q8N0U4</t>
  </si>
  <si>
    <t>Q8N0W3</t>
  </si>
  <si>
    <t>Q8N0X4</t>
  </si>
  <si>
    <t>Q8N0X7</t>
  </si>
  <si>
    <t>Q8N129</t>
  </si>
  <si>
    <t>Q8N142</t>
  </si>
  <si>
    <t>Q8N163</t>
  </si>
  <si>
    <t>Q8N1B4</t>
  </si>
  <si>
    <t>Q8N1F7</t>
  </si>
  <si>
    <t>Q8N1G2</t>
  </si>
  <si>
    <t>Q8N1G4</t>
  </si>
  <si>
    <t>Q8N1I0</t>
  </si>
  <si>
    <t>Q8N1N4</t>
  </si>
  <si>
    <t>Q8N371</t>
  </si>
  <si>
    <t>Q8N3D4</t>
  </si>
  <si>
    <t>Q8N3V7-2</t>
  </si>
  <si>
    <t>Q8N465</t>
  </si>
  <si>
    <t>Q8N490-4</t>
  </si>
  <si>
    <t>Q8N4C8-2</t>
  </si>
  <si>
    <t>Q8N4J0</t>
  </si>
  <si>
    <t>Q8N4P3</t>
  </si>
  <si>
    <t>Q8N4Q0</t>
  </si>
  <si>
    <t>Q8N4Q1</t>
  </si>
  <si>
    <t>Q8N4T8</t>
  </si>
  <si>
    <t>Q8N573-2</t>
  </si>
  <si>
    <t>Q8N5G2</t>
  </si>
  <si>
    <t>Q8N5M1</t>
  </si>
  <si>
    <t>Q8N5N7</t>
  </si>
  <si>
    <t>Q8N5V2</t>
  </si>
  <si>
    <t>Q8N5Z0</t>
  </si>
  <si>
    <t>Q8N612</t>
  </si>
  <si>
    <t>Q8N684-2</t>
  </si>
  <si>
    <t>Q8N6H7</t>
  </si>
  <si>
    <t>Q8N8N7</t>
  </si>
  <si>
    <t>Q8N8S7</t>
  </si>
  <si>
    <t>Q8N999-3</t>
  </si>
  <si>
    <t>Q8N9L9</t>
  </si>
  <si>
    <t>Q8NB37</t>
  </si>
  <si>
    <t>Q8NBF2</t>
  </si>
  <si>
    <t>Q8NBJ4-2</t>
  </si>
  <si>
    <t>Q8NBJ7</t>
  </si>
  <si>
    <t>Q8NBX0</t>
  </si>
  <si>
    <t>Q8NC51-4</t>
  </si>
  <si>
    <t>Q8NC96</t>
  </si>
  <si>
    <t>Q8NCA5-2</t>
  </si>
  <si>
    <t>Q8NCC3</t>
  </si>
  <si>
    <t>Q8NCN4</t>
  </si>
  <si>
    <t>Q8NCN5</t>
  </si>
  <si>
    <t>Q8NCW5</t>
  </si>
  <si>
    <t>Q8ND24</t>
  </si>
  <si>
    <t>Q8ND30</t>
  </si>
  <si>
    <t>Q8ND76-3</t>
  </si>
  <si>
    <t>Q8NDH3-2</t>
  </si>
  <si>
    <t>Q8NDI1-3</t>
  </si>
  <si>
    <t>Q8NE62</t>
  </si>
  <si>
    <t>Q8NE71-2</t>
  </si>
  <si>
    <t>Q8NEB9</t>
  </si>
  <si>
    <t>Q8NEZ5</t>
  </si>
  <si>
    <t>Q8NFC6</t>
  </si>
  <si>
    <t>Q8NFF5-2</t>
  </si>
  <si>
    <t>Q8NFH3</t>
  </si>
  <si>
    <t>Q8NFH4</t>
  </si>
  <si>
    <t>Q8NFH8-4</t>
  </si>
  <si>
    <t>Q8NFI3</t>
  </si>
  <si>
    <t>Q8NFQ8</t>
  </si>
  <si>
    <t>Q8NFU3-4</t>
  </si>
  <si>
    <t>Q8NFU3</t>
  </si>
  <si>
    <t>Q8NFV4</t>
  </si>
  <si>
    <t>Q8NFW8</t>
  </si>
  <si>
    <t>Q8NHG8</t>
  </si>
  <si>
    <t>Q8NHH9-2</t>
  </si>
  <si>
    <t>Q8NHM4</t>
  </si>
  <si>
    <t>Q8NI08-2</t>
  </si>
  <si>
    <t>Q8NI27</t>
  </si>
  <si>
    <t>Q8NI60</t>
  </si>
  <si>
    <t>Q8TAE8</t>
  </si>
  <si>
    <t>Q8TAQ2-2</t>
  </si>
  <si>
    <t>Q8TAT6</t>
  </si>
  <si>
    <t>Q8TB03</t>
  </si>
  <si>
    <t>Q8TB22</t>
  </si>
  <si>
    <t>Q8TB45</t>
  </si>
  <si>
    <t>Q8TBA6-2</t>
  </si>
  <si>
    <t>Q8TBC4</t>
  </si>
  <si>
    <t>Q8TBC5</t>
  </si>
  <si>
    <t>Q8TBG4-2</t>
  </si>
  <si>
    <t>Q8TBX8</t>
  </si>
  <si>
    <t>Q8TC07-2</t>
  </si>
  <si>
    <t>Q8TC12</t>
  </si>
  <si>
    <t>Q8TCD5</t>
  </si>
  <si>
    <t>Q8TCE6-2</t>
  </si>
  <si>
    <t>Q8TCS8</t>
  </si>
  <si>
    <t>Q8TD16</t>
  </si>
  <si>
    <t>Q8TD19</t>
  </si>
  <si>
    <t>Q8TD30</t>
  </si>
  <si>
    <t>Q8TDB6</t>
  </si>
  <si>
    <t>Q8TDD1</t>
  </si>
  <si>
    <t>Q8TDH9-2</t>
  </si>
  <si>
    <t>Q8TDX5</t>
  </si>
  <si>
    <t>Q8TE04</t>
  </si>
  <si>
    <t>Q8TE77</t>
  </si>
  <si>
    <t>Q8TEA1</t>
  </si>
  <si>
    <t>Q8TEB1-2</t>
  </si>
  <si>
    <t>Q8TEH3</t>
  </si>
  <si>
    <t>Q8TEQ6</t>
  </si>
  <si>
    <t>Q8TER5-4</t>
  </si>
  <si>
    <t>Q8TEW0-5</t>
  </si>
  <si>
    <t>Q8TEX9</t>
  </si>
  <si>
    <t>Q8TF65</t>
  </si>
  <si>
    <t>Q8TF74</t>
  </si>
  <si>
    <t>Q8WTS6</t>
  </si>
  <si>
    <t>Q8WU39-3</t>
  </si>
  <si>
    <t>Q8WU79-3</t>
  </si>
  <si>
    <t>Q8WU90</t>
  </si>
  <si>
    <t>Q8WUA2</t>
  </si>
  <si>
    <t>Q8WUM4</t>
  </si>
  <si>
    <t>Q8WUR7</t>
  </si>
  <si>
    <t>Q8WUW1</t>
  </si>
  <si>
    <t>Q8WUX9</t>
  </si>
  <si>
    <t>Q8WV28</t>
  </si>
  <si>
    <t>Q8WV41</t>
  </si>
  <si>
    <t>Q8WV74</t>
  </si>
  <si>
    <t>Q8WV99-2</t>
  </si>
  <si>
    <t>Q8WVB3</t>
  </si>
  <si>
    <t>Q8WVC0</t>
  </si>
  <si>
    <t>Q8WVJ2</t>
  </si>
  <si>
    <t>Q8WVM8</t>
  </si>
  <si>
    <t>Q8WVP5</t>
  </si>
  <si>
    <t>Q8WVT3</t>
  </si>
  <si>
    <t>Q8WVY7</t>
  </si>
  <si>
    <t>Q8WW12</t>
  </si>
  <si>
    <t>Q8WW59</t>
  </si>
  <si>
    <t>Q8WWM7</t>
  </si>
  <si>
    <t>Q8WWV3-2</t>
  </si>
  <si>
    <t>Q8WX92</t>
  </si>
  <si>
    <t>Q8WXE0</t>
  </si>
  <si>
    <t>Q8WXF1</t>
  </si>
  <si>
    <t>Q8WXH0</t>
  </si>
  <si>
    <t>Q8WXX5</t>
  </si>
  <si>
    <t>Q8WY91-2</t>
  </si>
  <si>
    <t>Q8WYK0</t>
  </si>
  <si>
    <t>Q8WYP5</t>
  </si>
  <si>
    <t>Q8WZ42-5</t>
  </si>
  <si>
    <t>Q8WZ82</t>
  </si>
  <si>
    <t>Q8WZA0</t>
  </si>
  <si>
    <t>Q8WZA9</t>
  </si>
  <si>
    <t>Q92499</t>
  </si>
  <si>
    <t>Q92506</t>
  </si>
  <si>
    <t>Q92526</t>
  </si>
  <si>
    <t>Q92538</t>
  </si>
  <si>
    <t>Q92541</t>
  </si>
  <si>
    <t>Q92552</t>
  </si>
  <si>
    <t>Q92556</t>
  </si>
  <si>
    <t>Q92572</t>
  </si>
  <si>
    <t>Q92575</t>
  </si>
  <si>
    <t>Q92576-2</t>
  </si>
  <si>
    <t>Q92597</t>
  </si>
  <si>
    <t>Q92598-2</t>
  </si>
  <si>
    <t>Q92599-2</t>
  </si>
  <si>
    <t>Q92600</t>
  </si>
  <si>
    <t>Q92609</t>
  </si>
  <si>
    <t>Q92614-4</t>
  </si>
  <si>
    <t>Q92615</t>
  </si>
  <si>
    <t>Q92616</t>
  </si>
  <si>
    <t>Q92621</t>
  </si>
  <si>
    <t>Q92665</t>
  </si>
  <si>
    <t>Q92667</t>
  </si>
  <si>
    <t>Q92688-2</t>
  </si>
  <si>
    <t>Q92696</t>
  </si>
  <si>
    <t>Q92734-2</t>
  </si>
  <si>
    <t>Q92747</t>
  </si>
  <si>
    <t>Q92766-3</t>
  </si>
  <si>
    <t>Q92783-2</t>
  </si>
  <si>
    <t>Q92793</t>
  </si>
  <si>
    <t>Q92797</t>
  </si>
  <si>
    <t>Q92805</t>
  </si>
  <si>
    <t>Q92820</t>
  </si>
  <si>
    <t>Q92841</t>
  </si>
  <si>
    <t>Q92878</t>
  </si>
  <si>
    <t>Q92879-5</t>
  </si>
  <si>
    <t>Q92882</t>
  </si>
  <si>
    <t>Q92888-2</t>
  </si>
  <si>
    <t>Q92890-3</t>
  </si>
  <si>
    <t>Q92900-2</t>
  </si>
  <si>
    <t>Q92905</t>
  </si>
  <si>
    <t>Q92917</t>
  </si>
  <si>
    <t>Q92934</t>
  </si>
  <si>
    <t>Q92945</t>
  </si>
  <si>
    <t>Q92947</t>
  </si>
  <si>
    <t>Q92973-2</t>
  </si>
  <si>
    <t>Q93008-1</t>
  </si>
  <si>
    <t>Q93034</t>
  </si>
  <si>
    <t>Q93052</t>
  </si>
  <si>
    <t>Q93073-2</t>
  </si>
  <si>
    <t>Q93077</t>
  </si>
  <si>
    <t>Q93088</t>
  </si>
  <si>
    <t>Q93096</t>
  </si>
  <si>
    <t>Q93099</t>
  </si>
  <si>
    <t>Q93100-4</t>
  </si>
  <si>
    <t>Q969E4</t>
  </si>
  <si>
    <t>Q969G6</t>
  </si>
  <si>
    <t>Q969H8</t>
  </si>
  <si>
    <t>Q969I3</t>
  </si>
  <si>
    <t>Q969Q0</t>
  </si>
  <si>
    <t>Q969S9-2</t>
  </si>
  <si>
    <t>Q969Z0</t>
  </si>
  <si>
    <t>Q969Z3</t>
  </si>
  <si>
    <t>Q96A49</t>
  </si>
  <si>
    <t>Q96A65</t>
  </si>
  <si>
    <t>Q96AB3</t>
  </si>
  <si>
    <t>Q96AC1</t>
  </si>
  <si>
    <t>Q96AE4-2</t>
  </si>
  <si>
    <t>Q96AG4</t>
  </si>
  <si>
    <t>Q96AT1</t>
  </si>
  <si>
    <t>Q96B36</t>
  </si>
  <si>
    <t>Q96B45</t>
  </si>
  <si>
    <t>Q96B54</t>
  </si>
  <si>
    <t>Q96B97</t>
  </si>
  <si>
    <t>Q96BN8</t>
  </si>
  <si>
    <t>Q96BP2</t>
  </si>
  <si>
    <t>Q96BP3</t>
  </si>
  <si>
    <t>Q96BR5</t>
  </si>
  <si>
    <t>Q96BW5-2</t>
  </si>
  <si>
    <t>Q96BY7</t>
  </si>
  <si>
    <t>Q96C01</t>
  </si>
  <si>
    <t>Q96C11</t>
  </si>
  <si>
    <t>Q96C19</t>
  </si>
  <si>
    <t>Q96C23</t>
  </si>
  <si>
    <t>Q96C24</t>
  </si>
  <si>
    <t>Q96C86</t>
  </si>
  <si>
    <t>Q96CF2</t>
  </si>
  <si>
    <t>Q96CN7</t>
  </si>
  <si>
    <t>Q96CP2</t>
  </si>
  <si>
    <t>Q96CS3</t>
  </si>
  <si>
    <t>Q96CT7</t>
  </si>
  <si>
    <t>Q96CV9</t>
  </si>
  <si>
    <t>Q96CW1-2</t>
  </si>
  <si>
    <t>Q96CW5-3</t>
  </si>
  <si>
    <t>Q96CX2</t>
  </si>
  <si>
    <t>Q96D46</t>
  </si>
  <si>
    <t>Q96D71-2</t>
  </si>
  <si>
    <t>Q96DC8</t>
  </si>
  <si>
    <t>Q96DE0</t>
  </si>
  <si>
    <t>Q96DG6</t>
  </si>
  <si>
    <t>Q96DR7</t>
  </si>
  <si>
    <t>Q96DV4</t>
  </si>
  <si>
    <t>Q96E11-3</t>
  </si>
  <si>
    <t>Q96E39</t>
  </si>
  <si>
    <t>Q96EB1</t>
  </si>
  <si>
    <t>Q96ED9-2</t>
  </si>
  <si>
    <t>Q96EI5</t>
  </si>
  <si>
    <t>Q96EK6</t>
  </si>
  <si>
    <t>Q96EM0</t>
  </si>
  <si>
    <t>Q96EN8</t>
  </si>
  <si>
    <t>Q96EP5-2</t>
  </si>
  <si>
    <t>Q96EV2</t>
  </si>
  <si>
    <t>Q96EV8</t>
  </si>
  <si>
    <t>Q96EY7</t>
  </si>
  <si>
    <t>Q96EY8</t>
  </si>
  <si>
    <t>Q96F10</t>
  </si>
  <si>
    <t>Q96F24-2</t>
  </si>
  <si>
    <t>Q96FJ2</t>
  </si>
  <si>
    <t>Q96FV2</t>
  </si>
  <si>
    <t>Q96FV9</t>
  </si>
  <si>
    <t>Q96G03</t>
  </si>
  <si>
    <t>Q96G46</t>
  </si>
  <si>
    <t>Q96GA7</t>
  </si>
  <si>
    <t>Q96GD0</t>
  </si>
  <si>
    <t>Q96GE6</t>
  </si>
  <si>
    <t>Q96GF1</t>
  </si>
  <si>
    <t>Q96GG9</t>
  </si>
  <si>
    <t>Q96GK7</t>
  </si>
  <si>
    <t>Q96GS4</t>
  </si>
  <si>
    <t>Q96GW9</t>
  </si>
  <si>
    <t>Q96GX9</t>
  </si>
  <si>
    <t>Q96H20</t>
  </si>
  <si>
    <t>Q96HC4</t>
  </si>
  <si>
    <t>Q96HD9</t>
  </si>
  <si>
    <t>Q96HE7</t>
  </si>
  <si>
    <t>Q96HJ9-2</t>
  </si>
  <si>
    <t>Q96HJ9</t>
  </si>
  <si>
    <t>Q96HP4</t>
  </si>
  <si>
    <t>Q96HQ2-2</t>
  </si>
  <si>
    <t>Q96HR9</t>
  </si>
  <si>
    <t>Q96HS1</t>
  </si>
  <si>
    <t>Q96HY6-2</t>
  </si>
  <si>
    <t>Q96HY7</t>
  </si>
  <si>
    <t>Q96I15</t>
  </si>
  <si>
    <t>Q96I23</t>
  </si>
  <si>
    <t>Q96I24</t>
  </si>
  <si>
    <t>Q96I25</t>
  </si>
  <si>
    <t>Q96I51</t>
  </si>
  <si>
    <t>Q96I59</t>
  </si>
  <si>
    <t>Q96I99</t>
  </si>
  <si>
    <t>Q96IJ6</t>
  </si>
  <si>
    <t>Q96IU4</t>
  </si>
  <si>
    <t>Q96IV0-3</t>
  </si>
  <si>
    <t>Q96IZ0</t>
  </si>
  <si>
    <t>Q96JB2</t>
  </si>
  <si>
    <t>Q96JB5-2</t>
  </si>
  <si>
    <t>Q96JE7</t>
  </si>
  <si>
    <t>Q96JG6-3</t>
  </si>
  <si>
    <t>Q96JH7</t>
  </si>
  <si>
    <t>Q96JQ2</t>
  </si>
  <si>
    <t>Q96JY6</t>
  </si>
  <si>
    <t>Q96KC8</t>
  </si>
  <si>
    <t>Q96KG9-3</t>
  </si>
  <si>
    <t>Q96KP1</t>
  </si>
  <si>
    <t>Q96KP4</t>
  </si>
  <si>
    <t>Q96KR1</t>
  </si>
  <si>
    <t>Q96L92</t>
  </si>
  <si>
    <t>Q96LD8</t>
  </si>
  <si>
    <t>Q96LJ7</t>
  </si>
  <si>
    <t>Q96M20-2</t>
  </si>
  <si>
    <t>Q96M27</t>
  </si>
  <si>
    <t>Q96ME1-4</t>
  </si>
  <si>
    <t>Q96MH2</t>
  </si>
  <si>
    <t>Q96MU7-2</t>
  </si>
  <si>
    <t>Q96MX6-2</t>
  </si>
  <si>
    <t>Q96N76</t>
  </si>
  <si>
    <t>Q96NA2</t>
  </si>
  <si>
    <t>Q96NC0</t>
  </si>
  <si>
    <t>Q96NJ6</t>
  </si>
  <si>
    <t>Q96NU7</t>
  </si>
  <si>
    <t>Q96P16-3</t>
  </si>
  <si>
    <t>Q96P70</t>
  </si>
  <si>
    <t>Q96PE7</t>
  </si>
  <si>
    <t>Q96PK6</t>
  </si>
  <si>
    <t>Q96PM5-3</t>
  </si>
  <si>
    <t>Q96PU8-5</t>
  </si>
  <si>
    <t>Q96Q05-3</t>
  </si>
  <si>
    <t>Q96Q06-2</t>
  </si>
  <si>
    <t>Q96Q11-2</t>
  </si>
  <si>
    <t>Q96QC0</t>
  </si>
  <si>
    <t>Q96QG7</t>
  </si>
  <si>
    <t>Q96QK1</t>
  </si>
  <si>
    <t>Q96QR8</t>
  </si>
  <si>
    <t>Q96QZ7-7</t>
  </si>
  <si>
    <t>Q96RE7</t>
  </si>
  <si>
    <t>Q96RF0-2</t>
  </si>
  <si>
    <t>Q96RP9</t>
  </si>
  <si>
    <t>Q96RQ3</t>
  </si>
  <si>
    <t>Q96RS6-3</t>
  </si>
  <si>
    <t>Q96RW7-2</t>
  </si>
  <si>
    <t>Q96S19</t>
  </si>
  <si>
    <t>Q96S44</t>
  </si>
  <si>
    <t>Q96S66-4</t>
  </si>
  <si>
    <t>Q96ST2-2</t>
  </si>
  <si>
    <t>Q96ST3</t>
  </si>
  <si>
    <t>Q96SU4-7</t>
  </si>
  <si>
    <t>Q96SZ5</t>
  </si>
  <si>
    <t>Q96T37-2</t>
  </si>
  <si>
    <t>Q96T51</t>
  </si>
  <si>
    <t>Q96T58</t>
  </si>
  <si>
    <t>Q96T76</t>
  </si>
  <si>
    <t>Q99417</t>
  </si>
  <si>
    <t>Q99424</t>
  </si>
  <si>
    <t>Q99426</t>
  </si>
  <si>
    <t>Q99436</t>
  </si>
  <si>
    <t>Q99447-3</t>
  </si>
  <si>
    <t>Q99459</t>
  </si>
  <si>
    <t>Q99460</t>
  </si>
  <si>
    <t>Q99471</t>
  </si>
  <si>
    <t>Q99487</t>
  </si>
  <si>
    <t>Q99489</t>
  </si>
  <si>
    <t>Q99497</t>
  </si>
  <si>
    <t>Q99536</t>
  </si>
  <si>
    <t>Q99543</t>
  </si>
  <si>
    <t>Q99567</t>
  </si>
  <si>
    <t>Q99569-2</t>
  </si>
  <si>
    <t>Q99570</t>
  </si>
  <si>
    <t>Q99575</t>
  </si>
  <si>
    <t>Q99584</t>
  </si>
  <si>
    <t>Q99590-2</t>
  </si>
  <si>
    <t>Q99598</t>
  </si>
  <si>
    <t>Q99611</t>
  </si>
  <si>
    <t>Q99614</t>
  </si>
  <si>
    <t>Q99615</t>
  </si>
  <si>
    <t>Q99627-2</t>
  </si>
  <si>
    <t>Q99685</t>
  </si>
  <si>
    <t>Q99707</t>
  </si>
  <si>
    <t>Q99714</t>
  </si>
  <si>
    <t>Q99733</t>
  </si>
  <si>
    <t>Q99757</t>
  </si>
  <si>
    <t>Q99766</t>
  </si>
  <si>
    <t>Q99797</t>
  </si>
  <si>
    <t>Q99798</t>
  </si>
  <si>
    <t>Q99807-2</t>
  </si>
  <si>
    <t>Q99832</t>
  </si>
  <si>
    <t>Q99836</t>
  </si>
  <si>
    <t>Q99880</t>
  </si>
  <si>
    <t>Q99933-4</t>
  </si>
  <si>
    <t>Q99942</t>
  </si>
  <si>
    <t>Q99952</t>
  </si>
  <si>
    <t>Q99959-2</t>
  </si>
  <si>
    <t>Q99961</t>
  </si>
  <si>
    <t>Q99969</t>
  </si>
  <si>
    <t>Q99996-5</t>
  </si>
  <si>
    <t>Q9BPW8</t>
  </si>
  <si>
    <t>Q9BPX5</t>
  </si>
  <si>
    <t>Q9BQ52</t>
  </si>
  <si>
    <t>Q9BQ61</t>
  </si>
  <si>
    <t>Q9BQ69</t>
  </si>
  <si>
    <t>Q9BQE3</t>
  </si>
  <si>
    <t>Q9BQE5</t>
  </si>
  <si>
    <t>Q9BQG0</t>
  </si>
  <si>
    <t>Q9BQG2</t>
  </si>
  <si>
    <t>Q9BQK8</t>
  </si>
  <si>
    <t>Q9BQS8</t>
  </si>
  <si>
    <t>Q9BR61</t>
  </si>
  <si>
    <t>Q9BR76</t>
  </si>
  <si>
    <t>Q9BRA2</t>
  </si>
  <si>
    <t>Q9BRF8</t>
  </si>
  <si>
    <t>Q9BRG1</t>
  </si>
  <si>
    <t>Q9BRK5</t>
  </si>
  <si>
    <t>Q9BRP4</t>
  </si>
  <si>
    <t>Q9BRP8-2</t>
  </si>
  <si>
    <t>Q9BRT3</t>
  </si>
  <si>
    <t>Q9BRX2</t>
  </si>
  <si>
    <t>Q9BRZ2</t>
  </si>
  <si>
    <t>Q9BS26</t>
  </si>
  <si>
    <t>Q9BSE5</t>
  </si>
  <si>
    <t>Q9BSH4</t>
  </si>
  <si>
    <t>Q9BSH5</t>
  </si>
  <si>
    <t>Q9BSJ5-3</t>
  </si>
  <si>
    <t>Q9BSJ8</t>
  </si>
  <si>
    <t>Q9BST9-3</t>
  </si>
  <si>
    <t>Q9BSY4</t>
  </si>
  <si>
    <t>Q9BT09</t>
  </si>
  <si>
    <t>Q9BT30</t>
  </si>
  <si>
    <t>Q9BT73</t>
  </si>
  <si>
    <t>Q9BT78</t>
  </si>
  <si>
    <t>Q9BTC0</t>
  </si>
  <si>
    <t>Q9BTE3-2</t>
  </si>
  <si>
    <t>Q9BTE6</t>
  </si>
  <si>
    <t>Q9BTL3</t>
  </si>
  <si>
    <t>Q9BTT0-3</t>
  </si>
  <si>
    <t>Q9BTW9</t>
  </si>
  <si>
    <t>Q9BTX7</t>
  </si>
  <si>
    <t>Q9BTY2</t>
  </si>
  <si>
    <t>Q9BTY7</t>
  </si>
  <si>
    <t>Q9BTZ2</t>
  </si>
  <si>
    <t>Q9BU89</t>
  </si>
  <si>
    <t>Q9BUE6</t>
  </si>
  <si>
    <t>Q9BUH6</t>
  </si>
  <si>
    <t>Q9BUJ2-2</t>
  </si>
  <si>
    <t>Q9BUP0</t>
  </si>
  <si>
    <t>Q9BUQ8</t>
  </si>
  <si>
    <t>Q9BUT1</t>
  </si>
  <si>
    <t>Q9BUT9</t>
  </si>
  <si>
    <t>Q9BV19</t>
  </si>
  <si>
    <t>Q9BV20</t>
  </si>
  <si>
    <t>Q9BV44</t>
  </si>
  <si>
    <t>Q9BV57</t>
  </si>
  <si>
    <t>Q9BV79</t>
  </si>
  <si>
    <t>Q9BV86</t>
  </si>
  <si>
    <t>Q9BVG4</t>
  </si>
  <si>
    <t>Q9BVJ7</t>
  </si>
  <si>
    <t>Q9BVL4</t>
  </si>
  <si>
    <t>Q9BVM4</t>
  </si>
  <si>
    <t>Q9BVS5</t>
  </si>
  <si>
    <t>Q9BW61</t>
  </si>
  <si>
    <t>Q9BW71-2</t>
  </si>
  <si>
    <t>Q9BW83</t>
  </si>
  <si>
    <t>Q9BW85</t>
  </si>
  <si>
    <t>Q9BW91-2</t>
  </si>
  <si>
    <t>Q9BW92</t>
  </si>
  <si>
    <t>Q9BWD1</t>
  </si>
  <si>
    <t>Q9BWE0</t>
  </si>
  <si>
    <t>Q9BWF3-4</t>
  </si>
  <si>
    <t>Q9BWU0</t>
  </si>
  <si>
    <t>Q9BX66-9</t>
  </si>
  <si>
    <t>Q9BX68</t>
  </si>
  <si>
    <t>Q9BXI6</t>
  </si>
  <si>
    <t>Q9BXJ9</t>
  </si>
  <si>
    <t>Q9BXK5</t>
  </si>
  <si>
    <t>Q9BXP5-5</t>
  </si>
  <si>
    <t>Q9BXR0</t>
  </si>
  <si>
    <t>Q9BXS6-7</t>
  </si>
  <si>
    <t>Q9BXU1-3</t>
  </si>
  <si>
    <t>Q9BXV9</t>
  </si>
  <si>
    <t>Q9BXW7-2</t>
  </si>
  <si>
    <t>Q9BY32</t>
  </si>
  <si>
    <t>Q9BY42</t>
  </si>
  <si>
    <t>Q9BY43</t>
  </si>
  <si>
    <t>Q9BY49</t>
  </si>
  <si>
    <t>Q9BY89</t>
  </si>
  <si>
    <t>Q9BYD6</t>
  </si>
  <si>
    <t>Q9BYN8</t>
  </si>
  <si>
    <t>Q9BYT8</t>
  </si>
  <si>
    <t>Q9BYV1</t>
  </si>
  <si>
    <t>Q9BYV7-4</t>
  </si>
  <si>
    <t>Q9BZ23-3</t>
  </si>
  <si>
    <t>Q9BZE2</t>
  </si>
  <si>
    <t>Q9BZE9</t>
  </si>
  <si>
    <t>Q9BZG8-3</t>
  </si>
  <si>
    <t>Q9BZH6</t>
  </si>
  <si>
    <t>Q9BZI7-2</t>
  </si>
  <si>
    <t>Q9BZK7</t>
  </si>
  <si>
    <t>Q9BZL1</t>
  </si>
  <si>
    <t>Q9BZL4</t>
  </si>
  <si>
    <t>Q9BZZ5-2</t>
  </si>
  <si>
    <t>Q9C005</t>
  </si>
  <si>
    <t>Q9C040</t>
  </si>
  <si>
    <t>Q9C0B0</t>
  </si>
  <si>
    <t>Q9C0B1</t>
  </si>
  <si>
    <t>Q9C0B5-2</t>
  </si>
  <si>
    <t>Q9C0C2</t>
  </si>
  <si>
    <t>Q9C0C9</t>
  </si>
  <si>
    <t>Q9C0H9-5</t>
  </si>
  <si>
    <t>Q9C0I1</t>
  </si>
  <si>
    <t>Q9C0J8</t>
  </si>
  <si>
    <t>Q9GZP4</t>
  </si>
  <si>
    <t>Q9GZQ3</t>
  </si>
  <si>
    <t>Q9GZT3-2</t>
  </si>
  <si>
    <t>Q9GZT8-2</t>
  </si>
  <si>
    <t>Q9GZT9-2</t>
  </si>
  <si>
    <t>Q9GZU8</t>
  </si>
  <si>
    <t>Q9GZZ9</t>
  </si>
  <si>
    <t>Q9H008</t>
  </si>
  <si>
    <t>Q9H074</t>
  </si>
  <si>
    <t>Q9H098</t>
  </si>
  <si>
    <t>Q9H0C8</t>
  </si>
  <si>
    <t>Q9H0D6</t>
  </si>
  <si>
    <t>Q9H0E2</t>
  </si>
  <si>
    <t>Q9H0F6</t>
  </si>
  <si>
    <t>Q9H0G5</t>
  </si>
  <si>
    <t>Q9H0L4</t>
  </si>
  <si>
    <t>Q9H0P0-1</t>
  </si>
  <si>
    <t>Q9H0R6</t>
  </si>
  <si>
    <t>Q9H0U4</t>
  </si>
  <si>
    <t>Q9H0W9</t>
  </si>
  <si>
    <t>Q9H1E3</t>
  </si>
  <si>
    <t>Q9H1H9-3</t>
  </si>
  <si>
    <t>Q9H1J1-2</t>
  </si>
  <si>
    <t>Q9H1K0</t>
  </si>
  <si>
    <t>Q9H1K1</t>
  </si>
  <si>
    <t>Q9H1P3-2</t>
  </si>
  <si>
    <t>Q9H1Y0</t>
  </si>
  <si>
    <t>Q9H1Z4</t>
  </si>
  <si>
    <t>Q9H227</t>
  </si>
  <si>
    <t>Q9H267</t>
  </si>
  <si>
    <t>Q9H2A2</t>
  </si>
  <si>
    <t>Q9H2D6-5</t>
  </si>
  <si>
    <t>Q9H2G2-2</t>
  </si>
  <si>
    <t>Q9H2H8</t>
  </si>
  <si>
    <t>Q9H2M3</t>
  </si>
  <si>
    <t>Q9H2M9</t>
  </si>
  <si>
    <t>Q9H2P0</t>
  </si>
  <si>
    <t>Q9H2U1-3</t>
  </si>
  <si>
    <t>Q9H2U2</t>
  </si>
  <si>
    <t>Q9H2W6</t>
  </si>
  <si>
    <t>Q9H307</t>
  </si>
  <si>
    <t>Q9H3G5</t>
  </si>
  <si>
    <t>Q9H3H3</t>
  </si>
  <si>
    <t>Q9H3K6</t>
  </si>
  <si>
    <t>Q9H3N1</t>
  </si>
  <si>
    <t>Q9H3P2</t>
  </si>
  <si>
    <t>Q9H3P7</t>
  </si>
  <si>
    <t>Q9H3S7</t>
  </si>
  <si>
    <t>Q9H3U1-2</t>
  </si>
  <si>
    <t>Q9H3Y8</t>
  </si>
  <si>
    <t>Q9H400-2</t>
  </si>
  <si>
    <t>Q9H444</t>
  </si>
  <si>
    <t>Q9H479</t>
  </si>
  <si>
    <t>Q9H488</t>
  </si>
  <si>
    <t>Q9H4A4</t>
  </si>
  <si>
    <t>Q9H4B0</t>
  </si>
  <si>
    <t>Q9H4I2</t>
  </si>
  <si>
    <t>Q9H4M9</t>
  </si>
  <si>
    <t>Q9H5N1</t>
  </si>
  <si>
    <t>Q9H5Q4</t>
  </si>
  <si>
    <t>Q9H5X1</t>
  </si>
  <si>
    <t>Q9H6Q4-3</t>
  </si>
  <si>
    <t>Q9H6R3</t>
  </si>
  <si>
    <t>Q9H6S3</t>
  </si>
  <si>
    <t>Q9H6T0-2</t>
  </si>
  <si>
    <t>Q9H6U6-6</t>
  </si>
  <si>
    <t>Q9H773</t>
  </si>
  <si>
    <t>Q9H788</t>
  </si>
  <si>
    <t>Q9H7C9</t>
  </si>
  <si>
    <t>Q9H7D0</t>
  </si>
  <si>
    <t>Q9H7E2-3</t>
  </si>
  <si>
    <t>Q9H7N4</t>
  </si>
  <si>
    <t>Q9H7Z6</t>
  </si>
  <si>
    <t>Q9H7Z7</t>
  </si>
  <si>
    <t>Q9H814</t>
  </si>
  <si>
    <t>Q9H832</t>
  </si>
  <si>
    <t>Q9H845</t>
  </si>
  <si>
    <t>Q9H8M7</t>
  </si>
  <si>
    <t>Q9H8S9</t>
  </si>
  <si>
    <t>Q9H8U3</t>
  </si>
  <si>
    <t>Q9H8W4</t>
  </si>
  <si>
    <t>Q9H8Y8</t>
  </si>
  <si>
    <t>Q9H974</t>
  </si>
  <si>
    <t>Q9H993</t>
  </si>
  <si>
    <t>Q9H999</t>
  </si>
  <si>
    <t>Q9H9A5-2</t>
  </si>
  <si>
    <t>Q9H9A6</t>
  </si>
  <si>
    <t>Q9H9B1-4</t>
  </si>
  <si>
    <t>Q9H9C1-2</t>
  </si>
  <si>
    <t>Q9H9E3</t>
  </si>
  <si>
    <t>Q9H9G7-2</t>
  </si>
  <si>
    <t>Q9H9J2</t>
  </si>
  <si>
    <t>Q9H9Q2-2</t>
  </si>
  <si>
    <t>Q9H9S4</t>
  </si>
  <si>
    <t>Q9H9T3-2</t>
  </si>
  <si>
    <t>Q9HA64</t>
  </si>
  <si>
    <t>Q9HA65</t>
  </si>
  <si>
    <t>Q9HA77</t>
  </si>
  <si>
    <t>Q9HAB8</t>
  </si>
  <si>
    <t>Q9HAC7-4</t>
  </si>
  <si>
    <t>Q9HAN9</t>
  </si>
  <si>
    <t>Q9HAP2</t>
  </si>
  <si>
    <t>Q9HAT2</t>
  </si>
  <si>
    <t>Q9HAU0</t>
  </si>
  <si>
    <t>Q9HAU5</t>
  </si>
  <si>
    <t>Q9HAV7</t>
  </si>
  <si>
    <t>Q9HB07</t>
  </si>
  <si>
    <t>Q9HB71</t>
  </si>
  <si>
    <t>Q9HB90</t>
  </si>
  <si>
    <t>Q9HBF4-2</t>
  </si>
  <si>
    <t>Q9HBH1</t>
  </si>
  <si>
    <t>Q9HBK9</t>
  </si>
  <si>
    <t>Q9HBL8</t>
  </si>
  <si>
    <t>Q9HC35</t>
  </si>
  <si>
    <t>Q9HC38-2</t>
  </si>
  <si>
    <t>Q9HCB6</t>
  </si>
  <si>
    <t>Q9HCC0</t>
  </si>
  <si>
    <t>Q9HCE5</t>
  </si>
  <si>
    <t>Q9HCE6-3</t>
  </si>
  <si>
    <t>Q9HCN4-3</t>
  </si>
  <si>
    <t>Q9HCN8</t>
  </si>
  <si>
    <t>Q9HD15</t>
  </si>
  <si>
    <t>Q9HD26-2</t>
  </si>
  <si>
    <t>Q9HD33-2</t>
  </si>
  <si>
    <t>Q9HD40</t>
  </si>
  <si>
    <t>Q9HD42</t>
  </si>
  <si>
    <t>Q9HD89</t>
  </si>
  <si>
    <t>Q9HDC5</t>
  </si>
  <si>
    <t>Q9NP61</t>
  </si>
  <si>
    <t>Q9NP71-4</t>
  </si>
  <si>
    <t>Q9NP72</t>
  </si>
  <si>
    <t>Q9NP74</t>
  </si>
  <si>
    <t>Q9NP79</t>
  </si>
  <si>
    <t>Q9NP97</t>
  </si>
  <si>
    <t>Q9NPA8-2</t>
  </si>
  <si>
    <t>Q9NPD3</t>
  </si>
  <si>
    <t>Q9NPF4</t>
  </si>
  <si>
    <t>Q9NPH0</t>
  </si>
  <si>
    <t>Q9NPJ3</t>
  </si>
  <si>
    <t>Q9NPJ6-2</t>
  </si>
  <si>
    <t>Q9NPQ8-2</t>
  </si>
  <si>
    <t>Q9NQ88</t>
  </si>
  <si>
    <t>Q9NQ94-2</t>
  </si>
  <si>
    <t>Q9NQG5</t>
  </si>
  <si>
    <t>Q9NQH7-2</t>
  </si>
  <si>
    <t>Q9NQP4</t>
  </si>
  <si>
    <t>Q9NQR4</t>
  </si>
  <si>
    <t>Q9NQS1</t>
  </si>
  <si>
    <t>Q9NQT8</t>
  </si>
  <si>
    <t>Q9NQW7-3</t>
  </si>
  <si>
    <t>Q9NQX3</t>
  </si>
  <si>
    <t>Q9NR09</t>
  </si>
  <si>
    <t>Q9NR19</t>
  </si>
  <si>
    <t>Q9NR28-2</t>
  </si>
  <si>
    <t>Q9NR31</t>
  </si>
  <si>
    <t>Q9NR33</t>
  </si>
  <si>
    <t>Q9NR45</t>
  </si>
  <si>
    <t>Q9NR46</t>
  </si>
  <si>
    <t>Q9NR50</t>
  </si>
  <si>
    <t>Q9NRF8</t>
  </si>
  <si>
    <t>Q9NRF9</t>
  </si>
  <si>
    <t>Q9NRG7-2</t>
  </si>
  <si>
    <t>Q9NRN7</t>
  </si>
  <si>
    <t>Q9NRR5</t>
  </si>
  <si>
    <t>Q9NRV9</t>
  </si>
  <si>
    <t>Q9NRX4</t>
  </si>
  <si>
    <t>Q9NRY2</t>
  </si>
  <si>
    <t>Q9NRY4</t>
  </si>
  <si>
    <t>Q9NRY5</t>
  </si>
  <si>
    <t>Q9NS18</t>
  </si>
  <si>
    <t>Q9NS86</t>
  </si>
  <si>
    <t>Q9NSE4</t>
  </si>
  <si>
    <t>Q9NSK0</t>
  </si>
  <si>
    <t>Q9NSY0</t>
  </si>
  <si>
    <t>Q9NSY1-2</t>
  </si>
  <si>
    <t>Q9NSY2</t>
  </si>
  <si>
    <t>Q9NT62</t>
  </si>
  <si>
    <t>Q9NTG7</t>
  </si>
  <si>
    <t>Q9NTJ4-3</t>
  </si>
  <si>
    <t>Q9NTK5-2</t>
  </si>
  <si>
    <t>Q9NTK5</t>
  </si>
  <si>
    <t>Q9NTX5-6</t>
  </si>
  <si>
    <t>Q9NTZ6</t>
  </si>
  <si>
    <t>Q9NU23</t>
  </si>
  <si>
    <t>Q9NUB1-3</t>
  </si>
  <si>
    <t>Q9NUI1</t>
  </si>
  <si>
    <t>Q9NUJ1</t>
  </si>
  <si>
    <t>Q9NUL5-4</t>
  </si>
  <si>
    <t>Q9NUP1</t>
  </si>
  <si>
    <t>Q9NUQ3-2</t>
  </si>
  <si>
    <t>Q9NUQ6</t>
  </si>
  <si>
    <t>Q9NUQ8-2</t>
  </si>
  <si>
    <t>Q9NUQ9</t>
  </si>
  <si>
    <t>Q9NUV9</t>
  </si>
  <si>
    <t>Q9NUY8-2</t>
  </si>
  <si>
    <t>Q9NV70-2</t>
  </si>
  <si>
    <t>Q9NVD7</t>
  </si>
  <si>
    <t>Q9NVE7</t>
  </si>
  <si>
    <t>Q9NVF9</t>
  </si>
  <si>
    <t>Q9NVG8</t>
  </si>
  <si>
    <t>Q9NVH6</t>
  </si>
  <si>
    <t>Q9NVS9</t>
  </si>
  <si>
    <t>Q9NVT9</t>
  </si>
  <si>
    <t>Q9NVX2</t>
  </si>
  <si>
    <t>Q9NVZ3</t>
  </si>
  <si>
    <t>Q9NW64</t>
  </si>
  <si>
    <t>Q9NW68-4</t>
  </si>
  <si>
    <t>Q9NW82</t>
  </si>
  <si>
    <t>Q9NWB6-2</t>
  </si>
  <si>
    <t>Q9NWH9</t>
  </si>
  <si>
    <t>Q9NWT8</t>
  </si>
  <si>
    <t>Q9NWU1</t>
  </si>
  <si>
    <t>Q9NWV4</t>
  </si>
  <si>
    <t>Q9NWW6</t>
  </si>
  <si>
    <t>Q9NWY4</t>
  </si>
  <si>
    <t>Q9NWZ3</t>
  </si>
  <si>
    <t>Q9NX38</t>
  </si>
  <si>
    <t>Q9NX46</t>
  </si>
  <si>
    <t>Q9NX55</t>
  </si>
  <si>
    <t>Q9NXA8</t>
  </si>
  <si>
    <t>Q9NXD2</t>
  </si>
  <si>
    <t>Q9NXG2</t>
  </si>
  <si>
    <t>Q9NXH9-2</t>
  </si>
  <si>
    <t>Q9NXR7-4</t>
  </si>
  <si>
    <t>Q9NXU5</t>
  </si>
  <si>
    <t>Q9NXV6</t>
  </si>
  <si>
    <t>Q9NXW2</t>
  </si>
  <si>
    <t>Q9NY27</t>
  </si>
  <si>
    <t>Q9NY33-4</t>
  </si>
  <si>
    <t>Q9NYF8-2</t>
  </si>
  <si>
    <t>Q9NYJ1</t>
  </si>
  <si>
    <t>Q9NYL2-2</t>
  </si>
  <si>
    <t>Q9NYL2</t>
  </si>
  <si>
    <t>Q9NYL9</t>
  </si>
  <si>
    <t>Q9NYQ3</t>
  </si>
  <si>
    <t>Q9NYU2-2</t>
  </si>
  <si>
    <t>Q9NYY8-2</t>
  </si>
  <si>
    <t>Q9NZ08</t>
  </si>
  <si>
    <t>Q9NZ32</t>
  </si>
  <si>
    <t>Q9NZ63</t>
  </si>
  <si>
    <t>Q9NZB2</t>
  </si>
  <si>
    <t>Q9NZB8-2</t>
  </si>
  <si>
    <t>Q9NZJ6</t>
  </si>
  <si>
    <t>Q9NZJ9</t>
  </si>
  <si>
    <t>Q9NZL4</t>
  </si>
  <si>
    <t>Q9NZL9</t>
  </si>
  <si>
    <t>Q9NZM3-2</t>
  </si>
  <si>
    <t>Q9NZN5-2</t>
  </si>
  <si>
    <t>Q9NZN8-4</t>
  </si>
  <si>
    <t>Q9NZN9-3</t>
  </si>
  <si>
    <t>Q9NZP8</t>
  </si>
  <si>
    <t>Q9NZT2-2</t>
  </si>
  <si>
    <t>Q9NZU5</t>
  </si>
  <si>
    <t>Q9NZZ3</t>
  </si>
  <si>
    <t>Q9P000</t>
  </si>
  <si>
    <t>Q9P013</t>
  </si>
  <si>
    <t>Q9P016</t>
  </si>
  <si>
    <t>Q9P032</t>
  </si>
  <si>
    <t>Q9P0J1</t>
  </si>
  <si>
    <t>Q9P0K7-3</t>
  </si>
  <si>
    <t>Q9P0L0</t>
  </si>
  <si>
    <t>Q9P0P8</t>
  </si>
  <si>
    <t>Q9P0R6</t>
  </si>
  <si>
    <t>Q9P0Z9</t>
  </si>
  <si>
    <t>Q9P1F3</t>
  </si>
  <si>
    <t>Q9P1Y5</t>
  </si>
  <si>
    <t>Q9P1Z2-2</t>
  </si>
  <si>
    <t>Q9P206-2</t>
  </si>
  <si>
    <t>Q9P265</t>
  </si>
  <si>
    <t>Q9P266</t>
  </si>
  <si>
    <t>Q9P270</t>
  </si>
  <si>
    <t>Q9P287</t>
  </si>
  <si>
    <t>Q9P299</t>
  </si>
  <si>
    <t>Q9P2D3-3</t>
  </si>
  <si>
    <t>Q9P2E9-2</t>
  </si>
  <si>
    <t>Q9P2E9</t>
  </si>
  <si>
    <t>Q9P2M7</t>
  </si>
  <si>
    <t>Q9P2N5</t>
  </si>
  <si>
    <t>Q9P2R3</t>
  </si>
  <si>
    <t>Q9P2X3</t>
  </si>
  <si>
    <t>Q9UBB4</t>
  </si>
  <si>
    <t>Q9UBB5</t>
  </si>
  <si>
    <t>Q9UBC2-3</t>
  </si>
  <si>
    <t>Q9UBE0</t>
  </si>
  <si>
    <t>Q9UBF2</t>
  </si>
  <si>
    <t>Q9UBF6</t>
  </si>
  <si>
    <t>Q9UBK8-2</t>
  </si>
  <si>
    <t>Q9UBL3-2</t>
  </si>
  <si>
    <t>Q9UBN7</t>
  </si>
  <si>
    <t>Q9UBP6</t>
  </si>
  <si>
    <t>Q9UBQ0</t>
  </si>
  <si>
    <t>Q9UBQ7</t>
  </si>
  <si>
    <t>Q9UBR1</t>
  </si>
  <si>
    <t>Q9UBR2</t>
  </si>
  <si>
    <t>Q9UBS4</t>
  </si>
  <si>
    <t>Q9UBS8</t>
  </si>
  <si>
    <t>Q9UBT2</t>
  </si>
  <si>
    <t>Q9UBV8</t>
  </si>
  <si>
    <t>Q9UBW8</t>
  </si>
  <si>
    <t>Q9UBX1</t>
  </si>
  <si>
    <t>Q9UDR5</t>
  </si>
  <si>
    <t>Q9UDX3-2</t>
  </si>
  <si>
    <t>Q9UDY2-3</t>
  </si>
  <si>
    <t>Q9UEE9</t>
  </si>
  <si>
    <t>Q9UEU0</t>
  </si>
  <si>
    <t>Q9UEY8-2</t>
  </si>
  <si>
    <t>Q9UFN0</t>
  </si>
  <si>
    <t>Q9UFW8</t>
  </si>
  <si>
    <t>Q9UGC7</t>
  </si>
  <si>
    <t>Q9UGI8</t>
  </si>
  <si>
    <t>Q9UGJ0-3</t>
  </si>
  <si>
    <t>Q9UGP4</t>
  </si>
  <si>
    <t>Q9UH65</t>
  </si>
  <si>
    <t>Q9UHA4</t>
  </si>
  <si>
    <t>Q9UHB6</t>
  </si>
  <si>
    <t>Q9UHB9</t>
  </si>
  <si>
    <t>Q9UHD1</t>
  </si>
  <si>
    <t>Q9UHD8</t>
  </si>
  <si>
    <t>Q9UHD9</t>
  </si>
  <si>
    <t>Q9UHJ6</t>
  </si>
  <si>
    <t>Q9UHL4</t>
  </si>
  <si>
    <t>Q9UHN1</t>
  </si>
  <si>
    <t>Q9UHV9</t>
  </si>
  <si>
    <t>Q9UHX1-4</t>
  </si>
  <si>
    <t>Q9UHY7</t>
  </si>
  <si>
    <t>Q9UI08</t>
  </si>
  <si>
    <t>Q9UI10-3</t>
  </si>
  <si>
    <t>Q9UI10</t>
  </si>
  <si>
    <t>Q9UI12-2</t>
  </si>
  <si>
    <t>Q9UI17</t>
  </si>
  <si>
    <t>Q9UI32</t>
  </si>
  <si>
    <t>Q9UIA9</t>
  </si>
  <si>
    <t>Q9UID3-2</t>
  </si>
  <si>
    <t>Q9UII2</t>
  </si>
  <si>
    <t>Q9UIJ7</t>
  </si>
  <si>
    <t>Q9UIV1-2</t>
  </si>
  <si>
    <t>Q9UIX4</t>
  </si>
  <si>
    <t>Q9UJ41-2</t>
  </si>
  <si>
    <t>Q9UJ68-5</t>
  </si>
  <si>
    <t>Q9UJ70</t>
  </si>
  <si>
    <t>Q9UJA5-2</t>
  </si>
  <si>
    <t>Q9UJC5</t>
  </si>
  <si>
    <t>Q9UJM3</t>
  </si>
  <si>
    <t>Q9UJM8</t>
  </si>
  <si>
    <t>Q9UJU6</t>
  </si>
  <si>
    <t>Q9UJW0</t>
  </si>
  <si>
    <t>Q9UJY5-4</t>
  </si>
  <si>
    <t>Q9UK22</t>
  </si>
  <si>
    <t>Q9UK41</t>
  </si>
  <si>
    <t>Q9UK59</t>
  </si>
  <si>
    <t>Q9UK99-2</t>
  </si>
  <si>
    <t>Q9UKB3-2</t>
  </si>
  <si>
    <t>Q9UKE5-8</t>
  </si>
  <si>
    <t>Q9UKG1</t>
  </si>
  <si>
    <t>Q9UKG9</t>
  </si>
  <si>
    <t>Q9UKJ3</t>
  </si>
  <si>
    <t>Q9UKK9</t>
  </si>
  <si>
    <t>Q9UKL6</t>
  </si>
  <si>
    <t>Q9UKS6</t>
  </si>
  <si>
    <t>Q9UKT5</t>
  </si>
  <si>
    <t>Q9UKU7</t>
  </si>
  <si>
    <t>Q9UKV8</t>
  </si>
  <si>
    <t>Q9UKX7</t>
  </si>
  <si>
    <t>Q9UKY7</t>
  </si>
  <si>
    <t>Q9UL12</t>
  </si>
  <si>
    <t>Q9UL25</t>
  </si>
  <si>
    <t>Q9UL26</t>
  </si>
  <si>
    <t>Q9UL42</t>
  </si>
  <si>
    <t>Q9UL46</t>
  </si>
  <si>
    <t>Q9ULA0</t>
  </si>
  <si>
    <t>Q9ULC4</t>
  </si>
  <si>
    <t>Q9ULC5</t>
  </si>
  <si>
    <t>Q9ULD0</t>
  </si>
  <si>
    <t>Q9ULD2-2</t>
  </si>
  <si>
    <t>Q9ULH7-4</t>
  </si>
  <si>
    <t>Q9ULP9-2</t>
  </si>
  <si>
    <t>Q9ULT8</t>
  </si>
  <si>
    <t>Q9ULV4</t>
  </si>
  <si>
    <t>Q9UM22-2</t>
  </si>
  <si>
    <t>Q9UMR2-2</t>
  </si>
  <si>
    <t>Q9UMS0-3</t>
  </si>
  <si>
    <t>Q9UMS4</t>
  </si>
  <si>
    <t>Q9UMX0-2</t>
  </si>
  <si>
    <t>Q9UMX5</t>
  </si>
  <si>
    <t>Q9UMY4-2</t>
  </si>
  <si>
    <t>Q9UMZ2-6</t>
  </si>
  <si>
    <t>Q9UN36</t>
  </si>
  <si>
    <t>Q9UN86</t>
  </si>
  <si>
    <t>Q9UNE7</t>
  </si>
  <si>
    <t>Q9UNF0-2</t>
  </si>
  <si>
    <t>Q9UNF1</t>
  </si>
  <si>
    <t>Q9UNH7</t>
  </si>
  <si>
    <t>Q9UNM6</t>
  </si>
  <si>
    <t>Q9UNN5</t>
  </si>
  <si>
    <t>Q9UNS2</t>
  </si>
  <si>
    <t>Q9UNZ2</t>
  </si>
  <si>
    <t>Q9UP83</t>
  </si>
  <si>
    <t>Q9UPN6</t>
  </si>
  <si>
    <t>Q9UPN7</t>
  </si>
  <si>
    <t>Q9UPN9-2</t>
  </si>
  <si>
    <t>Q9UPQ9-1</t>
  </si>
  <si>
    <t>Q9UPT5-2</t>
  </si>
  <si>
    <t>Q9UPU5</t>
  </si>
  <si>
    <t>Q9UPU7-2</t>
  </si>
  <si>
    <t>Q9UPY3-2</t>
  </si>
  <si>
    <t>Q9UPY8-2</t>
  </si>
  <si>
    <t>Q9UQ35</t>
  </si>
  <si>
    <t>Q9UQ80</t>
  </si>
  <si>
    <t>Q9UQ88-4</t>
  </si>
  <si>
    <t>Q9UQB8-5</t>
  </si>
  <si>
    <t>Q9UQE7</t>
  </si>
  <si>
    <t>Q9UQN3</t>
  </si>
  <si>
    <t>Q9Y217</t>
  </si>
  <si>
    <t>Q9Y223</t>
  </si>
  <si>
    <t>Q9Y224</t>
  </si>
  <si>
    <t>Q9Y230</t>
  </si>
  <si>
    <t>Q9Y237</t>
  </si>
  <si>
    <t>Q9Y259</t>
  </si>
  <si>
    <t>Q9Y262-2</t>
  </si>
  <si>
    <t>Q9Y263</t>
  </si>
  <si>
    <t>Q9Y265</t>
  </si>
  <si>
    <t>Q9Y266</t>
  </si>
  <si>
    <t>Q9Y281</t>
  </si>
  <si>
    <t>Q9Y295</t>
  </si>
  <si>
    <t>Q9Y2A7</t>
  </si>
  <si>
    <t>Q9Y2B0</t>
  </si>
  <si>
    <t>Q9Y2D4</t>
  </si>
  <si>
    <t>Q9Y2D5-6</t>
  </si>
  <si>
    <t>Q9Y2E4</t>
  </si>
  <si>
    <t>Q9Y2H5</t>
  </si>
  <si>
    <t>Q9Y2I1-4</t>
  </si>
  <si>
    <t>Q9Y2L5-2</t>
  </si>
  <si>
    <t>Q9Y2P5</t>
  </si>
  <si>
    <t>Q9Y2Q3</t>
  </si>
  <si>
    <t>Q9Y2Q5</t>
  </si>
  <si>
    <t>Q9Y2Q9</t>
  </si>
  <si>
    <t>Q9Y2S2</t>
  </si>
  <si>
    <t>Q9Y2S6</t>
  </si>
  <si>
    <t>Q9Y2S7</t>
  </si>
  <si>
    <t>Q9Y2T2</t>
  </si>
  <si>
    <t>Q9Y2T3-3</t>
  </si>
  <si>
    <t>Q9Y2V2</t>
  </si>
  <si>
    <t>Q9Y2V7-2</t>
  </si>
  <si>
    <t>Q9Y2W1</t>
  </si>
  <si>
    <t>Q9Y2Z0</t>
  </si>
  <si>
    <t>Q9Y2Z2-4</t>
  </si>
  <si>
    <t>Q9Y2Z4</t>
  </si>
  <si>
    <t>Q9Y303</t>
  </si>
  <si>
    <t>Q9Y305</t>
  </si>
  <si>
    <t>Q9Y312</t>
  </si>
  <si>
    <t>Q9Y314</t>
  </si>
  <si>
    <t>Q9Y315</t>
  </si>
  <si>
    <t>Q9Y316</t>
  </si>
  <si>
    <t>Q9Y333</t>
  </si>
  <si>
    <t>Q9Y371</t>
  </si>
  <si>
    <t>Q9Y376</t>
  </si>
  <si>
    <t>Q9Y383</t>
  </si>
  <si>
    <t>Q9Y385</t>
  </si>
  <si>
    <t>Q9Y399</t>
  </si>
  <si>
    <t>Q9Y3A5</t>
  </si>
  <si>
    <t>Q9Y3B9</t>
  </si>
  <si>
    <t>Q9Y3C1</t>
  </si>
  <si>
    <t>Q9Y3C4-2</t>
  </si>
  <si>
    <t>Q9Y3C6</t>
  </si>
  <si>
    <t>Q9Y3C8</t>
  </si>
  <si>
    <t>Q9Y3D0</t>
  </si>
  <si>
    <t>Q9Y3D2</t>
  </si>
  <si>
    <t>Q9Y3D3</t>
  </si>
  <si>
    <t>Q9Y3D6</t>
  </si>
  <si>
    <t>Q9Y3E2</t>
  </si>
  <si>
    <t>Q9Y3F4</t>
  </si>
  <si>
    <t>Q9Y3I0</t>
  </si>
  <si>
    <t>Q9Y3I1-3</t>
  </si>
  <si>
    <t>Q9Y3L5</t>
  </si>
  <si>
    <t>Q9Y3P9</t>
  </si>
  <si>
    <t>Q9Y3R5-2</t>
  </si>
  <si>
    <t>Q9Y3S2</t>
  </si>
  <si>
    <t>Q9Y3T9</t>
  </si>
  <si>
    <t>Q9Y3X0</t>
  </si>
  <si>
    <t>Q9Y3Y2-4</t>
  </si>
  <si>
    <t>Q9Y3Z3-4</t>
  </si>
  <si>
    <t>Q9Y446</t>
  </si>
  <si>
    <t>Q9Y478</t>
  </si>
  <si>
    <t>Q9Y490</t>
  </si>
  <si>
    <t>Q9Y4B6-3</t>
  </si>
  <si>
    <t>Q9Y4C2-2</t>
  </si>
  <si>
    <t>Q9Y4E8</t>
  </si>
  <si>
    <t>Q9Y4F1</t>
  </si>
  <si>
    <t>Q9Y4G6</t>
  </si>
  <si>
    <t>Q9Y4H2</t>
  </si>
  <si>
    <t>Q9Y4K1</t>
  </si>
  <si>
    <t>Q9Y4K3</t>
  </si>
  <si>
    <t>Q9Y4P8-3</t>
  </si>
  <si>
    <t>Q9Y4X5</t>
  </si>
  <si>
    <t>Q9Y4Z0</t>
  </si>
  <si>
    <t>Q9Y520-4</t>
  </si>
  <si>
    <t>Q9Y570</t>
  </si>
  <si>
    <t>Q9Y5A7-2</t>
  </si>
  <si>
    <t>Q9Y5A9-2</t>
  </si>
  <si>
    <t>Q9Y5B0</t>
  </si>
  <si>
    <t>Q9Y5J7</t>
  </si>
  <si>
    <t>Q9Y5J9</t>
  </si>
  <si>
    <t>Q9Y5K5-2</t>
  </si>
  <si>
    <t>Q9Y5K6</t>
  </si>
  <si>
    <t>Q9Y5K8</t>
  </si>
  <si>
    <t>Q9Y5L0</t>
  </si>
  <si>
    <t>Q9Y5L4</t>
  </si>
  <si>
    <t>Q9Y5P4-2</t>
  </si>
  <si>
    <t>Q9Y5P6</t>
  </si>
  <si>
    <t>Q9Y5S2</t>
  </si>
  <si>
    <t>Q9Y5S9</t>
  </si>
  <si>
    <t>Q9Y5X1</t>
  </si>
  <si>
    <t>Q9Y5X3</t>
  </si>
  <si>
    <t>Q9Y5Z4</t>
  </si>
  <si>
    <t>Q9Y608-4</t>
  </si>
  <si>
    <t>Q9Y617</t>
  </si>
  <si>
    <t>Q9Y646</t>
  </si>
  <si>
    <t>Q9Y678</t>
  </si>
  <si>
    <t>Q9Y680-3</t>
  </si>
  <si>
    <t>Q9Y696</t>
  </si>
  <si>
    <t>Q9Y697-2</t>
  </si>
  <si>
    <t>Q9Y6D5</t>
  </si>
  <si>
    <t>Q9Y6D6</t>
  </si>
  <si>
    <t>Q9Y6G5</t>
  </si>
  <si>
    <t>Q9Y6G9</t>
  </si>
  <si>
    <t>Q9Y6H1</t>
  </si>
  <si>
    <t>Q9Y6I3-3</t>
  </si>
  <si>
    <t>Q9Y6I9</t>
  </si>
  <si>
    <t>Q9Y6K5</t>
  </si>
  <si>
    <t>Q9Y6K9</t>
  </si>
  <si>
    <t>Q9Y6N5</t>
  </si>
  <si>
    <t>Q9Y6V0-2</t>
  </si>
  <si>
    <t>Q9Y6W3</t>
  </si>
  <si>
    <t>Q9Y6W5</t>
  </si>
  <si>
    <t>Q9Y6X8</t>
  </si>
  <si>
    <t>A1A528</t>
  </si>
  <si>
    <t>A2ABK1</t>
  </si>
  <si>
    <t>A3KFL4</t>
  </si>
  <si>
    <t>A6H8Z3</t>
  </si>
  <si>
    <t>A6NG79</t>
  </si>
  <si>
    <t>A6NGP5</t>
  </si>
  <si>
    <t>A6NHN7</t>
  </si>
  <si>
    <t>A6NIR2</t>
  </si>
  <si>
    <t>A6NML8</t>
  </si>
  <si>
    <t>A8MTY9</t>
  </si>
  <si>
    <t>A8MU28</t>
  </si>
  <si>
    <t>A8MU44</t>
  </si>
  <si>
    <t>A8MUB1</t>
  </si>
  <si>
    <t>A8MV73</t>
  </si>
  <si>
    <t>A8MVQ8</t>
  </si>
  <si>
    <t>A9Z1X7</t>
  </si>
  <si>
    <t>B0UX83</t>
  </si>
  <si>
    <t>B0V0T3</t>
  </si>
  <si>
    <t>B1AK87</t>
  </si>
  <si>
    <t>B1AKG0</t>
  </si>
  <si>
    <t>B1AKL4</t>
  </si>
  <si>
    <t>B1AKN7</t>
  </si>
  <si>
    <t>B1AKZ5</t>
  </si>
  <si>
    <t>B1AL69</t>
  </si>
  <si>
    <t>B1ALY0</t>
  </si>
  <si>
    <t>B1AMX9</t>
  </si>
  <si>
    <t>B1ANH0</t>
  </si>
  <si>
    <t>B3KP49</t>
  </si>
  <si>
    <t>B3KSI9</t>
  </si>
  <si>
    <t>B3KVH8</t>
  </si>
  <si>
    <t>B3KWW1</t>
  </si>
  <si>
    <t>B3KY83</t>
  </si>
  <si>
    <t>B4DDD1</t>
  </si>
  <si>
    <t>B4DDD6</t>
  </si>
  <si>
    <t>B4DDF4</t>
  </si>
  <si>
    <t>B4DDZ0</t>
  </si>
  <si>
    <t>B4DE16</t>
  </si>
  <si>
    <t>B4DFA2</t>
  </si>
  <si>
    <t>B4DFI9</t>
  </si>
  <si>
    <t>B4DFM8</t>
  </si>
  <si>
    <t>B4DFQ4</t>
  </si>
  <si>
    <t>B4DGU4</t>
  </si>
  <si>
    <t>B4DGX2</t>
  </si>
  <si>
    <t>B4DH53</t>
  </si>
  <si>
    <t>B4DHJ7</t>
  </si>
  <si>
    <t>B4DHT5</t>
  </si>
  <si>
    <t>B4DIT7</t>
  </si>
  <si>
    <t>B4DJ85</t>
  </si>
  <si>
    <t>B4DJA5</t>
  </si>
  <si>
    <t>B4DJP7</t>
  </si>
  <si>
    <t>B4DJV2</t>
  </si>
  <si>
    <t>B4DK69</t>
  </si>
  <si>
    <t>B4DK95</t>
  </si>
  <si>
    <t>B4DKJ3</t>
  </si>
  <si>
    <t>B4DKL4</t>
  </si>
  <si>
    <t>B4DL14</t>
  </si>
  <si>
    <t>B4DL54</t>
  </si>
  <si>
    <t>B4DLW8</t>
  </si>
  <si>
    <t>B4DP21</t>
  </si>
  <si>
    <t>B4DP38</t>
  </si>
  <si>
    <t>B4DPM9</t>
  </si>
  <si>
    <t>B4DPR4</t>
  </si>
  <si>
    <t>B4DQ14</t>
  </si>
  <si>
    <t>B4DQA8</t>
  </si>
  <si>
    <t>B4DQJ8</t>
  </si>
  <si>
    <t>B4DR80</t>
  </si>
  <si>
    <t>B4DRL9</t>
  </si>
  <si>
    <t>B4DSN5</t>
  </si>
  <si>
    <t>B4DT77</t>
  </si>
  <si>
    <t>B4DTG6</t>
  </si>
  <si>
    <t>B4DUS9</t>
  </si>
  <si>
    <t>B4DV96</t>
  </si>
  <si>
    <t>B4DVG8</t>
  </si>
  <si>
    <t>B4DVY1</t>
  </si>
  <si>
    <t>B4DWI1</t>
  </si>
  <si>
    <t>B4DWW4</t>
  </si>
  <si>
    <t>B4DXK4</t>
  </si>
  <si>
    <t>B4DXP9</t>
  </si>
  <si>
    <t>B4DXW4</t>
  </si>
  <si>
    <t>B4DZW6</t>
  </si>
  <si>
    <t>B4E072</t>
  </si>
  <si>
    <t>B4E107</t>
  </si>
  <si>
    <t>B4E1Z4</t>
  </si>
  <si>
    <t>B4E241</t>
  </si>
  <si>
    <t>B4E2W0</t>
  </si>
  <si>
    <t>B4E3J8</t>
  </si>
  <si>
    <t>B4E3Q4</t>
  </si>
  <si>
    <t>B5MC59</t>
  </si>
  <si>
    <t>B5MCP9</t>
  </si>
  <si>
    <t>B5MCX3</t>
  </si>
  <si>
    <t>B7Z1L3</t>
  </si>
  <si>
    <t>B7Z1R5</t>
  </si>
  <si>
    <t>B7Z1T4</t>
  </si>
  <si>
    <t>B7Z1W9</t>
  </si>
  <si>
    <t>B7Z242</t>
  </si>
  <si>
    <t>B7Z254</t>
  </si>
  <si>
    <t>B7Z2C3</t>
  </si>
  <si>
    <t>B7Z2R9</t>
  </si>
  <si>
    <t>B7Z2X9</t>
  </si>
  <si>
    <t>B7Z2Y2</t>
  </si>
  <si>
    <t>B7Z341</t>
  </si>
  <si>
    <t>B7Z385</t>
  </si>
  <si>
    <t>B7Z3B9</t>
  </si>
  <si>
    <t>B7Z3I9</t>
  </si>
  <si>
    <t>B7Z493</t>
  </si>
  <si>
    <t>B7Z4K4</t>
  </si>
  <si>
    <t>B7Z4K6</t>
  </si>
  <si>
    <t>B7Z4L4</t>
  </si>
  <si>
    <t>B7Z4M2</t>
  </si>
  <si>
    <t>B7Z583</t>
  </si>
  <si>
    <t>B7Z6B8</t>
  </si>
  <si>
    <t>B7Z6P0</t>
  </si>
  <si>
    <t>B7Z729</t>
  </si>
  <si>
    <t>B7Z7F3</t>
  </si>
  <si>
    <t>B7Z7F9</t>
  </si>
  <si>
    <t>B7Z815</t>
  </si>
  <si>
    <t>B7Z8V7</t>
  </si>
  <si>
    <t>B7Z9K1</t>
  </si>
  <si>
    <t>B8ZZG1</t>
  </si>
  <si>
    <t>B8ZZQ6</t>
  </si>
  <si>
    <t>B8ZZU8</t>
  </si>
  <si>
    <t>C0H5X6</t>
  </si>
  <si>
    <t>C9IZA5</t>
  </si>
  <si>
    <t>C9IZG4</t>
  </si>
  <si>
    <t>C9J050</t>
  </si>
  <si>
    <t>C9J0K6</t>
  </si>
  <si>
    <t>C9J1Z8</t>
  </si>
  <si>
    <t>C9J212</t>
  </si>
  <si>
    <t>C9J5D1</t>
  </si>
  <si>
    <t>C9J5S3</t>
  </si>
  <si>
    <t>C9J9K3</t>
  </si>
  <si>
    <t>C9JAX1</t>
  </si>
  <si>
    <t>C9JB55</t>
  </si>
  <si>
    <t>C9JBI3</t>
  </si>
  <si>
    <t>C9JBJ6</t>
  </si>
  <si>
    <t>C9JBY7</t>
  </si>
  <si>
    <t>C9JCD9</t>
  </si>
  <si>
    <t>C9JDE9</t>
  </si>
  <si>
    <t>C9JEL3</t>
  </si>
  <si>
    <t>C9JFE4</t>
  </si>
  <si>
    <t>C9JG87</t>
  </si>
  <si>
    <t>C9JG97</t>
  </si>
  <si>
    <t>C9JGB2</t>
  </si>
  <si>
    <t>C9JIS1</t>
  </si>
  <si>
    <t>C9JJ54</t>
  </si>
  <si>
    <t>C9JJV1</t>
  </si>
  <si>
    <t>C9JNE2</t>
  </si>
  <si>
    <t>C9JPM4</t>
  </si>
  <si>
    <t>C9JQ41</t>
  </si>
  <si>
    <t>C9JQD4</t>
  </si>
  <si>
    <t>C9JS27</t>
  </si>
  <si>
    <t>C9JV49</t>
  </si>
  <si>
    <t>C9JVE2</t>
  </si>
  <si>
    <t>C9JVN9</t>
  </si>
  <si>
    <t>C9JW69</t>
  </si>
  <si>
    <t>C9JWG0</t>
  </si>
  <si>
    <t>C9JWU7</t>
  </si>
  <si>
    <t>C9JXB8</t>
  </si>
  <si>
    <t>C9JXK0</t>
  </si>
  <si>
    <t>C9JXK9</t>
  </si>
  <si>
    <t>C9JYZ0</t>
  </si>
  <si>
    <t>C9JZP6</t>
  </si>
  <si>
    <t>C9JZY6</t>
  </si>
  <si>
    <t>D3DR31</t>
  </si>
  <si>
    <t>D3YHP0</t>
  </si>
  <si>
    <t>D3YTE0</t>
  </si>
  <si>
    <t>D6R905</t>
  </si>
  <si>
    <t>D6R9C7</t>
  </si>
  <si>
    <t>D6R9P3</t>
  </si>
  <si>
    <t>D6RB81</t>
  </si>
  <si>
    <t>D6RBN5</t>
  </si>
  <si>
    <t>D6RBS9</t>
  </si>
  <si>
    <t>D6RBV0</t>
  </si>
  <si>
    <t>D6RCD0</t>
  </si>
  <si>
    <t>D6RD47</t>
  </si>
  <si>
    <t>D6RD67</t>
  </si>
  <si>
    <t>D6RDG3</t>
  </si>
  <si>
    <t>D6RGI3</t>
  </si>
  <si>
    <t>D6RHI9</t>
  </si>
  <si>
    <t>E2QRD0</t>
  </si>
  <si>
    <t>E2QRD5</t>
  </si>
  <si>
    <t>E5RFZ8</t>
  </si>
  <si>
    <t>E5RGX5</t>
  </si>
  <si>
    <t>E5RHF4</t>
  </si>
  <si>
    <t>E5RHG8</t>
  </si>
  <si>
    <t>E5RHG9</t>
  </si>
  <si>
    <t>E5RIG5</t>
  </si>
  <si>
    <t>E5RJ68</t>
  </si>
  <si>
    <t>E5RJD2</t>
  </si>
  <si>
    <t>E5RJR5</t>
  </si>
  <si>
    <t>E5RJU9</t>
  </si>
  <si>
    <t>E5RK00</t>
  </si>
  <si>
    <t>E7EM64</t>
  </si>
  <si>
    <t>E7EMM2</t>
  </si>
  <si>
    <t>E7EMM4</t>
  </si>
  <si>
    <t>E7EMN2</t>
  </si>
  <si>
    <t>E7EMZ9</t>
  </si>
  <si>
    <t>E7ENN3</t>
  </si>
  <si>
    <t>E7EP00</t>
  </si>
  <si>
    <t>E7EPD0</t>
  </si>
  <si>
    <t>E7EPL4</t>
  </si>
  <si>
    <t>E7EQA9</t>
  </si>
  <si>
    <t>E7EQI7</t>
  </si>
  <si>
    <t>E7EQT4</t>
  </si>
  <si>
    <t>E7ER68</t>
  </si>
  <si>
    <t>E7ERJ0</t>
  </si>
  <si>
    <t>E7ES08</t>
  </si>
  <si>
    <t>E7ET15</t>
  </si>
  <si>
    <t>E7ETA6</t>
  </si>
  <si>
    <t>E7ETZ4</t>
  </si>
  <si>
    <t>E7EU96</t>
  </si>
  <si>
    <t>E7EUG6</t>
  </si>
  <si>
    <t>E7EUN9</t>
  </si>
  <si>
    <t>E7EVD1</t>
  </si>
  <si>
    <t>E7EVJ5</t>
  </si>
  <si>
    <t>E7EW52</t>
  </si>
  <si>
    <t>E7EW69</t>
  </si>
  <si>
    <t>E7EW84</t>
  </si>
  <si>
    <t>E7EX73</t>
  </si>
  <si>
    <t>E7EX83</t>
  </si>
  <si>
    <t>E9PB09</t>
  </si>
  <si>
    <t>E9PB14</t>
  </si>
  <si>
    <t>E9PBL8</t>
  </si>
  <si>
    <t>E9PC74</t>
  </si>
  <si>
    <t>E9PCG9</t>
  </si>
  <si>
    <t>E9PCJ7</t>
  </si>
  <si>
    <t>E9PCY7</t>
  </si>
  <si>
    <t>E9PDQ5</t>
  </si>
  <si>
    <t>E9PDR5</t>
  </si>
  <si>
    <t>E9PEG3</t>
  </si>
  <si>
    <t>E9PEZ3</t>
  </si>
  <si>
    <t>E9PF01</t>
  </si>
  <si>
    <t>E9PFC1</t>
  </si>
  <si>
    <t>E9PFD7</t>
  </si>
  <si>
    <t>E9PFK5</t>
  </si>
  <si>
    <t>E9PFR3</t>
  </si>
  <si>
    <t>E9PG46</t>
  </si>
  <si>
    <t>E9PG73</t>
  </si>
  <si>
    <t>E9PGF5</t>
  </si>
  <si>
    <t>E9PGF9</t>
  </si>
  <si>
    <t>E9PGM7</t>
  </si>
  <si>
    <t>E9PGT1</t>
  </si>
  <si>
    <t>E9PGW7</t>
  </si>
  <si>
    <t>E9PH29</t>
  </si>
  <si>
    <t>E9PHK0</t>
  </si>
  <si>
    <t>E9PHM2</t>
  </si>
  <si>
    <t>E9PHV4</t>
  </si>
  <si>
    <t>E9PHV5</t>
  </si>
  <si>
    <t>E9PHY8</t>
  </si>
  <si>
    <t>E9PIB9</t>
  </si>
  <si>
    <t>E9PIC2</t>
  </si>
  <si>
    <t>E9PIR7</t>
  </si>
  <si>
    <t>E9PJ81</t>
  </si>
  <si>
    <t>E9PJD7</t>
  </si>
  <si>
    <t>E9PJH1</t>
  </si>
  <si>
    <t>E9PK01</t>
  </si>
  <si>
    <t>E9PK26</t>
  </si>
  <si>
    <t>E9PK67</t>
  </si>
  <si>
    <t>E9PKF3</t>
  </si>
  <si>
    <t>E9PKG1</t>
  </si>
  <si>
    <t>E9PKY5</t>
  </si>
  <si>
    <t>E9PL22</t>
  </si>
  <si>
    <t>E9PL57</t>
  </si>
  <si>
    <t>E9PLD2</t>
  </si>
  <si>
    <t>E9PLK3</t>
  </si>
  <si>
    <t>E9PM46</t>
  </si>
  <si>
    <t>E9PMI6</t>
  </si>
  <si>
    <t>E9PMS6</t>
  </si>
  <si>
    <t>E9PN48</t>
  </si>
  <si>
    <t>E9PNK6</t>
  </si>
  <si>
    <t>E9PNU4</t>
  </si>
  <si>
    <t>E9PP36</t>
  </si>
  <si>
    <t>E9PPA0</t>
  </si>
  <si>
    <t>E9PQ61</t>
  </si>
  <si>
    <t>E9PQG4</t>
  </si>
  <si>
    <t>E9PQL2</t>
  </si>
  <si>
    <t>E9PQP7</t>
  </si>
  <si>
    <t>E9PQW4</t>
  </si>
  <si>
    <t>E9PQY3</t>
  </si>
  <si>
    <t>E9PRE7</t>
  </si>
  <si>
    <t>E9PRI4</t>
  </si>
  <si>
    <t>E9PRM4</t>
  </si>
  <si>
    <t>E9PRZ9</t>
  </si>
  <si>
    <t>F2Z2B9</t>
  </si>
  <si>
    <t>F2Z2E1</t>
  </si>
  <si>
    <t>F2Z2V0</t>
  </si>
  <si>
    <t>F2Z2X4</t>
  </si>
  <si>
    <t>F2Z3M0</t>
  </si>
  <si>
    <t>F5GWI4</t>
  </si>
  <si>
    <t>F5GWI9</t>
  </si>
  <si>
    <t>F5GWP8</t>
  </si>
  <si>
    <t>F5GWT4</t>
  </si>
  <si>
    <t>F5GWU7</t>
  </si>
  <si>
    <t>F5GWX5</t>
  </si>
  <si>
    <t>F5GX77</t>
  </si>
  <si>
    <t>F5GXC8</t>
  </si>
  <si>
    <t>F5GY80</t>
  </si>
  <si>
    <t>F5GYC4</t>
  </si>
  <si>
    <t>F5GYJ5</t>
  </si>
  <si>
    <t>F5GYK2</t>
  </si>
  <si>
    <t>F5GYN4</t>
  </si>
  <si>
    <t>F5GZ54</t>
  </si>
  <si>
    <t>F5GZ78</t>
  </si>
  <si>
    <t>F5GZU5</t>
  </si>
  <si>
    <t>F5GZZ9</t>
  </si>
  <si>
    <t>F5H012</t>
  </si>
  <si>
    <t>F5H0B0</t>
  </si>
  <si>
    <t>F5H0L8</t>
  </si>
  <si>
    <t>F5H157</t>
  </si>
  <si>
    <t>F5H1L4</t>
  </si>
  <si>
    <t>F5H1X8</t>
  </si>
  <si>
    <t>F5H1Z6</t>
  </si>
  <si>
    <t>F5H261</t>
  </si>
  <si>
    <t>F5H2B9</t>
  </si>
  <si>
    <t>F5H2Q7</t>
  </si>
  <si>
    <t>F5H345</t>
  </si>
  <si>
    <t>F5H365</t>
  </si>
  <si>
    <t>F5H442</t>
  </si>
  <si>
    <t>F5H4G7</t>
  </si>
  <si>
    <t>F5H4J2</t>
  </si>
  <si>
    <t>F5H5C2</t>
  </si>
  <si>
    <t>F5H5W4</t>
  </si>
  <si>
    <t>F5H604</t>
  </si>
  <si>
    <t>F5H698</t>
  </si>
  <si>
    <t>F5H715</t>
  </si>
  <si>
    <t>F5H721</t>
  </si>
  <si>
    <t>F5H780</t>
  </si>
  <si>
    <t>F5H7D6</t>
  </si>
  <si>
    <t>F5H7F6</t>
  </si>
  <si>
    <t>F5H801</t>
  </si>
  <si>
    <t>F5H897</t>
  </si>
  <si>
    <t>F5H8D7</t>
  </si>
  <si>
    <t>F5H8H2</t>
  </si>
  <si>
    <t>F6RY50</t>
  </si>
  <si>
    <t>F6T1Q0</t>
  </si>
  <si>
    <t>F6TR53</t>
  </si>
  <si>
    <t>F6XY72</t>
  </si>
  <si>
    <t>F8VQP2</t>
  </si>
  <si>
    <t>F8VQR7</t>
  </si>
  <si>
    <t>F8VQX6</t>
  </si>
  <si>
    <t>F8VQY6</t>
  </si>
  <si>
    <t>F8VRR3</t>
  </si>
  <si>
    <t>F8VSC5</t>
  </si>
  <si>
    <t>F8VSL3</t>
  </si>
  <si>
    <t>F8VUA6</t>
  </si>
  <si>
    <t>F8VVL1</t>
  </si>
  <si>
    <t>F8VVM2</t>
  </si>
  <si>
    <t>F8VWA6</t>
  </si>
  <si>
    <t>F8VWH9</t>
  </si>
  <si>
    <t>F8VXY3</t>
  </si>
  <si>
    <t>F8VYH9</t>
  </si>
  <si>
    <t>F8VZJ2</t>
  </si>
  <si>
    <t>F8W038</t>
  </si>
  <si>
    <t>F8W1Q3</t>
  </si>
  <si>
    <t>F8W1R7</t>
  </si>
  <si>
    <t>F8W6K3</t>
  </si>
  <si>
    <t>F8W720</t>
  </si>
  <si>
    <t>F8W785</t>
  </si>
  <si>
    <t>F8W7S5</t>
  </si>
  <si>
    <t>F8W8I6</t>
  </si>
  <si>
    <t>F8W8M4</t>
  </si>
  <si>
    <t>F8W8V8</t>
  </si>
  <si>
    <t>F8W914</t>
  </si>
  <si>
    <t>F8W9S7</t>
  </si>
  <si>
    <t>F8W9X7</t>
  </si>
  <si>
    <t>F8WAS3</t>
  </si>
  <si>
    <t>F8WBM7</t>
  </si>
  <si>
    <t>F8WCM7</t>
  </si>
  <si>
    <t>F8WF49</t>
  </si>
  <si>
    <t>F8WJN3</t>
  </si>
  <si>
    <t>G3V0E8</t>
  </si>
  <si>
    <t>G3V1D4</t>
  </si>
  <si>
    <t>G3V1J5</t>
  </si>
  <si>
    <t>G3V1P3</t>
  </si>
  <si>
    <t>G3V1Q4</t>
  </si>
  <si>
    <t>G3V1Y8</t>
  </si>
  <si>
    <t>G3V2A6</t>
  </si>
  <si>
    <t>G3V2S0</t>
  </si>
  <si>
    <t>G3V2T6</t>
  </si>
  <si>
    <t>G3V357</t>
  </si>
  <si>
    <t>G3V394</t>
  </si>
  <si>
    <t>G3V3D2</t>
  </si>
  <si>
    <t>G3V3G9</t>
  </si>
  <si>
    <t>G3V3R7</t>
  </si>
  <si>
    <t>G3V4J7</t>
  </si>
  <si>
    <t>G3V4P7</t>
  </si>
  <si>
    <t>G3V4W0</t>
  </si>
  <si>
    <t>G3V5T0</t>
  </si>
  <si>
    <t>G3XAA0</t>
  </si>
  <si>
    <t>G3XAH6</t>
  </si>
  <si>
    <t>G3XAM2</t>
  </si>
  <si>
    <t>G5E9W7</t>
  </si>
  <si>
    <t>G5EA37</t>
  </si>
  <si>
    <t>G5EA52</t>
  </si>
  <si>
    <t>G8JL86</t>
  </si>
  <si>
    <t>G8JLB3</t>
  </si>
  <si>
    <t>G8JLC6</t>
  </si>
  <si>
    <t>G8JLI5</t>
  </si>
  <si>
    <t>G8JLL7</t>
  </si>
  <si>
    <t>H0Y300</t>
  </si>
  <si>
    <t>H0Y3A0</t>
  </si>
  <si>
    <t>H0Y3P2</t>
  </si>
  <si>
    <t>H0Y4R1</t>
  </si>
  <si>
    <t>H0Y614</t>
  </si>
  <si>
    <t>H0Y638</t>
  </si>
  <si>
    <t>H0Y6A0</t>
  </si>
  <si>
    <t>H0Y6C3</t>
  </si>
  <si>
    <t>H0Y6I0</t>
  </si>
  <si>
    <t>H0YA52</t>
  </si>
  <si>
    <t>H0YA68</t>
  </si>
  <si>
    <t>H0YBL1</t>
  </si>
  <si>
    <t>H0YBZ4</t>
  </si>
  <si>
    <t>H0YDB2</t>
  </si>
  <si>
    <t>H0YDP7</t>
  </si>
  <si>
    <t>H0YDU8</t>
  </si>
  <si>
    <t>H0YEB6</t>
  </si>
  <si>
    <t>H0YEH2</t>
  </si>
  <si>
    <t>H0YEN5</t>
  </si>
  <si>
    <t>H0YEP5</t>
  </si>
  <si>
    <t>H0YEZ2</t>
  </si>
  <si>
    <t>H0YF83</t>
  </si>
  <si>
    <t>H0YFI1</t>
  </si>
  <si>
    <t>H0YFP3</t>
  </si>
  <si>
    <t>H0YGR4</t>
  </si>
  <si>
    <t>H0YGX7</t>
  </si>
  <si>
    <t>H0YHC3</t>
  </si>
  <si>
    <t>H0YI02</t>
  </si>
  <si>
    <t>H0YIA8</t>
  </si>
  <si>
    <t>H0YIX9</t>
  </si>
  <si>
    <t>H0YKF8</t>
  </si>
  <si>
    <t>H0YL72</t>
  </si>
  <si>
    <t>H0YLA4</t>
  </si>
  <si>
    <t>H0YMB1</t>
  </si>
  <si>
    <t>H0YMB3</t>
  </si>
  <si>
    <t>H0YMD0</t>
  </si>
  <si>
    <t>H0YN26</t>
  </si>
  <si>
    <t>H0YN81</t>
  </si>
  <si>
    <t>H3BLU7</t>
  </si>
  <si>
    <t>H3BM42</t>
  </si>
  <si>
    <t>H3BM67</t>
  </si>
  <si>
    <t>H3BM79</t>
  </si>
  <si>
    <t>H3BMM5</t>
  </si>
  <si>
    <t>H3BNC0</t>
  </si>
  <si>
    <t>H3BNU9</t>
  </si>
  <si>
    <t>H3BNZ8</t>
  </si>
  <si>
    <t>H3BPB8</t>
  </si>
  <si>
    <t>H3BPE1</t>
  </si>
  <si>
    <t>H3BPN3</t>
  </si>
  <si>
    <t>H3BPS8</t>
  </si>
  <si>
    <t>H3BPZ6</t>
  </si>
  <si>
    <t>H3BQV3</t>
  </si>
  <si>
    <t>H3BQZ7</t>
  </si>
  <si>
    <t>H3BRF9</t>
  </si>
  <si>
    <t>H3BRL3</t>
  </si>
  <si>
    <t>H3BRQ0</t>
  </si>
  <si>
    <t>H3BRT1</t>
  </si>
  <si>
    <t>H3BRV0</t>
  </si>
  <si>
    <t>H3BS10</t>
  </si>
  <si>
    <t>H3BSW0</t>
  </si>
  <si>
    <t>H3BTB7</t>
  </si>
  <si>
    <t>H3BTL2</t>
  </si>
  <si>
    <t>H3BTP7</t>
  </si>
  <si>
    <t>H3BU49</t>
  </si>
  <si>
    <t>H3BUL2</t>
  </si>
  <si>
    <t>H7BXP5</t>
  </si>
  <si>
    <t>H7BY36</t>
  </si>
  <si>
    <t>H7BYG8</t>
  </si>
  <si>
    <t>H7BYY1</t>
  </si>
  <si>
    <t>H7BZ00</t>
  </si>
  <si>
    <t>H7BZL0</t>
  </si>
  <si>
    <t>H7C0C0</t>
  </si>
  <si>
    <t>H7C0E5</t>
  </si>
  <si>
    <t>H7C0I1</t>
  </si>
  <si>
    <t>H7C1U3</t>
  </si>
  <si>
    <t>H7C2B1</t>
  </si>
  <si>
    <t>H7C331</t>
  </si>
  <si>
    <t>H7C3G7</t>
  </si>
  <si>
    <t>H7C3P4</t>
  </si>
  <si>
    <t>H7C462</t>
  </si>
  <si>
    <t>H7C485</t>
  </si>
  <si>
    <t>H7C4T5</t>
  </si>
  <si>
    <t>H7C5G1</t>
  </si>
  <si>
    <t>H8Y6P7</t>
  </si>
  <si>
    <t>I3L097</t>
  </si>
  <si>
    <t>I3L0X5</t>
  </si>
  <si>
    <t>I3L1Q3</t>
  </si>
  <si>
    <t>I3L276</t>
  </si>
  <si>
    <t>I3L2B0</t>
  </si>
  <si>
    <t>I3L2J0</t>
  </si>
  <si>
    <t>I3L397</t>
  </si>
  <si>
    <t>I3L3P7</t>
  </si>
  <si>
    <t>I3L3T4</t>
  </si>
  <si>
    <t>I3L4X3</t>
  </si>
  <si>
    <t>J3KMY5</t>
  </si>
  <si>
    <t>J3KN29</t>
  </si>
  <si>
    <t>J3KN75</t>
  </si>
  <si>
    <t>J3KND9</t>
  </si>
  <si>
    <t>J3KNF4</t>
  </si>
  <si>
    <t>J3KNJ2</t>
  </si>
  <si>
    <t>J3KNL6</t>
  </si>
  <si>
    <t>J3KP19</t>
  </si>
  <si>
    <t>J3KP29</t>
  </si>
  <si>
    <t>J3KP36</t>
  </si>
  <si>
    <t>J3KPV7</t>
  </si>
  <si>
    <t>J3KQ72</t>
  </si>
  <si>
    <t>J3KQC3</t>
  </si>
  <si>
    <t>J3KQN6</t>
  </si>
  <si>
    <t>J3KR05</t>
  </si>
  <si>
    <t>J3KSB8</t>
  </si>
  <si>
    <t>J3KSI8</t>
  </si>
  <si>
    <t>J3KSS7</t>
  </si>
  <si>
    <t>J3KSW8</t>
  </si>
  <si>
    <t>J3KT51</t>
  </si>
  <si>
    <t>J3KTF8</t>
  </si>
  <si>
    <t>J3QK84</t>
  </si>
  <si>
    <t>J3QKK8</t>
  </si>
  <si>
    <t>J3QL05</t>
  </si>
  <si>
    <t>J3QL56</t>
  </si>
  <si>
    <t>J3QLE5</t>
  </si>
  <si>
    <t>J3QLI9</t>
  </si>
  <si>
    <t>J3QLV0</t>
  </si>
  <si>
    <t>J3QR09</t>
  </si>
  <si>
    <t>J3QR64</t>
  </si>
  <si>
    <t>J3QRD1</t>
  </si>
  <si>
    <t>J3QRX6</t>
  </si>
  <si>
    <t>J3QSV6</t>
  </si>
  <si>
    <t>J3QT28</t>
  </si>
  <si>
    <t>J3QT87</t>
  </si>
  <si>
    <t>J9JIE9</t>
  </si>
  <si>
    <t>K7EIG1</t>
  </si>
  <si>
    <t>K7EIJ0</t>
  </si>
  <si>
    <t>K7EIU8</t>
  </si>
  <si>
    <t>K7EJ78</t>
  </si>
  <si>
    <t>K7EJB9</t>
  </si>
  <si>
    <t>K7EJG0</t>
  </si>
  <si>
    <t>K7EJL1</t>
  </si>
  <si>
    <t>K7EJU8</t>
  </si>
  <si>
    <t>K7EK07</t>
  </si>
  <si>
    <t>K7EK11</t>
  </si>
  <si>
    <t>K7EKE6</t>
  </si>
  <si>
    <t>K7EKI8</t>
  </si>
  <si>
    <t>K7ELV2</t>
  </si>
  <si>
    <t>K7EMA2</t>
  </si>
  <si>
    <t>K7EME0</t>
  </si>
  <si>
    <t>K7ENR6</t>
  </si>
  <si>
    <t>K7ENT8</t>
  </si>
  <si>
    <t>K7EPS8</t>
  </si>
  <si>
    <t>K7ER15</t>
  </si>
  <si>
    <t>K7ER25</t>
  </si>
  <si>
    <t>K7ERI9</t>
  </si>
  <si>
    <t>K7ES31</t>
  </si>
  <si>
    <t>K7ESE3</t>
  </si>
  <si>
    <t>M0QWZ7</t>
  </si>
  <si>
    <t>M0QX35</t>
  </si>
  <si>
    <t>M0QY97</t>
  </si>
  <si>
    <t>M0R042</t>
  </si>
  <si>
    <t>M0R0F0</t>
  </si>
  <si>
    <t>M0R0I0</t>
  </si>
  <si>
    <t>M0R248</t>
  </si>
  <si>
    <t>M0R259</t>
  </si>
  <si>
    <t>Q2TAM5</t>
  </si>
  <si>
    <t>Q32N00</t>
  </si>
  <si>
    <t>Q3SYB4</t>
  </si>
  <si>
    <t>Q53XA7</t>
  </si>
  <si>
    <t>Q567Q0</t>
  </si>
  <si>
    <t>Q5HY54</t>
  </si>
  <si>
    <t>Q5JP53</t>
  </si>
  <si>
    <t>Q5JR04</t>
  </si>
  <si>
    <t>Q5JR08</t>
  </si>
  <si>
    <t>Q5JSK8</t>
  </si>
  <si>
    <t>Q5JUA8</t>
  </si>
  <si>
    <t>Q5JW30</t>
  </si>
  <si>
    <t>Q5JXX6</t>
  </si>
  <si>
    <t>Q5QNY5</t>
  </si>
  <si>
    <t>Q5QPM0</t>
  </si>
  <si>
    <t>Q5QPM7</t>
  </si>
  <si>
    <t>Q5SSZ3</t>
  </si>
  <si>
    <t>Q5T123</t>
  </si>
  <si>
    <t>Q5T760</t>
  </si>
  <si>
    <t>Q5T985</t>
  </si>
  <si>
    <t>Q5TA02</t>
  </si>
  <si>
    <t>Q5TA58</t>
  </si>
  <si>
    <t>Q5TAQ0</t>
  </si>
  <si>
    <t>Q5TBP5</t>
  </si>
  <si>
    <t>Q5TBU2</t>
  </si>
  <si>
    <t>Q5TCZ7</t>
  </si>
  <si>
    <t>Q5VTU3</t>
  </si>
  <si>
    <t>Q5VTW1</t>
  </si>
  <si>
    <t>Q5VU10</t>
  </si>
  <si>
    <t>Q64EX5</t>
  </si>
  <si>
    <t>Q658Y7</t>
  </si>
  <si>
    <t>Q6ICJ4</t>
  </si>
  <si>
    <t>Q7Z721</t>
  </si>
  <si>
    <t>Q86TV2</t>
  </si>
  <si>
    <t>Q86UY0</t>
  </si>
  <si>
    <t>Q86VQ2</t>
  </si>
  <si>
    <t>Q8IYN9</t>
  </si>
  <si>
    <t>Q8NBY1</t>
  </si>
  <si>
    <t>Q96CG1</t>
  </si>
  <si>
    <t>Q96G53</t>
  </si>
  <si>
    <t>Q9BVB1</t>
  </si>
  <si>
    <t>Q9UQL0</t>
  </si>
  <si>
    <t>R4GMR5</t>
  </si>
  <si>
    <t>R4GMX3</t>
  </si>
  <si>
    <t>R4GN55</t>
  </si>
  <si>
    <t>R4GN98</t>
  </si>
  <si>
    <t>R4GNB2</t>
  </si>
  <si>
    <t>R4GNG2</t>
  </si>
  <si>
    <t>R4GNH3</t>
  </si>
  <si>
    <t>UBA6</t>
  </si>
  <si>
    <t>UHRF1BP1L</t>
  </si>
  <si>
    <t>KIAA1598</t>
  </si>
  <si>
    <t>C1orf226</t>
  </si>
  <si>
    <t>C17orf89</t>
  </si>
  <si>
    <t>MACROD2</t>
  </si>
  <si>
    <t>FUOM</t>
  </si>
  <si>
    <t>ISPD</t>
  </si>
  <si>
    <t>WDR91</t>
  </si>
  <si>
    <t>LCHN</t>
  </si>
  <si>
    <t>CNOT1</t>
  </si>
  <si>
    <t>ASPDH</t>
  </si>
  <si>
    <t>PALM3</t>
  </si>
  <si>
    <t>PGP</t>
  </si>
  <si>
    <t>SOWAHB</t>
  </si>
  <si>
    <t>TUBAL3</t>
  </si>
  <si>
    <t>GLOD5</t>
  </si>
  <si>
    <t>PCP4L1</t>
  </si>
  <si>
    <t>TTC36</t>
  </si>
  <si>
    <t>LYRM9</t>
  </si>
  <si>
    <t>NUDT19</t>
  </si>
  <si>
    <t>ESPN</t>
  </si>
  <si>
    <t>RABGAP1L</t>
  </si>
  <si>
    <t>PPP1R3G</t>
  </si>
  <si>
    <t>WASH3P</t>
  </si>
  <si>
    <t>TK2</t>
  </si>
  <si>
    <t>PDLIM1</t>
  </si>
  <si>
    <t>ACOT7</t>
  </si>
  <si>
    <t>SNAP23</t>
  </si>
  <si>
    <t>AIP</t>
  </si>
  <si>
    <t>GTPBP1</t>
  </si>
  <si>
    <t>PSMD11</t>
  </si>
  <si>
    <t>PSMD12</t>
  </si>
  <si>
    <t>ATOX1</t>
  </si>
  <si>
    <t>SUPT5H</t>
  </si>
  <si>
    <t>DFFA</t>
  </si>
  <si>
    <t>CLIC1</t>
  </si>
  <si>
    <t>EIF3F</t>
  </si>
  <si>
    <t>WASL</t>
  </si>
  <si>
    <t>IPO5</t>
  </si>
  <si>
    <t>DNM1L</t>
  </si>
  <si>
    <t>PIK3R2</t>
  </si>
  <si>
    <t>MANBA</t>
  </si>
  <si>
    <t>EXOC5</t>
  </si>
  <si>
    <t>HMGN4</t>
  </si>
  <si>
    <t>PSMD14</t>
  </si>
  <si>
    <t>BIN1</t>
  </si>
  <si>
    <t>KPNA3</t>
  </si>
  <si>
    <t>LAD1</t>
  </si>
  <si>
    <t>VWA5A</t>
  </si>
  <si>
    <t>NOP56</t>
  </si>
  <si>
    <t>DDX3X</t>
  </si>
  <si>
    <t>PIR</t>
  </si>
  <si>
    <t>KPNA4</t>
  </si>
  <si>
    <t>TRIM38</t>
  </si>
  <si>
    <t>PPP6C</t>
  </si>
  <si>
    <t>CES2</t>
  </si>
  <si>
    <t>MAN2B1</t>
  </si>
  <si>
    <t>FBP2</t>
  </si>
  <si>
    <t>ACACB</t>
  </si>
  <si>
    <t>PDXK</t>
  </si>
  <si>
    <t>ARID1A</t>
  </si>
  <si>
    <t>TRAFD1</t>
  </si>
  <si>
    <t>NDUFAB1</t>
  </si>
  <si>
    <t>COPE</t>
  </si>
  <si>
    <t>MLL2</t>
  </si>
  <si>
    <t>IMPA2</t>
  </si>
  <si>
    <t>ACOT8</t>
  </si>
  <si>
    <t>PDCD5</t>
  </si>
  <si>
    <t>PRMT5</t>
  </si>
  <si>
    <t>SLC9A3R1</t>
  </si>
  <si>
    <t>HSD17B6</t>
  </si>
  <si>
    <t>FPGT</t>
  </si>
  <si>
    <t>TPP1</t>
  </si>
  <si>
    <t>TCERG1</t>
  </si>
  <si>
    <t>TNPO2</t>
  </si>
  <si>
    <t>PSMA7</t>
  </si>
  <si>
    <t>PHYH</t>
  </si>
  <si>
    <t>OPLAH</t>
  </si>
  <si>
    <t>IFIT3</t>
  </si>
  <si>
    <t>IRF6</t>
  </si>
  <si>
    <t>TAX1BP3</t>
  </si>
  <si>
    <t>GIPC1</t>
  </si>
  <si>
    <t>HAT1</t>
  </si>
  <si>
    <t>UBE2L6</t>
  </si>
  <si>
    <t>CASK</t>
  </si>
  <si>
    <t>HGS</t>
  </si>
  <si>
    <t>PPP1R12A</t>
  </si>
  <si>
    <t>SLC27A2</t>
  </si>
  <si>
    <t>HNRPDL</t>
  </si>
  <si>
    <t>XPO1</t>
  </si>
  <si>
    <t>SPTBN2</t>
  </si>
  <si>
    <t>MAST4</t>
  </si>
  <si>
    <t>PFAS</t>
  </si>
  <si>
    <t>ANKRD28</t>
  </si>
  <si>
    <t>ARPC1B</t>
  </si>
  <si>
    <t>ARPC2</t>
  </si>
  <si>
    <t>ARPC3</t>
  </si>
  <si>
    <t>PFDN6</t>
  </si>
  <si>
    <t>GSTA4</t>
  </si>
  <si>
    <t>KMO</t>
  </si>
  <si>
    <t>ACOX3</t>
  </si>
  <si>
    <t>OGT</t>
  </si>
  <si>
    <t>PMM2</t>
  </si>
  <si>
    <t>PPM1G</t>
  </si>
  <si>
    <t>INPPL1</t>
  </si>
  <si>
    <t>EIF3H</t>
  </si>
  <si>
    <t>HDAC3</t>
  </si>
  <si>
    <t>BCAT2</t>
  </si>
  <si>
    <t>IPO8</t>
  </si>
  <si>
    <t>STX7</t>
  </si>
  <si>
    <t>GYG2</t>
  </si>
  <si>
    <t>YKT6</t>
  </si>
  <si>
    <t>ARPC5</t>
  </si>
  <si>
    <t>RNF113A</t>
  </si>
  <si>
    <t>DHX15</t>
  </si>
  <si>
    <t>RNMT</t>
  </si>
  <si>
    <t>ZZEF1</t>
  </si>
  <si>
    <t>PRPF4</t>
  </si>
  <si>
    <t>PHGDH</t>
  </si>
  <si>
    <t>SEPT4</t>
  </si>
  <si>
    <t>DYNC1LI2</t>
  </si>
  <si>
    <t>PSMD3</t>
  </si>
  <si>
    <t>PAPSS1</t>
  </si>
  <si>
    <t>SART1</t>
  </si>
  <si>
    <t>MTSS1</t>
  </si>
  <si>
    <t>PPIP5K2</t>
  </si>
  <si>
    <t>MAP3K7</t>
  </si>
  <si>
    <t>EEF1E1</t>
  </si>
  <si>
    <t>LYRM1</t>
  </si>
  <si>
    <t>HNRNPR</t>
  </si>
  <si>
    <t>TXNL1</t>
  </si>
  <si>
    <t>TPD52L2</t>
  </si>
  <si>
    <t>ERI3</t>
  </si>
  <si>
    <t>EIF4G3</t>
  </si>
  <si>
    <t>HTRA2</t>
  </si>
  <si>
    <t>EPB41L2</t>
  </si>
  <si>
    <t>TGOLN2</t>
  </si>
  <si>
    <t>XPOT</t>
  </si>
  <si>
    <t>DNPH1</t>
  </si>
  <si>
    <t>TIMM44</t>
  </si>
  <si>
    <t>TRAPPC3</t>
  </si>
  <si>
    <t>CHMP2A</t>
  </si>
  <si>
    <t>ZNF207</t>
  </si>
  <si>
    <t>NDUFA2</t>
  </si>
  <si>
    <t>ASNA1</t>
  </si>
  <si>
    <t>SULT1B1</t>
  </si>
  <si>
    <t>ACTN4</t>
  </si>
  <si>
    <t>GSTZ1</t>
  </si>
  <si>
    <t>TRIAP1</t>
  </si>
  <si>
    <t>GATC</t>
  </si>
  <si>
    <t>HTATSF1</t>
  </si>
  <si>
    <t>PRKAB2</t>
  </si>
  <si>
    <t>AP1G1</t>
  </si>
  <si>
    <t>SGTA</t>
  </si>
  <si>
    <t>LIAS</t>
  </si>
  <si>
    <t>ENSA</t>
  </si>
  <si>
    <t>NARS</t>
  </si>
  <si>
    <t>MYO1B</t>
  </si>
  <si>
    <t>SSNA1</t>
  </si>
  <si>
    <t>NUDT21</t>
  </si>
  <si>
    <t>LANCL1</t>
  </si>
  <si>
    <t>STRN</t>
  </si>
  <si>
    <t>HYAL3</t>
  </si>
  <si>
    <t>IDH3B</t>
  </si>
  <si>
    <t>NRD1</t>
  </si>
  <si>
    <t>CALU</t>
  </si>
  <si>
    <t>AHCYL1</t>
  </si>
  <si>
    <t>GAS2</t>
  </si>
  <si>
    <t>RAD21</t>
  </si>
  <si>
    <t>AKR1B10</t>
  </si>
  <si>
    <t>TIMM8A</t>
  </si>
  <si>
    <t>DHX16</t>
  </si>
  <si>
    <t>PLIN1</t>
  </si>
  <si>
    <t>PRPSAP2</t>
  </si>
  <si>
    <t>PARK2</t>
  </si>
  <si>
    <t>SPAG9</t>
  </si>
  <si>
    <t>KDM1A</t>
  </si>
  <si>
    <t>TBC1D4</t>
  </si>
  <si>
    <t>DFNA5</t>
  </si>
  <si>
    <t>SNX3</t>
  </si>
  <si>
    <t>SORBS3</t>
  </si>
  <si>
    <t>SYNCRIP</t>
  </si>
  <si>
    <t>GMDS</t>
  </si>
  <si>
    <t>NMT2</t>
  </si>
  <si>
    <t>SEP15</t>
  </si>
  <si>
    <t>EXOC3</t>
  </si>
  <si>
    <t>PLIN3</t>
  </si>
  <si>
    <t>UGDH</t>
  </si>
  <si>
    <t>CTNND1</t>
  </si>
  <si>
    <t>SNX2</t>
  </si>
  <si>
    <t>USO1</t>
  </si>
  <si>
    <t>CCDC22</t>
  </si>
  <si>
    <t>PQBP1</t>
  </si>
  <si>
    <t>DKC1</t>
  </si>
  <si>
    <t>EIF5B</t>
  </si>
  <si>
    <t>EDF1</t>
  </si>
  <si>
    <t>DNAJA2</t>
  </si>
  <si>
    <t>BRD4</t>
  </si>
  <si>
    <t>PFDN1</t>
  </si>
  <si>
    <t>PPP1R11</t>
  </si>
  <si>
    <t>NBN</t>
  </si>
  <si>
    <t>RNGTT</t>
  </si>
  <si>
    <t>CBFA2T3</t>
  </si>
  <si>
    <t>WDR1</t>
  </si>
  <si>
    <t>N4BP1</t>
  </si>
  <si>
    <t>ROCK2</t>
  </si>
  <si>
    <t>CPNE3</t>
  </si>
  <si>
    <t>HIP1R</t>
  </si>
  <si>
    <t>RNF40</t>
  </si>
  <si>
    <t>CAND2</t>
  </si>
  <si>
    <t>DNAJC13</t>
  </si>
  <si>
    <t>PPP6R2</t>
  </si>
  <si>
    <t>CNOT3</t>
  </si>
  <si>
    <t>SS18L1</t>
  </si>
  <si>
    <t>ATP2C2</t>
  </si>
  <si>
    <t>XYLB</t>
  </si>
  <si>
    <t>COQ9</t>
  </si>
  <si>
    <t>GGCT</t>
  </si>
  <si>
    <t>GBAS</t>
  </si>
  <si>
    <t>PDCD6</t>
  </si>
  <si>
    <t>TBCA</t>
  </si>
  <si>
    <t>ATP6V1G1</t>
  </si>
  <si>
    <t>VPS4B</t>
  </si>
  <si>
    <t>ENTPD5</t>
  </si>
  <si>
    <t>SH3BGRL</t>
  </si>
  <si>
    <t>FLNB</t>
  </si>
  <si>
    <t>NCOR1</t>
  </si>
  <si>
    <t>NDUFS6</t>
  </si>
  <si>
    <t>SEC22B</t>
  </si>
  <si>
    <t>PRPF40A</t>
  </si>
  <si>
    <t>NME6</t>
  </si>
  <si>
    <t>VPS26A</t>
  </si>
  <si>
    <t>PMPCB</t>
  </si>
  <si>
    <t>RDH16</t>
  </si>
  <si>
    <t>PSIP1</t>
  </si>
  <si>
    <t>CLN5</t>
  </si>
  <si>
    <t>ECI2</t>
  </si>
  <si>
    <t>BANF1</t>
  </si>
  <si>
    <t>SF3B1</t>
  </si>
  <si>
    <t>CSDE1</t>
  </si>
  <si>
    <t>MTRF1</t>
  </si>
  <si>
    <t>GCAT</t>
  </si>
  <si>
    <t>LYPLA1</t>
  </si>
  <si>
    <t>CREG1</t>
  </si>
  <si>
    <t>SNRNP200</t>
  </si>
  <si>
    <t>TIPRL</t>
  </si>
  <si>
    <t>PPM1B</t>
  </si>
  <si>
    <t>RP2</t>
  </si>
  <si>
    <t>TCEA3</t>
  </si>
  <si>
    <t>EIF3G</t>
  </si>
  <si>
    <t>EIF3J</t>
  </si>
  <si>
    <t>IDH1</t>
  </si>
  <si>
    <t>RBBP9</t>
  </si>
  <si>
    <t>STAM2</t>
  </si>
  <si>
    <t>ALDH1L1</t>
  </si>
  <si>
    <t>TUSC2</t>
  </si>
  <si>
    <t>BCAS2</t>
  </si>
  <si>
    <t>DCTN3</t>
  </si>
  <si>
    <t>BBOX1</t>
  </si>
  <si>
    <t>DNAJC8</t>
  </si>
  <si>
    <t>SMNDC1</t>
  </si>
  <si>
    <t>MPDZ</t>
  </si>
  <si>
    <t>CPD</t>
  </si>
  <si>
    <t>GLRX3</t>
  </si>
  <si>
    <t>WFS1</t>
  </si>
  <si>
    <t>CLPX</t>
  </si>
  <si>
    <t>SEC14L2</t>
  </si>
  <si>
    <t>CIAO1</t>
  </si>
  <si>
    <t>SRP72</t>
  </si>
  <si>
    <t>DDAH1</t>
  </si>
  <si>
    <t>MTA2</t>
  </si>
  <si>
    <t>ALDH1A2</t>
  </si>
  <si>
    <t>STK10</t>
  </si>
  <si>
    <t>TPPP</t>
  </si>
  <si>
    <t>KBTBD11</t>
  </si>
  <si>
    <t>TOMM70A</t>
  </si>
  <si>
    <t>MICAL2</t>
  </si>
  <si>
    <t>SEC24D</t>
  </si>
  <si>
    <t>UFL1</t>
  </si>
  <si>
    <t>SORBS2</t>
  </si>
  <si>
    <t>FARP2</t>
  </si>
  <si>
    <t>PROSC</t>
  </si>
  <si>
    <t>ABLIM3</t>
  </si>
  <si>
    <t>AP2A2</t>
  </si>
  <si>
    <t>SEC31A</t>
  </si>
  <si>
    <t>HEXIM1</t>
  </si>
  <si>
    <t>AGFG2</t>
  </si>
  <si>
    <t>SCAF4</t>
  </si>
  <si>
    <t>AKR7A3</t>
  </si>
  <si>
    <t>UBE4B</t>
  </si>
  <si>
    <t>IKBKAP</t>
  </si>
  <si>
    <t>LETM1</t>
  </si>
  <si>
    <t>STBD1</t>
  </si>
  <si>
    <t>ZRANB2</t>
  </si>
  <si>
    <t>SNX4</t>
  </si>
  <si>
    <t>LUC7L3</t>
  </si>
  <si>
    <t>KAT7</t>
  </si>
  <si>
    <t>EPM2A</t>
  </si>
  <si>
    <t>VAPB</t>
  </si>
  <si>
    <t>SNAPIN</t>
  </si>
  <si>
    <t>PGLS</t>
  </si>
  <si>
    <t>PAPSS2</t>
  </si>
  <si>
    <t>ATG7</t>
  </si>
  <si>
    <t>FARS2</t>
  </si>
  <si>
    <t>LYPLA2</t>
  </si>
  <si>
    <t>IPO7</t>
  </si>
  <si>
    <t>ARIH2</t>
  </si>
  <si>
    <t>PGM3</t>
  </si>
  <si>
    <t>MOCS3</t>
  </si>
  <si>
    <t>UTS2</t>
  </si>
  <si>
    <t>SVIL</t>
  </si>
  <si>
    <t>BAG4</t>
  </si>
  <si>
    <t>AHSA1</t>
  </si>
  <si>
    <t>PSMG1</t>
  </si>
  <si>
    <t>H6PD</t>
  </si>
  <si>
    <t>SEC24A</t>
  </si>
  <si>
    <t>SEC24B</t>
  </si>
  <si>
    <t>VNN1</t>
  </si>
  <si>
    <t>NADK</t>
  </si>
  <si>
    <t>ETHE1</t>
  </si>
  <si>
    <t>STAMBP</t>
  </si>
  <si>
    <t>ASMTL</t>
  </si>
  <si>
    <t>SNAP29</t>
  </si>
  <si>
    <t>OXSR1</t>
  </si>
  <si>
    <t>HSPA4L</t>
  </si>
  <si>
    <t>NAA38</t>
  </si>
  <si>
    <t>AP2A1</t>
  </si>
  <si>
    <t>SDPR</t>
  </si>
  <si>
    <t>BAG2</t>
  </si>
  <si>
    <t>BAG3</t>
  </si>
  <si>
    <t>MLYCD</t>
  </si>
  <si>
    <t>CRYZL1</t>
  </si>
  <si>
    <t>AIFM1</t>
  </si>
  <si>
    <t>EML2</t>
  </si>
  <si>
    <t>DDAH2</t>
  </si>
  <si>
    <t>TXNDC12</t>
  </si>
  <si>
    <t>FTCD</t>
  </si>
  <si>
    <t>NUDT3</t>
  </si>
  <si>
    <t>MOCS2</t>
  </si>
  <si>
    <t>ADH1B</t>
  </si>
  <si>
    <t>ADH1C</t>
  </si>
  <si>
    <t>LDHA</t>
  </si>
  <si>
    <t>ALDH1A1</t>
  </si>
  <si>
    <t>CYB5R3</t>
  </si>
  <si>
    <t>GSR</t>
  </si>
  <si>
    <t>PAH</t>
  </si>
  <si>
    <t>CP</t>
  </si>
  <si>
    <t>OTC</t>
  </si>
  <si>
    <t>PNP</t>
  </si>
  <si>
    <t>HPRT1</t>
  </si>
  <si>
    <t>GOT2</t>
  </si>
  <si>
    <t>PGK1</t>
  </si>
  <si>
    <t>AK1</t>
  </si>
  <si>
    <t>F2</t>
  </si>
  <si>
    <t>C1R</t>
  </si>
  <si>
    <t>HP</t>
  </si>
  <si>
    <t>F9</t>
  </si>
  <si>
    <t>PLG</t>
  </si>
  <si>
    <t>ASS1</t>
  </si>
  <si>
    <t>SERPINA1</t>
  </si>
  <si>
    <t>SERPINA3</t>
  </si>
  <si>
    <t>AGT</t>
  </si>
  <si>
    <t>A2M</t>
  </si>
  <si>
    <t>C3</t>
  </si>
  <si>
    <t>CST3</t>
  </si>
  <si>
    <t>CSTA</t>
  </si>
  <si>
    <t>KNG1</t>
  </si>
  <si>
    <t>NRAS</t>
  </si>
  <si>
    <t>KRAS</t>
  </si>
  <si>
    <t>IGKC</t>
  </si>
  <si>
    <t>IGHG1</t>
  </si>
  <si>
    <t>IGHG3</t>
  </si>
  <si>
    <t>IGHM</t>
  </si>
  <si>
    <t>IGHA1</t>
  </si>
  <si>
    <t>IGHA2</t>
  </si>
  <si>
    <t>COL4A1</t>
  </si>
  <si>
    <t>KRT14</t>
  </si>
  <si>
    <t>KRT6A</t>
  </si>
  <si>
    <t>LMNA</t>
  </si>
  <si>
    <t>APOA1</t>
  </si>
  <si>
    <t>APOE</t>
  </si>
  <si>
    <t>APOA2</t>
  </si>
  <si>
    <t>APOC3</t>
  </si>
  <si>
    <t>FGA</t>
  </si>
  <si>
    <t>FGB</t>
  </si>
  <si>
    <t>FGG</t>
  </si>
  <si>
    <t>APCS</t>
  </si>
  <si>
    <t>C9</t>
  </si>
  <si>
    <t>APOH</t>
  </si>
  <si>
    <t>LRG1</t>
  </si>
  <si>
    <t>AMBP</t>
  </si>
  <si>
    <t>ORM1</t>
  </si>
  <si>
    <t>AHSG</t>
  </si>
  <si>
    <t>TTR</t>
  </si>
  <si>
    <t>AFP</t>
  </si>
  <si>
    <t>GC</t>
  </si>
  <si>
    <t>HPX</t>
  </si>
  <si>
    <t>FTL</t>
  </si>
  <si>
    <t>FTH1</t>
  </si>
  <si>
    <t>MT2A</t>
  </si>
  <si>
    <t>ANG</t>
  </si>
  <si>
    <t>C4BPA</t>
  </si>
  <si>
    <t>VTN</t>
  </si>
  <si>
    <t>FUCA1</t>
  </si>
  <si>
    <t>CSTB</t>
  </si>
  <si>
    <t>ANXA1</t>
  </si>
  <si>
    <t>APOB</t>
  </si>
  <si>
    <t>NR3C1</t>
  </si>
  <si>
    <t>SOD2</t>
  </si>
  <si>
    <t>OAT</t>
  </si>
  <si>
    <t>HRG</t>
  </si>
  <si>
    <t>A1BG</t>
  </si>
  <si>
    <t>KRT6B</t>
  </si>
  <si>
    <t>KRT1</t>
  </si>
  <si>
    <t>GAPDH</t>
  </si>
  <si>
    <t>ASL</t>
  </si>
  <si>
    <t>CAPNS1</t>
  </si>
  <si>
    <t>MT1A</t>
  </si>
  <si>
    <t>MT1E</t>
  </si>
  <si>
    <t>MT1F</t>
  </si>
  <si>
    <t>HSPB1</t>
  </si>
  <si>
    <t>ATP1A1</t>
  </si>
  <si>
    <t>ALDOB</t>
  </si>
  <si>
    <t>ARG1</t>
  </si>
  <si>
    <t>APOD</t>
  </si>
  <si>
    <t>ALDH2</t>
  </si>
  <si>
    <t>S100A8</t>
  </si>
  <si>
    <t>HMGN1</t>
  </si>
  <si>
    <t>SERPING1</t>
  </si>
  <si>
    <t>ISG15</t>
  </si>
  <si>
    <t>MPO</t>
  </si>
  <si>
    <t>PCCA</t>
  </si>
  <si>
    <t>PCCB</t>
  </si>
  <si>
    <t>CYP2E1</t>
  </si>
  <si>
    <t>ALPL</t>
  </si>
  <si>
    <t>EIF2S1</t>
  </si>
  <si>
    <t>HMGN2</t>
  </si>
  <si>
    <t>RPLP2</t>
  </si>
  <si>
    <t>SSB</t>
  </si>
  <si>
    <t>SERPINA7</t>
  </si>
  <si>
    <t>SERPIND1</t>
  </si>
  <si>
    <t>ITGB1</t>
  </si>
  <si>
    <t>KRT18</t>
  </si>
  <si>
    <t>KRT8</t>
  </si>
  <si>
    <t>MYL1</t>
  </si>
  <si>
    <t>UROD</t>
  </si>
  <si>
    <t>GLA</t>
  </si>
  <si>
    <t>ATP5B</t>
  </si>
  <si>
    <t>C2</t>
  </si>
  <si>
    <t>S100A9</t>
  </si>
  <si>
    <t>APOA4</t>
  </si>
  <si>
    <t>EIF4E</t>
  </si>
  <si>
    <t>ENO1</t>
  </si>
  <si>
    <t>PYGL</t>
  </si>
  <si>
    <t>GPI</t>
  </si>
  <si>
    <t>NPM1</t>
  </si>
  <si>
    <t>TPM3</t>
  </si>
  <si>
    <t>EPHX1</t>
  </si>
  <si>
    <t>DBI</t>
  </si>
  <si>
    <t>FABP1</t>
  </si>
  <si>
    <t>LDHB</t>
  </si>
  <si>
    <t>GPX1</t>
  </si>
  <si>
    <t>P4HB</t>
  </si>
  <si>
    <t>H1F0</t>
  </si>
  <si>
    <t>ACYP1</t>
  </si>
  <si>
    <t>ADH1A</t>
  </si>
  <si>
    <t>C8A</t>
  </si>
  <si>
    <t>CAPN1</t>
  </si>
  <si>
    <t>MT1B</t>
  </si>
  <si>
    <t>PSAP</t>
  </si>
  <si>
    <t>HEXB</t>
  </si>
  <si>
    <t>CTSL1</t>
  </si>
  <si>
    <t>PFN1</t>
  </si>
  <si>
    <t>BPGM</t>
  </si>
  <si>
    <t>APRT</t>
  </si>
  <si>
    <t>EPRS</t>
  </si>
  <si>
    <t>CTSB</t>
  </si>
  <si>
    <t>HSP90AA1</t>
  </si>
  <si>
    <t>GALT</t>
  </si>
  <si>
    <t>YES1</t>
  </si>
  <si>
    <t>FH</t>
  </si>
  <si>
    <t>THBS1</t>
  </si>
  <si>
    <t>HSPA1A</t>
  </si>
  <si>
    <t>ANXA6</t>
  </si>
  <si>
    <t>SERPINA6</t>
  </si>
  <si>
    <t>GUSB</t>
  </si>
  <si>
    <t>HSP90AB1</t>
  </si>
  <si>
    <t>SRPR</t>
  </si>
  <si>
    <t>ADH4</t>
  </si>
  <si>
    <t>LPA</t>
  </si>
  <si>
    <t>PDHA1</t>
  </si>
  <si>
    <t>SNRPB2</t>
  </si>
  <si>
    <t>CFH</t>
  </si>
  <si>
    <t>SNRNP70</t>
  </si>
  <si>
    <t>NFIC</t>
  </si>
  <si>
    <t>VIM</t>
  </si>
  <si>
    <t>SERPINF2</t>
  </si>
  <si>
    <t>KRT19</t>
  </si>
  <si>
    <t>KRT7</t>
  </si>
  <si>
    <t>KRT16</t>
  </si>
  <si>
    <t>ACAA1</t>
  </si>
  <si>
    <t>SRP19</t>
  </si>
  <si>
    <t>GSTA2</t>
  </si>
  <si>
    <t>SNRPC</t>
  </si>
  <si>
    <t>VIL1</t>
  </si>
  <si>
    <t>LGALS1</t>
  </si>
  <si>
    <t>QDPR</t>
  </si>
  <si>
    <t>HMGB1</t>
  </si>
  <si>
    <t>FBP1</t>
  </si>
  <si>
    <t>TPM1</t>
  </si>
  <si>
    <t>CLTA</t>
  </si>
  <si>
    <t>CLTB</t>
  </si>
  <si>
    <t>ANXA4</t>
  </si>
  <si>
    <t>CNP</t>
  </si>
  <si>
    <t>HMOX1</t>
  </si>
  <si>
    <t>DLD</t>
  </si>
  <si>
    <t>HNRNPA1</t>
  </si>
  <si>
    <t>SNRPA1</t>
  </si>
  <si>
    <t>CTSH</t>
  </si>
  <si>
    <t>C1S</t>
  </si>
  <si>
    <t>PARP1</t>
  </si>
  <si>
    <t>IFIT2</t>
  </si>
  <si>
    <t>LTA4H</t>
  </si>
  <si>
    <t>ALDOC</t>
  </si>
  <si>
    <t>NUDT7</t>
  </si>
  <si>
    <t>C4B</t>
  </si>
  <si>
    <t>IGLC2</t>
  </si>
  <si>
    <t>RPS17L</t>
  </si>
  <si>
    <t>SAA1</t>
  </si>
  <si>
    <t>FDX1</t>
  </si>
  <si>
    <t>RNASE2</t>
  </si>
  <si>
    <t>TROVE2</t>
  </si>
  <si>
    <t>GAA</t>
  </si>
  <si>
    <t>ARAF</t>
  </si>
  <si>
    <t>HIST1H1E</t>
  </si>
  <si>
    <t>DLAT</t>
  </si>
  <si>
    <t>PTPRF</t>
  </si>
  <si>
    <t>COX5B</t>
  </si>
  <si>
    <t>CTSA</t>
  </si>
  <si>
    <t>CYP2C8</t>
  </si>
  <si>
    <t>PRKAR1A</t>
  </si>
  <si>
    <t>UROS</t>
  </si>
  <si>
    <t>ESD</t>
  </si>
  <si>
    <t>HSPD1</t>
  </si>
  <si>
    <t>CLU</t>
  </si>
  <si>
    <t>HSPA5</t>
  </si>
  <si>
    <t>LAMC1</t>
  </si>
  <si>
    <t>HSPA8</t>
  </si>
  <si>
    <t>EPB41</t>
  </si>
  <si>
    <t>UMPS</t>
  </si>
  <si>
    <t>PDHB</t>
  </si>
  <si>
    <t>DBT</t>
  </si>
  <si>
    <t>PYGB</t>
  </si>
  <si>
    <t>MBL2</t>
  </si>
  <si>
    <t>NAT2</t>
  </si>
  <si>
    <t>BCR</t>
  </si>
  <si>
    <t>SPTB</t>
  </si>
  <si>
    <t>ACADM</t>
  </si>
  <si>
    <t>G6PD</t>
  </si>
  <si>
    <t>UBL4A</t>
  </si>
  <si>
    <t>PC</t>
  </si>
  <si>
    <t>CYP2A6</t>
  </si>
  <si>
    <t>DMD</t>
  </si>
  <si>
    <t>MTHFD1</t>
  </si>
  <si>
    <t>CYP2C9</t>
  </si>
  <si>
    <t>ADH5</t>
  </si>
  <si>
    <t>PRPS2</t>
  </si>
  <si>
    <t>PABPC1</t>
  </si>
  <si>
    <t>PCNA</t>
  </si>
  <si>
    <t>TPR</t>
  </si>
  <si>
    <t>BCKDHA</t>
  </si>
  <si>
    <t>RNASE3</t>
  </si>
  <si>
    <t>ACTN1</t>
  </si>
  <si>
    <t>PEPD</t>
  </si>
  <si>
    <t>XRCC6</t>
  </si>
  <si>
    <t>XRCC5</t>
  </si>
  <si>
    <t>COX4I1</t>
  </si>
  <si>
    <t>ALAS1</t>
  </si>
  <si>
    <t>IFI30</t>
  </si>
  <si>
    <t>RNH1</t>
  </si>
  <si>
    <t>EEF2</t>
  </si>
  <si>
    <t>MT1G</t>
  </si>
  <si>
    <t>KRT5</t>
  </si>
  <si>
    <t>PDIA4</t>
  </si>
  <si>
    <t>C6</t>
  </si>
  <si>
    <t>P4HA1</t>
  </si>
  <si>
    <t>TPT1</t>
  </si>
  <si>
    <t>LCP1</t>
  </si>
  <si>
    <t>PLS3</t>
  </si>
  <si>
    <t>APEH</t>
  </si>
  <si>
    <t>ETFA</t>
  </si>
  <si>
    <t>PRKAR2A</t>
  </si>
  <si>
    <t>ENO3</t>
  </si>
  <si>
    <t>MIF</t>
  </si>
  <si>
    <t>PRKCSH</t>
  </si>
  <si>
    <t>HCLS1</t>
  </si>
  <si>
    <t>FDPS</t>
  </si>
  <si>
    <t>NID1</t>
  </si>
  <si>
    <t>AKR1A1</t>
  </si>
  <si>
    <t>PKM</t>
  </si>
  <si>
    <t>ACYP2</t>
  </si>
  <si>
    <t>HSP90B1</t>
  </si>
  <si>
    <t>IDE</t>
  </si>
  <si>
    <t>COX6B1</t>
  </si>
  <si>
    <t>HNRNPL</t>
  </si>
  <si>
    <t>DARS</t>
  </si>
  <si>
    <t>DAO</t>
  </si>
  <si>
    <t>JUP</t>
  </si>
  <si>
    <t>GLUL</t>
  </si>
  <si>
    <t>AKR1B1</t>
  </si>
  <si>
    <t>ANPEP</t>
  </si>
  <si>
    <t>GSPT1</t>
  </si>
  <si>
    <t>ARSA</t>
  </si>
  <si>
    <t>EZR</t>
  </si>
  <si>
    <t>UCHL3</t>
  </si>
  <si>
    <t>HPGD</t>
  </si>
  <si>
    <t>CD46</t>
  </si>
  <si>
    <t>NME1</t>
  </si>
  <si>
    <t>PHKG2</t>
  </si>
  <si>
    <t>ARSB</t>
  </si>
  <si>
    <t>DSP</t>
  </si>
  <si>
    <t>RPA2</t>
  </si>
  <si>
    <t>PFKFB1</t>
  </si>
  <si>
    <t>CBR1</t>
  </si>
  <si>
    <t>ACADS</t>
  </si>
  <si>
    <t>GLB1</t>
  </si>
  <si>
    <t>PPP3CB</t>
  </si>
  <si>
    <t>NCK1</t>
  </si>
  <si>
    <t>GCFC2</t>
  </si>
  <si>
    <t>POR</t>
  </si>
  <si>
    <t>MGMT</t>
  </si>
  <si>
    <t>PLCG2</t>
  </si>
  <si>
    <t>FAH</t>
  </si>
  <si>
    <t>STMN1</t>
  </si>
  <si>
    <t>YBX3</t>
  </si>
  <si>
    <t>ZKSCAN1</t>
  </si>
  <si>
    <t>NAGA</t>
  </si>
  <si>
    <t>HSPA6</t>
  </si>
  <si>
    <t>GOT1</t>
  </si>
  <si>
    <t>AKR1C4</t>
  </si>
  <si>
    <t>PRKACA</t>
  </si>
  <si>
    <t>CAPN2</t>
  </si>
  <si>
    <t>TAT</t>
  </si>
  <si>
    <t>CTPS1</t>
  </si>
  <si>
    <t>PFKL</t>
  </si>
  <si>
    <t>GM2A</t>
  </si>
  <si>
    <t>LGALS3</t>
  </si>
  <si>
    <t>TCP1</t>
  </si>
  <si>
    <t>IGFBP2</t>
  </si>
  <si>
    <t>VCL</t>
  </si>
  <si>
    <t>GPX2</t>
  </si>
  <si>
    <t>IL1RN</t>
  </si>
  <si>
    <t>SON</t>
  </si>
  <si>
    <t>RPL17</t>
  </si>
  <si>
    <t>PGAM1</t>
  </si>
  <si>
    <t>ATP5J</t>
  </si>
  <si>
    <t>MYL12A</t>
  </si>
  <si>
    <t>PLCG1</t>
  </si>
  <si>
    <t>NCL</t>
  </si>
  <si>
    <t>POLR2E</t>
  </si>
  <si>
    <t>NDUFV2</t>
  </si>
  <si>
    <t>EIF2AK2</t>
  </si>
  <si>
    <t>SRM</t>
  </si>
  <si>
    <t>ORM2</t>
  </si>
  <si>
    <t>CSNK2A2</t>
  </si>
  <si>
    <t>ITIH1</t>
  </si>
  <si>
    <t>NFKB1</t>
  </si>
  <si>
    <t>TYMP</t>
  </si>
  <si>
    <t>EIF2S2</t>
  </si>
  <si>
    <t>SDS</t>
  </si>
  <si>
    <t>BTF3</t>
  </si>
  <si>
    <t>RAB4A</t>
  </si>
  <si>
    <t>RAB6A</t>
  </si>
  <si>
    <t>MX1</t>
  </si>
  <si>
    <t>PSMB1</t>
  </si>
  <si>
    <t>COX5A</t>
  </si>
  <si>
    <t>LMNB1</t>
  </si>
  <si>
    <t>DDC</t>
  </si>
  <si>
    <t>PZP</t>
  </si>
  <si>
    <t>CAST</t>
  </si>
  <si>
    <t>FLG</t>
  </si>
  <si>
    <t>AGA</t>
  </si>
  <si>
    <t>PTMS</t>
  </si>
  <si>
    <t>GSTM3</t>
  </si>
  <si>
    <t>ATP6V1B2</t>
  </si>
  <si>
    <t>ATP6V1C1</t>
  </si>
  <si>
    <t>CSRP1</t>
  </si>
  <si>
    <t>MAOA</t>
  </si>
  <si>
    <t>ACO1</t>
  </si>
  <si>
    <t>AGXT</t>
  </si>
  <si>
    <t>GPD1</t>
  </si>
  <si>
    <t>SDHB</t>
  </si>
  <si>
    <t>COMT</t>
  </si>
  <si>
    <t>MUT</t>
  </si>
  <si>
    <t>OSBP</t>
  </si>
  <si>
    <t>PCMT1</t>
  </si>
  <si>
    <t>GART</t>
  </si>
  <si>
    <t>PAICS</t>
  </si>
  <si>
    <t>SCP2</t>
  </si>
  <si>
    <t>UBA1</t>
  </si>
  <si>
    <t>NME2</t>
  </si>
  <si>
    <t>FDXR</t>
  </si>
  <si>
    <t>HNRNPA2B1</t>
  </si>
  <si>
    <t>RFX1</t>
  </si>
  <si>
    <t>PRKACB</t>
  </si>
  <si>
    <t>FECH</t>
  </si>
  <si>
    <t>CES1</t>
  </si>
  <si>
    <t>FBLN1</t>
  </si>
  <si>
    <t>TCEA1</t>
  </si>
  <si>
    <t>SFPQ</t>
  </si>
  <si>
    <t>PPIB</t>
  </si>
  <si>
    <t>ME2</t>
  </si>
  <si>
    <t>GLDC</t>
  </si>
  <si>
    <t>WARS</t>
  </si>
  <si>
    <t>RPS3</t>
  </si>
  <si>
    <t>MYF6</t>
  </si>
  <si>
    <t>GCSH</t>
  </si>
  <si>
    <t>SP100</t>
  </si>
  <si>
    <t>MCC</t>
  </si>
  <si>
    <t>AHCY</t>
  </si>
  <si>
    <t>CFL1</t>
  </si>
  <si>
    <t>EIF4B</t>
  </si>
  <si>
    <t>CPT2</t>
  </si>
  <si>
    <t>DTYMK</t>
  </si>
  <si>
    <t>RRM1</t>
  </si>
  <si>
    <t>GPT</t>
  </si>
  <si>
    <t>EEF1B2</t>
  </si>
  <si>
    <t>ACP1</t>
  </si>
  <si>
    <t>ACAT1</t>
  </si>
  <si>
    <t>POLR2A</t>
  </si>
  <si>
    <t>CDK2</t>
  </si>
  <si>
    <t>APC</t>
  </si>
  <si>
    <t>AZGP1</t>
  </si>
  <si>
    <t>RPS12</t>
  </si>
  <si>
    <t>DNAJB1</t>
  </si>
  <si>
    <t>ATP5A1</t>
  </si>
  <si>
    <t>CTSS</t>
  </si>
  <si>
    <t>PSMA1</t>
  </si>
  <si>
    <t>PSMA2</t>
  </si>
  <si>
    <t>PSMA3</t>
  </si>
  <si>
    <t>PSMA4</t>
  </si>
  <si>
    <t>MSN</t>
  </si>
  <si>
    <t>DDX6</t>
  </si>
  <si>
    <t>DNMT1</t>
  </si>
  <si>
    <t>U2AF2</t>
  </si>
  <si>
    <t>RPL13</t>
  </si>
  <si>
    <t>IVD</t>
  </si>
  <si>
    <t>S100A4</t>
  </si>
  <si>
    <t>HMGB2</t>
  </si>
  <si>
    <t>PTBP1</t>
  </si>
  <si>
    <t>TARS</t>
  </si>
  <si>
    <t>VARS</t>
  </si>
  <si>
    <t>EEF1G</t>
  </si>
  <si>
    <t>FKBP2</t>
  </si>
  <si>
    <t>AK4</t>
  </si>
  <si>
    <t>YWHAQ</t>
  </si>
  <si>
    <t>DPP4</t>
  </si>
  <si>
    <t>RPA1</t>
  </si>
  <si>
    <t>APEX1</t>
  </si>
  <si>
    <t>CALR</t>
  </si>
  <si>
    <t>MAP4</t>
  </si>
  <si>
    <t>PIK3R1</t>
  </si>
  <si>
    <t>PSMB8</t>
  </si>
  <si>
    <t>PSMA5</t>
  </si>
  <si>
    <t>PSMB4</t>
  </si>
  <si>
    <t>PSMB6</t>
  </si>
  <si>
    <t>PSMB5</t>
  </si>
  <si>
    <t>TMOD1</t>
  </si>
  <si>
    <t>ACADL</t>
  </si>
  <si>
    <t>NDUFS1</t>
  </si>
  <si>
    <t>ADH6</t>
  </si>
  <si>
    <t>POLD1</t>
  </si>
  <si>
    <t>MAPK1</t>
  </si>
  <si>
    <t>GRN</t>
  </si>
  <si>
    <t>LAP3</t>
  </si>
  <si>
    <t>GTF2E1</t>
  </si>
  <si>
    <t>TPP2</t>
  </si>
  <si>
    <t>PTPN6</t>
  </si>
  <si>
    <t>SHC1</t>
  </si>
  <si>
    <t>TKT</t>
  </si>
  <si>
    <t>PML</t>
  </si>
  <si>
    <t>MARCKS</t>
  </si>
  <si>
    <t>ALDH4A1</t>
  </si>
  <si>
    <t>PBLD</t>
  </si>
  <si>
    <t>ERP29</t>
  </si>
  <si>
    <t>PRDX6</t>
  </si>
  <si>
    <t>C21orf33</t>
  </si>
  <si>
    <t>BLVRB</t>
  </si>
  <si>
    <t>PRDX5</t>
  </si>
  <si>
    <t>DDT</t>
  </si>
  <si>
    <t>GCHFR</t>
  </si>
  <si>
    <t>ATP5D</t>
  </si>
  <si>
    <t>RPL12</t>
  </si>
  <si>
    <t>ECHS1</t>
  </si>
  <si>
    <t>CMPK1</t>
  </si>
  <si>
    <t>PEBP1</t>
  </si>
  <si>
    <t>PPP2R1A</t>
  </si>
  <si>
    <t>PPP2R1B</t>
  </si>
  <si>
    <t>PPIF</t>
  </si>
  <si>
    <t>NKTR</t>
  </si>
  <si>
    <t>NMT1</t>
  </si>
  <si>
    <t>ADSS</t>
  </si>
  <si>
    <t>LRPAP1</t>
  </si>
  <si>
    <t>ADSL</t>
  </si>
  <si>
    <t>PKLR</t>
  </si>
  <si>
    <t>CLIP1</t>
  </si>
  <si>
    <t>GSTT1</t>
  </si>
  <si>
    <t>SERPINB1</t>
  </si>
  <si>
    <t>GCH1</t>
  </si>
  <si>
    <t>ALDH1B1</t>
  </si>
  <si>
    <t>SDHA</t>
  </si>
  <si>
    <t>CORO1A</t>
  </si>
  <si>
    <t>GDI1</t>
  </si>
  <si>
    <t>MAT2A</t>
  </si>
  <si>
    <t>PRKAR1B</t>
  </si>
  <si>
    <t>CPS1</t>
  </si>
  <si>
    <t>DNAJA1</t>
  </si>
  <si>
    <t>AKT1</t>
  </si>
  <si>
    <t>AKT2</t>
  </si>
  <si>
    <t>UQCRC1</t>
  </si>
  <si>
    <t>HIBADH</t>
  </si>
  <si>
    <t>ATIC</t>
  </si>
  <si>
    <t>HNRNPH3</t>
  </si>
  <si>
    <t>CASP14</t>
  </si>
  <si>
    <t>YWHAB</t>
  </si>
  <si>
    <t>SFN</t>
  </si>
  <si>
    <t>STIP1</t>
  </si>
  <si>
    <t>S100A11</t>
  </si>
  <si>
    <t>PRDX2</t>
  </si>
  <si>
    <t>GK</t>
  </si>
  <si>
    <t>CDA</t>
  </si>
  <si>
    <t>DCTD</t>
  </si>
  <si>
    <t>GBP1</t>
  </si>
  <si>
    <t>GBP2</t>
  </si>
  <si>
    <t>ELF1</t>
  </si>
  <si>
    <t>HPD</t>
  </si>
  <si>
    <t>CTH</t>
  </si>
  <si>
    <t>ACSL1</t>
  </si>
  <si>
    <t>KIF5B</t>
  </si>
  <si>
    <t>CSTF2</t>
  </si>
  <si>
    <t>LSP1</t>
  </si>
  <si>
    <t>DUT</t>
  </si>
  <si>
    <t>MCM4</t>
  </si>
  <si>
    <t>MCM5</t>
  </si>
  <si>
    <t>MCM7</t>
  </si>
  <si>
    <t>GALNS</t>
  </si>
  <si>
    <t>RNASE4</t>
  </si>
  <si>
    <t>SHMT1</t>
  </si>
  <si>
    <t>SHMT2</t>
  </si>
  <si>
    <t>EPHX2</t>
  </si>
  <si>
    <t>HSPA4</t>
  </si>
  <si>
    <t>PRSS3</t>
  </si>
  <si>
    <t>CA5A</t>
  </si>
  <si>
    <t>CTNNA1</t>
  </si>
  <si>
    <t>SERPINB6</t>
  </si>
  <si>
    <t>RDX</t>
  </si>
  <si>
    <t>RFC1</t>
  </si>
  <si>
    <t>RPL22</t>
  </si>
  <si>
    <t>SPR</t>
  </si>
  <si>
    <t>CBS</t>
  </si>
  <si>
    <t>PCK1</t>
  </si>
  <si>
    <t>IRS1</t>
  </si>
  <si>
    <t>AGL</t>
  </si>
  <si>
    <t>MYH9</t>
  </si>
  <si>
    <t>MYH10</t>
  </si>
  <si>
    <t>COPB2</t>
  </si>
  <si>
    <t>ADD1</t>
  </si>
  <si>
    <t>FUS</t>
  </si>
  <si>
    <t>NUP214</t>
  </si>
  <si>
    <t>DEK</t>
  </si>
  <si>
    <t>GLRX</t>
  </si>
  <si>
    <t>PPM1A</t>
  </si>
  <si>
    <t>IGFALS</t>
  </si>
  <si>
    <t>HMGCL</t>
  </si>
  <si>
    <t>PSMC2</t>
  </si>
  <si>
    <t>ARL3</t>
  </si>
  <si>
    <t>MAP2K2</t>
  </si>
  <si>
    <t>ATP6V1E1</t>
  </si>
  <si>
    <t>CPOX</t>
  </si>
  <si>
    <t>PGM1</t>
  </si>
  <si>
    <t>PPP1CC</t>
  </si>
  <si>
    <t>GNL1</t>
  </si>
  <si>
    <t>SERPINF1</t>
  </si>
  <si>
    <t>DLST</t>
  </si>
  <si>
    <t>GMPR</t>
  </si>
  <si>
    <t>GPX4</t>
  </si>
  <si>
    <t>CFHR2</t>
  </si>
  <si>
    <t>SRP14</t>
  </si>
  <si>
    <t>NUP62</t>
  </si>
  <si>
    <t>HPCAL1</t>
  </si>
  <si>
    <t>TAGLN2</t>
  </si>
  <si>
    <t>TALDO1</t>
  </si>
  <si>
    <t>ETFB</t>
  </si>
  <si>
    <t>RBMX</t>
  </si>
  <si>
    <t>COIL</t>
  </si>
  <si>
    <t>ITGAE</t>
  </si>
  <si>
    <t>HSPA9</t>
  </si>
  <si>
    <t>EIF4A3</t>
  </si>
  <si>
    <t>RPS19</t>
  </si>
  <si>
    <t>COL18A1</t>
  </si>
  <si>
    <t>FEN1</t>
  </si>
  <si>
    <t>TXLNA</t>
  </si>
  <si>
    <t>CCT6A</t>
  </si>
  <si>
    <t>NNMT</t>
  </si>
  <si>
    <t>PSMB10</t>
  </si>
  <si>
    <t>ADH7</t>
  </si>
  <si>
    <t>STAT3</t>
  </si>
  <si>
    <t>USP8</t>
  </si>
  <si>
    <t>MDH1</t>
  </si>
  <si>
    <t>MDH2</t>
  </si>
  <si>
    <t>HADHA</t>
  </si>
  <si>
    <t>EIF2S3</t>
  </si>
  <si>
    <t>CETN2</t>
  </si>
  <si>
    <t>UBA7</t>
  </si>
  <si>
    <t>NAA10</t>
  </si>
  <si>
    <t>PPP1R2</t>
  </si>
  <si>
    <t>CSK</t>
  </si>
  <si>
    <t>GARS</t>
  </si>
  <si>
    <t>IARS</t>
  </si>
  <si>
    <t>EIF1</t>
  </si>
  <si>
    <t>PRKCI</t>
  </si>
  <si>
    <t>ACTR1B</t>
  </si>
  <si>
    <t>ECI1</t>
  </si>
  <si>
    <t>TMPO</t>
  </si>
  <si>
    <t>STAT1</t>
  </si>
  <si>
    <t>STAT6</t>
  </si>
  <si>
    <t>SKIV2L2</t>
  </si>
  <si>
    <t>AKR1C3</t>
  </si>
  <si>
    <t>PIK3CA</t>
  </si>
  <si>
    <t>PIK3CB</t>
  </si>
  <si>
    <t>MTOR</t>
  </si>
  <si>
    <t>HAL</t>
  </si>
  <si>
    <t>EPS15</t>
  </si>
  <si>
    <t>CASP3</t>
  </si>
  <si>
    <t>LRPPRC</t>
  </si>
  <si>
    <t>ACAA2</t>
  </si>
  <si>
    <t>CDKN2C</t>
  </si>
  <si>
    <t>PRCP</t>
  </si>
  <si>
    <t>HTT</t>
  </si>
  <si>
    <t>PAFAH1B1</t>
  </si>
  <si>
    <t>CRAT</t>
  </si>
  <si>
    <t>MATR3</t>
  </si>
  <si>
    <t>MSH2</t>
  </si>
  <si>
    <t>RANBP1</t>
  </si>
  <si>
    <t>NAMPT</t>
  </si>
  <si>
    <t>AFM</t>
  </si>
  <si>
    <t>PSMC4</t>
  </si>
  <si>
    <t>TSFM</t>
  </si>
  <si>
    <t>ASPA</t>
  </si>
  <si>
    <t>ACADSB</t>
  </si>
  <si>
    <t>USP5</t>
  </si>
  <si>
    <t>MAPK9</t>
  </si>
  <si>
    <t>MAP2K4</t>
  </si>
  <si>
    <t>MKI67</t>
  </si>
  <si>
    <t>PHKA2</t>
  </si>
  <si>
    <t>RANGAP1</t>
  </si>
  <si>
    <t>RECQL</t>
  </si>
  <si>
    <t>NOP2</t>
  </si>
  <si>
    <t>ATRX</t>
  </si>
  <si>
    <t>CRK</t>
  </si>
  <si>
    <t>CRKL</t>
  </si>
  <si>
    <t>MTIF2</t>
  </si>
  <si>
    <t>CDKN1B</t>
  </si>
  <si>
    <t>BRCC3</t>
  </si>
  <si>
    <t>RPL5</t>
  </si>
  <si>
    <t>RPS9</t>
  </si>
  <si>
    <t>RPS10</t>
  </si>
  <si>
    <t>GNPDA1</t>
  </si>
  <si>
    <t>NEDD4</t>
  </si>
  <si>
    <t>YAP1</t>
  </si>
  <si>
    <t>UTRN</t>
  </si>
  <si>
    <t>IQGAP1</t>
  </si>
  <si>
    <t>HAAO</t>
  </si>
  <si>
    <t>GYG1</t>
  </si>
  <si>
    <t>RABIF</t>
  </si>
  <si>
    <t>CAPZA2</t>
  </si>
  <si>
    <t>EIF1AX</t>
  </si>
  <si>
    <t>QARS</t>
  </si>
  <si>
    <t>UQCRFS1</t>
  </si>
  <si>
    <t>XDH</t>
  </si>
  <si>
    <t>LIMS1</t>
  </si>
  <si>
    <t>PREP</t>
  </si>
  <si>
    <t>ME1</t>
  </si>
  <si>
    <t>IREB2</t>
  </si>
  <si>
    <t>ARCN1</t>
  </si>
  <si>
    <t>LSS</t>
  </si>
  <si>
    <t>GCLC</t>
  </si>
  <si>
    <t>GCLM</t>
  </si>
  <si>
    <t>TRAPPC10</t>
  </si>
  <si>
    <t>PRRC2A</t>
  </si>
  <si>
    <t>GSS</t>
  </si>
  <si>
    <t>CCT5</t>
  </si>
  <si>
    <t>KRT6C</t>
  </si>
  <si>
    <t>AMT</t>
  </si>
  <si>
    <t>IDH2</t>
  </si>
  <si>
    <t>PITPNB</t>
  </si>
  <si>
    <t>MARCKSL1</t>
  </si>
  <si>
    <t>MAPKAPK2</t>
  </si>
  <si>
    <t>ALDH9A1</t>
  </si>
  <si>
    <t>RPIA</t>
  </si>
  <si>
    <t>NASP</t>
  </si>
  <si>
    <t>FMO5</t>
  </si>
  <si>
    <t>FASN</t>
  </si>
  <si>
    <t>FNTA</t>
  </si>
  <si>
    <t>DHPS</t>
  </si>
  <si>
    <t>CCT3</t>
  </si>
  <si>
    <t>ARRB1</t>
  </si>
  <si>
    <t>TUFM</t>
  </si>
  <si>
    <t>ALDH7A1</t>
  </si>
  <si>
    <t>CDC34</t>
  </si>
  <si>
    <t>INPP1</t>
  </si>
  <si>
    <t>GLUD2</t>
  </si>
  <si>
    <t>SRP9</t>
  </si>
  <si>
    <t>UBE2A</t>
  </si>
  <si>
    <t>AARS</t>
  </si>
  <si>
    <t>CARS</t>
  </si>
  <si>
    <t>SARS</t>
  </si>
  <si>
    <t>TTPA</t>
  </si>
  <si>
    <t>CASP4</t>
  </si>
  <si>
    <t>CTCF</t>
  </si>
  <si>
    <t>PSMB3</t>
  </si>
  <si>
    <t>PSMB2</t>
  </si>
  <si>
    <t>MCM2</t>
  </si>
  <si>
    <t>ACADVL</t>
  </si>
  <si>
    <t>YLPM1</t>
  </si>
  <si>
    <t>RBM25</t>
  </si>
  <si>
    <t>NUMB</t>
  </si>
  <si>
    <t>EIF2B2</t>
  </si>
  <si>
    <t>HINT1</t>
  </si>
  <si>
    <t>FHIT</t>
  </si>
  <si>
    <t>NUP153</t>
  </si>
  <si>
    <t>RANBP2</t>
  </si>
  <si>
    <t>NDUFV1</t>
  </si>
  <si>
    <t>GSK3A</t>
  </si>
  <si>
    <t>SULT1E1</t>
  </si>
  <si>
    <t>NT5C2</t>
  </si>
  <si>
    <t>SEPHS1</t>
  </si>
  <si>
    <t>MTHFS</t>
  </si>
  <si>
    <t>MRE11A</t>
  </si>
  <si>
    <t>KHK</t>
  </si>
  <si>
    <t>HNMT</t>
  </si>
  <si>
    <t>SULT1A1</t>
  </si>
  <si>
    <t>SULT1A2</t>
  </si>
  <si>
    <t>GDI2</t>
  </si>
  <si>
    <t>EMD</t>
  </si>
  <si>
    <t>GATM</t>
  </si>
  <si>
    <t>SERPINB8</t>
  </si>
  <si>
    <t>SERPINB9</t>
  </si>
  <si>
    <t>SERPINH1</t>
  </si>
  <si>
    <t>ST13</t>
  </si>
  <si>
    <t>PEX5</t>
  </si>
  <si>
    <t>VASP</t>
  </si>
  <si>
    <t>DNM2</t>
  </si>
  <si>
    <t>NUDT2</t>
  </si>
  <si>
    <t>HLCS</t>
  </si>
  <si>
    <t>CDK9</t>
  </si>
  <si>
    <t>PPT1</t>
  </si>
  <si>
    <t>CCT8</t>
  </si>
  <si>
    <t>CCT4</t>
  </si>
  <si>
    <t>FXR1</t>
  </si>
  <si>
    <t>FXR2</t>
  </si>
  <si>
    <t>RAB5C</t>
  </si>
  <si>
    <t>RAB7A</t>
  </si>
  <si>
    <t>RAB13</t>
  </si>
  <si>
    <t>PLCD1</t>
  </si>
  <si>
    <t>DAP3</t>
  </si>
  <si>
    <t>DUSP3</t>
  </si>
  <si>
    <t>IDH3G</t>
  </si>
  <si>
    <t>GALK1</t>
  </si>
  <si>
    <t>BCAP31</t>
  </si>
  <si>
    <t>TPMT</t>
  </si>
  <si>
    <t>MECP2</t>
  </si>
  <si>
    <t>HCFC1</t>
  </si>
  <si>
    <t>ALDH5A1</t>
  </si>
  <si>
    <t>HSD17B4</t>
  </si>
  <si>
    <t>PSMD7</t>
  </si>
  <si>
    <t>SUOX</t>
  </si>
  <si>
    <t>SGSH</t>
  </si>
  <si>
    <t>STAT5B</t>
  </si>
  <si>
    <t>AKR1D1</t>
  </si>
  <si>
    <t>HDGF</t>
  </si>
  <si>
    <t>HNRNPA3</t>
  </si>
  <si>
    <t>HNRNPM</t>
  </si>
  <si>
    <t>KPNA2</t>
  </si>
  <si>
    <t>KPNA1</t>
  </si>
  <si>
    <t>RAP1GDS1</t>
  </si>
  <si>
    <t>AGFG1</t>
  </si>
  <si>
    <t>HNRNPF</t>
  </si>
  <si>
    <t>STAT2</t>
  </si>
  <si>
    <t>KIF11</t>
  </si>
  <si>
    <t>VAV2</t>
  </si>
  <si>
    <t>HRSP12</t>
  </si>
  <si>
    <t>SMS</t>
  </si>
  <si>
    <t>HK3</t>
  </si>
  <si>
    <t>MRPL12</t>
  </si>
  <si>
    <t>THOP1</t>
  </si>
  <si>
    <t>CAPZA1</t>
  </si>
  <si>
    <t>CRIP2</t>
  </si>
  <si>
    <t>BLVRA</t>
  </si>
  <si>
    <t>ARFIP1</t>
  </si>
  <si>
    <t>NUDT6</t>
  </si>
  <si>
    <t>NUBP1</t>
  </si>
  <si>
    <t>ACLY</t>
  </si>
  <si>
    <t>SUCLG1</t>
  </si>
  <si>
    <t>MVD</t>
  </si>
  <si>
    <t>PGGT1B</t>
  </si>
  <si>
    <t>RABGGTB</t>
  </si>
  <si>
    <t>COPB1</t>
  </si>
  <si>
    <t>COPA</t>
  </si>
  <si>
    <t>CTSC</t>
  </si>
  <si>
    <t>CLTCL1</t>
  </si>
  <si>
    <t>AP2S1</t>
  </si>
  <si>
    <t>IST1</t>
  </si>
  <si>
    <t>SUB1</t>
  </si>
  <si>
    <t>POLG</t>
  </si>
  <si>
    <t>RARS</t>
  </si>
  <si>
    <t>YARS</t>
  </si>
  <si>
    <t>USP14</t>
  </si>
  <si>
    <t>PRKAG1</t>
  </si>
  <si>
    <t>RAD23B</t>
  </si>
  <si>
    <t>NAGLU</t>
  </si>
  <si>
    <t>AK2</t>
  </si>
  <si>
    <t>GYS2</t>
  </si>
  <si>
    <t>HMGCS2</t>
  </si>
  <si>
    <t>ALDH18A1</t>
  </si>
  <si>
    <t>NAPA</t>
  </si>
  <si>
    <t>AIF1</t>
  </si>
  <si>
    <t>EIF5</t>
  </si>
  <si>
    <t>PSMD4</t>
  </si>
  <si>
    <t>DRG2</t>
  </si>
  <si>
    <t>CSE1L</t>
  </si>
  <si>
    <t>VCP</t>
  </si>
  <si>
    <t>MFAP1</t>
  </si>
  <si>
    <t>MANF</t>
  </si>
  <si>
    <t>MTTP</t>
  </si>
  <si>
    <t>MLLT4</t>
  </si>
  <si>
    <t>CASP7</t>
  </si>
  <si>
    <t>CASP6</t>
  </si>
  <si>
    <t>ADK</t>
  </si>
  <si>
    <t>ADAR</t>
  </si>
  <si>
    <t>LAMB2</t>
  </si>
  <si>
    <t>SEC13</t>
  </si>
  <si>
    <t>NHP2L1</t>
  </si>
  <si>
    <t>HNRNPH2</t>
  </si>
  <si>
    <t>SUMO3</t>
  </si>
  <si>
    <t>EIF3B</t>
  </si>
  <si>
    <t>NDUFV3</t>
  </si>
  <si>
    <t>MARS</t>
  </si>
  <si>
    <t>ARPP19</t>
  </si>
  <si>
    <t>CMC4</t>
  </si>
  <si>
    <t>LGALS4</t>
  </si>
  <si>
    <t>EIF6</t>
  </si>
  <si>
    <t>SYNJ2BP</t>
  </si>
  <si>
    <t>NUP107</t>
  </si>
  <si>
    <t>GSDMD</t>
  </si>
  <si>
    <t>EEFSEC</t>
  </si>
  <si>
    <t>MTPN</t>
  </si>
  <si>
    <t>DEFA3</t>
  </si>
  <si>
    <t>ARPC4</t>
  </si>
  <si>
    <t>TPI1</t>
  </si>
  <si>
    <t>EIF3E</t>
  </si>
  <si>
    <t>SEC61B</t>
  </si>
  <si>
    <t>PPP4C</t>
  </si>
  <si>
    <t>EIF4A1</t>
  </si>
  <si>
    <t>RPS20</t>
  </si>
  <si>
    <t>PRPS1</t>
  </si>
  <si>
    <t>PSMA6</t>
  </si>
  <si>
    <t>CDC42</t>
  </si>
  <si>
    <t>DSTN</t>
  </si>
  <si>
    <t>GMFB</t>
  </si>
  <si>
    <t>RAB8A</t>
  </si>
  <si>
    <t>SRP54</t>
  </si>
  <si>
    <t>RAB2A</t>
  </si>
  <si>
    <t>RAB5B</t>
  </si>
  <si>
    <t>UBE2D3</t>
  </si>
  <si>
    <t>UBE2M</t>
  </si>
  <si>
    <t>UBE2K</t>
  </si>
  <si>
    <t>UBE2N</t>
  </si>
  <si>
    <t>RAB14</t>
  </si>
  <si>
    <t>ACTR3</t>
  </si>
  <si>
    <t>ACTR2</t>
  </si>
  <si>
    <t>ACTR1A</t>
  </si>
  <si>
    <t>COPS2</t>
  </si>
  <si>
    <t>ABCE1</t>
  </si>
  <si>
    <t>RAP1B</t>
  </si>
  <si>
    <t>RPS3A</t>
  </si>
  <si>
    <t>PSME3</t>
  </si>
  <si>
    <t>MAGOH</t>
  </si>
  <si>
    <t>RPL27</t>
  </si>
  <si>
    <t>PCBD1</t>
  </si>
  <si>
    <t>RHOA</t>
  </si>
  <si>
    <t>HSPE1</t>
  </si>
  <si>
    <t>VBP1</t>
  </si>
  <si>
    <t>COPZ1</t>
  </si>
  <si>
    <t>SUMO2</t>
  </si>
  <si>
    <t>DCAF7</t>
  </si>
  <si>
    <t>AP1S1</t>
  </si>
  <si>
    <t>NUTF2</t>
  </si>
  <si>
    <t>HNRNPK</t>
  </si>
  <si>
    <t>YWHAG</t>
  </si>
  <si>
    <t>RRAS2</t>
  </si>
  <si>
    <t>TIMM10</t>
  </si>
  <si>
    <t>PPP1CA</t>
  </si>
  <si>
    <t>PPP1CB</t>
  </si>
  <si>
    <t>CALM1</t>
  </si>
  <si>
    <t>PSMC1</t>
  </si>
  <si>
    <t>PSMC5</t>
  </si>
  <si>
    <t>RPS8</t>
  </si>
  <si>
    <t>YWHAE</t>
  </si>
  <si>
    <t>RPS14</t>
  </si>
  <si>
    <t>RPS18</t>
  </si>
  <si>
    <t>RPS13</t>
  </si>
  <si>
    <t>RPS11</t>
  </si>
  <si>
    <t>SNRPE</t>
  </si>
  <si>
    <t>LSM3</t>
  </si>
  <si>
    <t>LSM6</t>
  </si>
  <si>
    <t>SNRPD2</t>
  </si>
  <si>
    <t>TMSB4X</t>
  </si>
  <si>
    <t>ARF6</t>
  </si>
  <si>
    <t>PSMC6</t>
  </si>
  <si>
    <t>CNBP</t>
  </si>
  <si>
    <t>RPS4X</t>
  </si>
  <si>
    <t>PPP2CB</t>
  </si>
  <si>
    <t>RPL23A</t>
  </si>
  <si>
    <t>RPS6</t>
  </si>
  <si>
    <t>VSNL1</t>
  </si>
  <si>
    <t>HIST1H4A</t>
  </si>
  <si>
    <t>RAB1A</t>
  </si>
  <si>
    <t>RAN</t>
  </si>
  <si>
    <t>UBE2D2</t>
  </si>
  <si>
    <t>RPS25</t>
  </si>
  <si>
    <t>RPS26</t>
  </si>
  <si>
    <t>RPS28</t>
  </si>
  <si>
    <t>RBX1</t>
  </si>
  <si>
    <t>RPL10A</t>
  </si>
  <si>
    <t>FKBP1A</t>
  </si>
  <si>
    <t>GRB2</t>
  </si>
  <si>
    <t>TRA2B</t>
  </si>
  <si>
    <t>RAC1</t>
  </si>
  <si>
    <t>AP2B1</t>
  </si>
  <si>
    <t>GNAI1</t>
  </si>
  <si>
    <t>YWHAZ</t>
  </si>
  <si>
    <t>PPP2R2A</t>
  </si>
  <si>
    <t>GNB2L1</t>
  </si>
  <si>
    <t>ACTG1</t>
  </si>
  <si>
    <t>SEPW1</t>
  </si>
  <si>
    <t>TMSB10</t>
  </si>
  <si>
    <t>PPP2CA</t>
  </si>
  <si>
    <t>YBX1</t>
  </si>
  <si>
    <t>CSNK2B</t>
  </si>
  <si>
    <t>TPM4</t>
  </si>
  <si>
    <t>UBE2L3</t>
  </si>
  <si>
    <t>ACTA1</t>
  </si>
  <si>
    <t>TUBA1B</t>
  </si>
  <si>
    <t>TUBB4B</t>
  </si>
  <si>
    <t>PAFAH1B2</t>
  </si>
  <si>
    <t>SH3BP2</t>
  </si>
  <si>
    <t>IGBP1</t>
  </si>
  <si>
    <t>CYP4F2</t>
  </si>
  <si>
    <t>GTF2I</t>
  </si>
  <si>
    <t>CCT2</t>
  </si>
  <si>
    <t>GSTO1</t>
  </si>
  <si>
    <t>ST5</t>
  </si>
  <si>
    <t>PRKDC</t>
  </si>
  <si>
    <t>CRADD</t>
  </si>
  <si>
    <t>IFI35</t>
  </si>
  <si>
    <t>MT1H</t>
  </si>
  <si>
    <t>MT1X</t>
  </si>
  <si>
    <t>NUCB2</t>
  </si>
  <si>
    <t>ABAT</t>
  </si>
  <si>
    <t>BASP1</t>
  </si>
  <si>
    <t>TMF1</t>
  </si>
  <si>
    <t>MRPS35</t>
  </si>
  <si>
    <t>MRPS5</t>
  </si>
  <si>
    <t>MRPS36</t>
  </si>
  <si>
    <t>MRPS15</t>
  </si>
  <si>
    <t>MRPS34</t>
  </si>
  <si>
    <t>SARNP</t>
  </si>
  <si>
    <t>RBP5</t>
  </si>
  <si>
    <t>LACTB</t>
  </si>
  <si>
    <t>ARF1</t>
  </si>
  <si>
    <t>ERH</t>
  </si>
  <si>
    <t>SERF2</t>
  </si>
  <si>
    <t>FOXK1</t>
  </si>
  <si>
    <t>HSPG2</t>
  </si>
  <si>
    <t>XIAP</t>
  </si>
  <si>
    <t>RBM3</t>
  </si>
  <si>
    <t>TFAM</t>
  </si>
  <si>
    <t>PITPNA</t>
  </si>
  <si>
    <t>MAT1A</t>
  </si>
  <si>
    <t>HDLBP</t>
  </si>
  <si>
    <t>GTF2B</t>
  </si>
  <si>
    <t>CDK6</t>
  </si>
  <si>
    <t>PURA</t>
  </si>
  <si>
    <t>CLTC</t>
  </si>
  <si>
    <t>NFKB2</t>
  </si>
  <si>
    <t>FKBP3</t>
  </si>
  <si>
    <t>REEP5</t>
  </si>
  <si>
    <t>SORD</t>
  </si>
  <si>
    <t>HNRNPU</t>
  </si>
  <si>
    <t>U2AF1</t>
  </si>
  <si>
    <t>SPTBN1</t>
  </si>
  <si>
    <t>TIAL1</t>
  </si>
  <si>
    <t>SET</t>
  </si>
  <si>
    <t>GALK2</t>
  </si>
  <si>
    <t>AMPD2</t>
  </si>
  <si>
    <t>CTBS</t>
  </si>
  <si>
    <t>FABP5</t>
  </si>
  <si>
    <t>CAP1</t>
  </si>
  <si>
    <t>HMGCS1</t>
  </si>
  <si>
    <t>DR1</t>
  </si>
  <si>
    <t>OTUD4</t>
  </si>
  <si>
    <t>EWSR1</t>
  </si>
  <si>
    <t>TAGLN</t>
  </si>
  <si>
    <t>NAAA</t>
  </si>
  <si>
    <t>CENPE</t>
  </si>
  <si>
    <t>ALDH6A1</t>
  </si>
  <si>
    <t>CYP27A1</t>
  </si>
  <si>
    <t>PLGLB1</t>
  </si>
  <si>
    <t>APBA1</t>
  </si>
  <si>
    <t>DSG1</t>
  </si>
  <si>
    <t>MAP2K1</t>
  </si>
  <si>
    <t>FKBP4</t>
  </si>
  <si>
    <t>NUCB1</t>
  </si>
  <si>
    <t>CYP4A11</t>
  </si>
  <si>
    <t>DST</t>
  </si>
  <si>
    <t>GSTM4</t>
  </si>
  <si>
    <t>ACY1</t>
  </si>
  <si>
    <t>LMNB2</t>
  </si>
  <si>
    <t>PTS</t>
  </si>
  <si>
    <t>GBE1</t>
  </si>
  <si>
    <t>EIF4G1</t>
  </si>
  <si>
    <t>KRT17</t>
  </si>
  <si>
    <t>GLO1</t>
  </si>
  <si>
    <t>AKR1C1</t>
  </si>
  <si>
    <t>SSBP1</t>
  </si>
  <si>
    <t>YWHAH</t>
  </si>
  <si>
    <t>CSTF1</t>
  </si>
  <si>
    <t>UBE3A</t>
  </si>
  <si>
    <t>CALD1</t>
  </si>
  <si>
    <t>ITIH3</t>
  </si>
  <si>
    <t>PTPN11</t>
  </si>
  <si>
    <t>PPAT</t>
  </si>
  <si>
    <t>GFPT1</t>
  </si>
  <si>
    <t>AOX1</t>
  </si>
  <si>
    <t>PSME1</t>
  </si>
  <si>
    <t>SULT2A1</t>
  </si>
  <si>
    <t>FMR1</t>
  </si>
  <si>
    <t>C1QBP</t>
  </si>
  <si>
    <t>CKAP4</t>
  </si>
  <si>
    <t>ENPEP</t>
  </si>
  <si>
    <t>TJP1</t>
  </si>
  <si>
    <t>TCHH</t>
  </si>
  <si>
    <t>KHDRBS1</t>
  </si>
  <si>
    <t>BAX</t>
  </si>
  <si>
    <t>MCL1</t>
  </si>
  <si>
    <t>LRP1</t>
  </si>
  <si>
    <t>SRSF1</t>
  </si>
  <si>
    <t>ARHGAP1</t>
  </si>
  <si>
    <t>SRSF4</t>
  </si>
  <si>
    <t>PPP3CA</t>
  </si>
  <si>
    <t>DHX9</t>
  </si>
  <si>
    <t>CRYZ</t>
  </si>
  <si>
    <t>GOLGA3</t>
  </si>
  <si>
    <t>GOLGA2</t>
  </si>
  <si>
    <t>LGALS3BP</t>
  </si>
  <si>
    <t>EHHADH</t>
  </si>
  <si>
    <t>DSC1</t>
  </si>
  <si>
    <t>PPID</t>
  </si>
  <si>
    <t>FGL1</t>
  </si>
  <si>
    <t>MZT1</t>
  </si>
  <si>
    <t>ACSM2A</t>
  </si>
  <si>
    <t>VAC14</t>
  </si>
  <si>
    <t>NSUN2</t>
  </si>
  <si>
    <t>RBBP4</t>
  </si>
  <si>
    <t>NCBP1</t>
  </si>
  <si>
    <t>EP300</t>
  </si>
  <si>
    <t>AHNAK</t>
  </si>
  <si>
    <t>FCHO2</t>
  </si>
  <si>
    <t>ELP6</t>
  </si>
  <si>
    <t>SCRN3</t>
  </si>
  <si>
    <t>CGNL1</t>
  </si>
  <si>
    <t>AP1B1</t>
  </si>
  <si>
    <t>PMPCA</t>
  </si>
  <si>
    <t>ARHGEF5</t>
  </si>
  <si>
    <t>TWF1</t>
  </si>
  <si>
    <t>AKAP13</t>
  </si>
  <si>
    <t>GRSF1</t>
  </si>
  <si>
    <t>SF3A3</t>
  </si>
  <si>
    <t>DPYD</t>
  </si>
  <si>
    <t>TRIM26</t>
  </si>
  <si>
    <t>AIMP1</t>
  </si>
  <si>
    <t>ILF2</t>
  </si>
  <si>
    <t>ILF3</t>
  </si>
  <si>
    <t>EPS8</t>
  </si>
  <si>
    <t>DLG1</t>
  </si>
  <si>
    <t>MYO1E</t>
  </si>
  <si>
    <t>PPP1R8</t>
  </si>
  <si>
    <t>NFX1</t>
  </si>
  <si>
    <t>CSTF3</t>
  </si>
  <si>
    <t>ECH1</t>
  </si>
  <si>
    <t>ARHGAP5</t>
  </si>
  <si>
    <t>STRN3</t>
  </si>
  <si>
    <t>CDC16</t>
  </si>
  <si>
    <t>FLII</t>
  </si>
  <si>
    <t>COASY</t>
  </si>
  <si>
    <t>ACACA</t>
  </si>
  <si>
    <t>IK</t>
  </si>
  <si>
    <t>MTAP</t>
  </si>
  <si>
    <t>PRKAA1</t>
  </si>
  <si>
    <t>PPFIA1</t>
  </si>
  <si>
    <t>TARDBP</t>
  </si>
  <si>
    <t>HNRNPA0</t>
  </si>
  <si>
    <t>PAK1</t>
  </si>
  <si>
    <t>AIMP2</t>
  </si>
  <si>
    <t>PRDX4</t>
  </si>
  <si>
    <t>PAK2</t>
  </si>
  <si>
    <t>CBX3</t>
  </si>
  <si>
    <t>STK3</t>
  </si>
  <si>
    <t>PSMD2</t>
  </si>
  <si>
    <t>DNAJC3</t>
  </si>
  <si>
    <t>SELENBP1</t>
  </si>
  <si>
    <t>NME3</t>
  </si>
  <si>
    <t>SRSF5</t>
  </si>
  <si>
    <t>SRSF6</t>
  </si>
  <si>
    <t>MAD2L1</t>
  </si>
  <si>
    <t>TRIM28</t>
  </si>
  <si>
    <t>G3BP1</t>
  </si>
  <si>
    <t>NMI</t>
  </si>
  <si>
    <t>PABPC4</t>
  </si>
  <si>
    <t>ATM</t>
  </si>
  <si>
    <t>IFIT5</t>
  </si>
  <si>
    <t>MTA1</t>
  </si>
  <si>
    <t>EIF3I</t>
  </si>
  <si>
    <t>PPP2R5C</t>
  </si>
  <si>
    <t>CTBP1</t>
  </si>
  <si>
    <t>TARBP1</t>
  </si>
  <si>
    <t>UBE2V1</t>
  </si>
  <si>
    <t>DYNC1I2</t>
  </si>
  <si>
    <t>ILK</t>
  </si>
  <si>
    <t>NNT</t>
  </si>
  <si>
    <t>XRCC4</t>
  </si>
  <si>
    <t>TCOF1</t>
  </si>
  <si>
    <t>SF3B2</t>
  </si>
  <si>
    <t>PDAP1</t>
  </si>
  <si>
    <t>FKBP5</t>
  </si>
  <si>
    <t>ROCK1</t>
  </si>
  <si>
    <t>PICALM</t>
  </si>
  <si>
    <t>MTM1</t>
  </si>
  <si>
    <t>SQSTM1</t>
  </si>
  <si>
    <t>PPP1R1A</t>
  </si>
  <si>
    <t>PIN1</t>
  </si>
  <si>
    <t>EIF4EBP1</t>
  </si>
  <si>
    <t>RIPK1</t>
  </si>
  <si>
    <t>HDAC1</t>
  </si>
  <si>
    <t>CAMK2D</t>
  </si>
  <si>
    <t>DCTN2</t>
  </si>
  <si>
    <t>SNW1</t>
  </si>
  <si>
    <t>IQGAP2</t>
  </si>
  <si>
    <t>SNX1</t>
  </si>
  <si>
    <t>PEX6</t>
  </si>
  <si>
    <t>PWP1</t>
  </si>
  <si>
    <t>CUL1</t>
  </si>
  <si>
    <t>CUL2</t>
  </si>
  <si>
    <t>CUL3</t>
  </si>
  <si>
    <t>CUL4A</t>
  </si>
  <si>
    <t>CUL4B</t>
  </si>
  <si>
    <t>TSTA3</t>
  </si>
  <si>
    <t>FHL1</t>
  </si>
  <si>
    <t>SHROOM2</t>
  </si>
  <si>
    <t>SPTAN1</t>
  </si>
  <si>
    <t>AUH</t>
  </si>
  <si>
    <t>PKP1</t>
  </si>
  <si>
    <t>DDX39B</t>
  </si>
  <si>
    <t>BLMH</t>
  </si>
  <si>
    <t>SNTB1</t>
  </si>
  <si>
    <t>TUBB2A</t>
  </si>
  <si>
    <t>IDI1</t>
  </si>
  <si>
    <t>CBFB</t>
  </si>
  <si>
    <t>CKAP5</t>
  </si>
  <si>
    <t>CAMK1</t>
  </si>
  <si>
    <t>COTL1</t>
  </si>
  <si>
    <t>BAAT</t>
  </si>
  <si>
    <t>COX17</t>
  </si>
  <si>
    <t>HNRNPD</t>
  </si>
  <si>
    <t>IL18</t>
  </si>
  <si>
    <t>DPYS</t>
  </si>
  <si>
    <t>DAG1</t>
  </si>
  <si>
    <t>DSG2</t>
  </si>
  <si>
    <t>UBE4A</t>
  </si>
  <si>
    <t>SEPT6</t>
  </si>
  <si>
    <t>SAFB2</t>
  </si>
  <si>
    <t>EIF3A</t>
  </si>
  <si>
    <t>UBAP2L</t>
  </si>
  <si>
    <t>SCRIB</t>
  </si>
  <si>
    <t>GIT2</t>
  </si>
  <si>
    <t>TTLL12</t>
  </si>
  <si>
    <t>FHL2</t>
  </si>
  <si>
    <t>DCTN1</t>
  </si>
  <si>
    <t>DYNC1H1</t>
  </si>
  <si>
    <t>EIF2B1</t>
  </si>
  <si>
    <t>EIF4A2</t>
  </si>
  <si>
    <t>TCEB3</t>
  </si>
  <si>
    <t>MAP7</t>
  </si>
  <si>
    <t>CTTN</t>
  </si>
  <si>
    <t>TRIM25</t>
  </si>
  <si>
    <t>FKBP8</t>
  </si>
  <si>
    <t>FAM50A</t>
  </si>
  <si>
    <t>GAMT</t>
  </si>
  <si>
    <t>GALE</t>
  </si>
  <si>
    <t>GCKR</t>
  </si>
  <si>
    <t>GK2</t>
  </si>
  <si>
    <t>CAPRIN1</t>
  </si>
  <si>
    <t>RBM39</t>
  </si>
  <si>
    <t>HABP2</t>
  </si>
  <si>
    <t>PDIA5</t>
  </si>
  <si>
    <t>PRPSAP1</t>
  </si>
  <si>
    <t>MCM6</t>
  </si>
  <si>
    <t>ITIH4</t>
  </si>
  <si>
    <t>PLS1</t>
  </si>
  <si>
    <t>IRF3</t>
  </si>
  <si>
    <t>LAGE3</t>
  </si>
  <si>
    <t>TRIP12</t>
  </si>
  <si>
    <t>MDC1</t>
  </si>
  <si>
    <t>CLINT1</t>
  </si>
  <si>
    <t>KANK1</t>
  </si>
  <si>
    <t>SMC1A</t>
  </si>
  <si>
    <t>USP10</t>
  </si>
  <si>
    <t>MESDC2</t>
  </si>
  <si>
    <t>GANAB</t>
  </si>
  <si>
    <t>GNMT</t>
  </si>
  <si>
    <t>GOLGB1</t>
  </si>
  <si>
    <t>CASP8</t>
  </si>
  <si>
    <t>LASP1</t>
  </si>
  <si>
    <t>CRYM</t>
  </si>
  <si>
    <t>PTGR1</t>
  </si>
  <si>
    <t>ZNF638</t>
  </si>
  <si>
    <t>KPNB1</t>
  </si>
  <si>
    <t>NOLC1</t>
  </si>
  <si>
    <t>NUMA1</t>
  </si>
  <si>
    <t>PSME4</t>
  </si>
  <si>
    <t>PSMD6</t>
  </si>
  <si>
    <t>FAM175B</t>
  </si>
  <si>
    <t>SART3</t>
  </si>
  <si>
    <t>EXOSC7</t>
  </si>
  <si>
    <t>EFTUD2</t>
  </si>
  <si>
    <t>SNX17</t>
  </si>
  <si>
    <t>KARS</t>
  </si>
  <si>
    <t>EIF4H</t>
  </si>
  <si>
    <t>ACAP2</t>
  </si>
  <si>
    <t>ACOX1</t>
  </si>
  <si>
    <t>EEA1</t>
  </si>
  <si>
    <t>PAFAH1B3</t>
  </si>
  <si>
    <t>PDK2</t>
  </si>
  <si>
    <t>PDK3</t>
  </si>
  <si>
    <t>PMVK</t>
  </si>
  <si>
    <t>PLEC</t>
  </si>
  <si>
    <t>PPP2R5A</t>
  </si>
  <si>
    <t>PPA1</t>
  </si>
  <si>
    <t>NONO</t>
  </si>
  <si>
    <t>PPP2R4</t>
  </si>
  <si>
    <t>QPRT</t>
  </si>
  <si>
    <t>RABEP1</t>
  </si>
  <si>
    <t>RBBP5</t>
  </si>
  <si>
    <t>RCN1</t>
  </si>
  <si>
    <t>RALBP1</t>
  </si>
  <si>
    <t>LRRC41</t>
  </si>
  <si>
    <t>PCBP1</t>
  </si>
  <si>
    <t>RHEB</t>
  </si>
  <si>
    <t>SF3B3</t>
  </si>
  <si>
    <t>RSU1</t>
  </si>
  <si>
    <t>CNN3</t>
  </si>
  <si>
    <t>SAFB</t>
  </si>
  <si>
    <t>SF3B4</t>
  </si>
  <si>
    <t>SF3A2</t>
  </si>
  <si>
    <t>PPP1R7</t>
  </si>
  <si>
    <t>SEC23B</t>
  </si>
  <si>
    <t>SF3A1</t>
  </si>
  <si>
    <t>SKIV2L</t>
  </si>
  <si>
    <t>RGN</t>
  </si>
  <si>
    <t>SURF1</t>
  </si>
  <si>
    <t>MAPRE2</t>
  </si>
  <si>
    <t>NCOA2</t>
  </si>
  <si>
    <t>SLC9A3R2</t>
  </si>
  <si>
    <t>SF1</t>
  </si>
  <si>
    <t>TRIP10</t>
  </si>
  <si>
    <t>TRIP11</t>
  </si>
  <si>
    <t>TRIP6</t>
  </si>
  <si>
    <t>MAPRE1</t>
  </si>
  <si>
    <t>TSC22D1</t>
  </si>
  <si>
    <t>ELAVL1</t>
  </si>
  <si>
    <t>MYLK</t>
  </si>
  <si>
    <t>TAB1</t>
  </si>
  <si>
    <t>TOMM34</t>
  </si>
  <si>
    <t>SMAD2</t>
  </si>
  <si>
    <t>TBCE</t>
  </si>
  <si>
    <t>TBCC</t>
  </si>
  <si>
    <t>UBE2V2</t>
  </si>
  <si>
    <t>STXBP2</t>
  </si>
  <si>
    <t>ADIRF</t>
  </si>
  <si>
    <t>RAB11B</t>
  </si>
  <si>
    <t>ZYX</t>
  </si>
  <si>
    <t>SEPT7</t>
  </si>
  <si>
    <t>ADRM1</t>
  </si>
  <si>
    <t>CCDC6</t>
  </si>
  <si>
    <t>UAP1</t>
  </si>
  <si>
    <t>PSMD5</t>
  </si>
  <si>
    <t>DDB1</t>
  </si>
  <si>
    <t>MAPK14</t>
  </si>
  <si>
    <t>CDC37</t>
  </si>
  <si>
    <t>DPYSL2</t>
  </si>
  <si>
    <t>RBBP7</t>
  </si>
  <si>
    <t>OCLN</t>
  </si>
  <si>
    <t>MEA1</t>
  </si>
  <si>
    <t>SRSF7</t>
  </si>
  <si>
    <t>SMN1</t>
  </si>
  <si>
    <t>FSCN1</t>
  </si>
  <si>
    <t>KYNU</t>
  </si>
  <si>
    <t>CLPP</t>
  </si>
  <si>
    <t>TST</t>
  </si>
  <si>
    <t>CCBL1</t>
  </si>
  <si>
    <t>HAGH</t>
  </si>
  <si>
    <t>LAMA3</t>
  </si>
  <si>
    <t>PCK2</t>
  </si>
  <si>
    <t>UPP1</t>
  </si>
  <si>
    <t>HADH</t>
  </si>
  <si>
    <t>UGP2</t>
  </si>
  <si>
    <t>DGUOK</t>
  </si>
  <si>
    <t>TATDN3</t>
  </si>
  <si>
    <t>EXOC3L4</t>
  </si>
  <si>
    <t>FAM110C</t>
  </si>
  <si>
    <t>INF2</t>
  </si>
  <si>
    <t>PDS5A</t>
  </si>
  <si>
    <t>CLEC16A</t>
  </si>
  <si>
    <t>KIAA1033</t>
  </si>
  <si>
    <t>RALGAPA2</t>
  </si>
  <si>
    <t>TYSND1</t>
  </si>
  <si>
    <t>ATG2A</t>
  </si>
  <si>
    <t>ATHL1</t>
  </si>
  <si>
    <t>LRRFIP1</t>
  </si>
  <si>
    <t>EML3</t>
  </si>
  <si>
    <t>DAK</t>
  </si>
  <si>
    <t>LSM12</t>
  </si>
  <si>
    <t>PUS10</t>
  </si>
  <si>
    <t>CCDC88A</t>
  </si>
  <si>
    <t>GLYR1</t>
  </si>
  <si>
    <t>CDNF</t>
  </si>
  <si>
    <t>VPS26B</t>
  </si>
  <si>
    <t>LARP7</t>
  </si>
  <si>
    <t>NADKD1</t>
  </si>
  <si>
    <t>ACSF3</t>
  </si>
  <si>
    <t>TBC1D10B</t>
  </si>
  <si>
    <t>PLCH1</t>
  </si>
  <si>
    <t>GRIPAP1</t>
  </si>
  <si>
    <t>PAN2</t>
  </si>
  <si>
    <t>FAM98B</t>
  </si>
  <si>
    <t>ARHGAP29</t>
  </si>
  <si>
    <t>TP53I3</t>
  </si>
  <si>
    <t>ACSM3</t>
  </si>
  <si>
    <t>LACTB2</t>
  </si>
  <si>
    <t>TSSC1</t>
  </si>
  <si>
    <t>SOWAHC</t>
  </si>
  <si>
    <t>BOLA3</t>
  </si>
  <si>
    <t>WDR81</t>
  </si>
  <si>
    <t>HSP90AB2P</t>
  </si>
  <si>
    <t>HSP90AA4P</t>
  </si>
  <si>
    <t>OXLD1</t>
  </si>
  <si>
    <t>FLG2</t>
  </si>
  <si>
    <t>CMPK2</t>
  </si>
  <si>
    <t>HERC4</t>
  </si>
  <si>
    <t>SH3D19</t>
  </si>
  <si>
    <t>PITRM1</t>
  </si>
  <si>
    <t>NHLRC3</t>
  </si>
  <si>
    <t>WDR44</t>
  </si>
  <si>
    <t>PRRC2B</t>
  </si>
  <si>
    <t>COA6</t>
  </si>
  <si>
    <t>TOR1AIP1</t>
  </si>
  <si>
    <t>AARS2</t>
  </si>
  <si>
    <t>WDR45B</t>
  </si>
  <si>
    <t>TBCEL</t>
  </si>
  <si>
    <t>TTC38</t>
  </si>
  <si>
    <t>C1orf173</t>
  </si>
  <si>
    <t>EXOSC6</t>
  </si>
  <si>
    <t>NUP188</t>
  </si>
  <si>
    <t>PHYHD1</t>
  </si>
  <si>
    <t>HP1BP3</t>
  </si>
  <si>
    <t>VARS2</t>
  </si>
  <si>
    <t>CEP170</t>
  </si>
  <si>
    <t>DNLZ</t>
  </si>
  <si>
    <t>NHSL1</t>
  </si>
  <si>
    <t>FNBP1L</t>
  </si>
  <si>
    <t>RARS2</t>
  </si>
  <si>
    <t>FKBP15</t>
  </si>
  <si>
    <t>C10orf76</t>
  </si>
  <si>
    <t>PDZK1</t>
  </si>
  <si>
    <t>IBA57</t>
  </si>
  <si>
    <t>HECTD3</t>
  </si>
  <si>
    <t>ZFYVE27</t>
  </si>
  <si>
    <t>UBR4</t>
  </si>
  <si>
    <t>KIAA1217</t>
  </si>
  <si>
    <t>UBAP2</t>
  </si>
  <si>
    <t>IDNK</t>
  </si>
  <si>
    <t>C9orf64</t>
  </si>
  <si>
    <t>KPRP</t>
  </si>
  <si>
    <t>ACBD5</t>
  </si>
  <si>
    <t>RBM26</t>
  </si>
  <si>
    <t>GLTPD1</t>
  </si>
  <si>
    <t>ATPAF1</t>
  </si>
  <si>
    <t>MAGI3</t>
  </si>
  <si>
    <t>DDI2</t>
  </si>
  <si>
    <t>NDUFAF5</t>
  </si>
  <si>
    <t>NT5DC1</t>
  </si>
  <si>
    <t>LYRM7</t>
  </si>
  <si>
    <t>RIF1</t>
  </si>
  <si>
    <t>VPS53</t>
  </si>
  <si>
    <t>STRIP1</t>
  </si>
  <si>
    <t>RNF220</t>
  </si>
  <si>
    <t>EEF1A1P5</t>
  </si>
  <si>
    <t>RNF20</t>
  </si>
  <si>
    <t>C1orf53</t>
  </si>
  <si>
    <t>BROX</t>
  </si>
  <si>
    <t>MLIP</t>
  </si>
  <si>
    <t>LYPLAL1</t>
  </si>
  <si>
    <t>ECM29</t>
  </si>
  <si>
    <t>ZCCHC6</t>
  </si>
  <si>
    <t>RNLS</t>
  </si>
  <si>
    <t>ZMYM4</t>
  </si>
  <si>
    <t>FAM160B1</t>
  </si>
  <si>
    <t>AFMID</t>
  </si>
  <si>
    <t>RNF213</t>
  </si>
  <si>
    <t>TENC1</t>
  </si>
  <si>
    <t>KANK2</t>
  </si>
  <si>
    <t>TBC1D9B</t>
  </si>
  <si>
    <t>ARL6IP4</t>
  </si>
  <si>
    <t>ATG16L1</t>
  </si>
  <si>
    <t>ACSM2B</t>
  </si>
  <si>
    <t>TNS3</t>
  </si>
  <si>
    <t>CWF19L1</t>
  </si>
  <si>
    <t>KIAA1429</t>
  </si>
  <si>
    <t>SPECC1L</t>
  </si>
  <si>
    <t>PDPK2</t>
  </si>
  <si>
    <t>ATL3</t>
  </si>
  <si>
    <t>IQSEC1</t>
  </si>
  <si>
    <t>VASN</t>
  </si>
  <si>
    <t>CIAPIN1</t>
  </si>
  <si>
    <t>ZFAND6</t>
  </si>
  <si>
    <t>SMYD5</t>
  </si>
  <si>
    <t>PTRHD1</t>
  </si>
  <si>
    <t>OTUD7B</t>
  </si>
  <si>
    <t>NADSYN1</t>
  </si>
  <si>
    <t>ELP2</t>
  </si>
  <si>
    <t>GLYAT</t>
  </si>
  <si>
    <t>TWF2</t>
  </si>
  <si>
    <t>GRAMD4</t>
  </si>
  <si>
    <t>SMEK1</t>
  </si>
  <si>
    <t>LYRM5</t>
  </si>
  <si>
    <t>RAB12</t>
  </si>
  <si>
    <t>PLEKHA7</t>
  </si>
  <si>
    <t>ACAD10</t>
  </si>
  <si>
    <t>PYHIN1</t>
  </si>
  <si>
    <t>ZNF280D</t>
  </si>
  <si>
    <t>OGFOD2</t>
  </si>
  <si>
    <t>ACSM5</t>
  </si>
  <si>
    <t>TMEM214</t>
  </si>
  <si>
    <t>HIBCH</t>
  </si>
  <si>
    <t>PPP1R18</t>
  </si>
  <si>
    <t>ZCCHC8</t>
  </si>
  <si>
    <t>CC2D1A</t>
  </si>
  <si>
    <t>TATDN1</t>
  </si>
  <si>
    <t>C8orf82</t>
  </si>
  <si>
    <t>EDC4</t>
  </si>
  <si>
    <t>PRMT10</t>
  </si>
  <si>
    <t>PRPF8</t>
  </si>
  <si>
    <t>PLBD1</t>
  </si>
  <si>
    <t>FDX1L</t>
  </si>
  <si>
    <t>NFRKB</t>
  </si>
  <si>
    <t>FAHD1</t>
  </si>
  <si>
    <t>C8orf47</t>
  </si>
  <si>
    <t>TTC37</t>
  </si>
  <si>
    <t>DARS2</t>
  </si>
  <si>
    <t>ZC3H14</t>
  </si>
  <si>
    <t>LARP1</t>
  </si>
  <si>
    <t>PAOX</t>
  </si>
  <si>
    <t>METAP1D</t>
  </si>
  <si>
    <t>FIP1L1</t>
  </si>
  <si>
    <t>CRTC1</t>
  </si>
  <si>
    <t>DHRS11</t>
  </si>
  <si>
    <t>SBSN</t>
  </si>
  <si>
    <t>METTL7B</t>
  </si>
  <si>
    <t>CRELD2</t>
  </si>
  <si>
    <t>WDR82</t>
  </si>
  <si>
    <t>APOOL</t>
  </si>
  <si>
    <t>NAPRT1</t>
  </si>
  <si>
    <t>DNMBP</t>
  </si>
  <si>
    <t>GIGYF2</t>
  </si>
  <si>
    <t>HSDL2</t>
  </si>
  <si>
    <t>CCBL2</t>
  </si>
  <si>
    <t>PPP1R21</t>
  </si>
  <si>
    <t>UBR3</t>
  </si>
  <si>
    <t>PIK3AP1</t>
  </si>
  <si>
    <t>VPS13C</t>
  </si>
  <si>
    <t>ACAD11</t>
  </si>
  <si>
    <t>RAPH1</t>
  </si>
  <si>
    <t>LARP4</t>
  </si>
  <si>
    <t>TUBA1A</t>
  </si>
  <si>
    <t>MTSS1L</t>
  </si>
  <si>
    <t>SUPT6H</t>
  </si>
  <si>
    <t>SND1</t>
  </si>
  <si>
    <t>MARK2</t>
  </si>
  <si>
    <t>DDX46</t>
  </si>
  <si>
    <t>RUFY3</t>
  </si>
  <si>
    <t>TRMT10C</t>
  </si>
  <si>
    <t>BZW1</t>
  </si>
  <si>
    <t>LRRC8D</t>
  </si>
  <si>
    <t>MEPCE</t>
  </si>
  <si>
    <t>RRAGA</t>
  </si>
  <si>
    <t>CYFIP1</t>
  </si>
  <si>
    <t>GET4</t>
  </si>
  <si>
    <t>ENOSF1</t>
  </si>
  <si>
    <t>EPM2AIP1</t>
  </si>
  <si>
    <t>FASTKD5</t>
  </si>
  <si>
    <t>CHMP1B</t>
  </si>
  <si>
    <t>RRM2B</t>
  </si>
  <si>
    <t>MICAL3</t>
  </si>
  <si>
    <t>PHF5A</t>
  </si>
  <si>
    <t>ZC3HAV1</t>
  </si>
  <si>
    <t>EFTUD1</t>
  </si>
  <si>
    <t>TRAPPC11</t>
  </si>
  <si>
    <t>C16orf62</t>
  </si>
  <si>
    <t>ZFYVE16</t>
  </si>
  <si>
    <t>MYH14</t>
  </si>
  <si>
    <t>NUFIP2</t>
  </si>
  <si>
    <t>SZRD1</t>
  </si>
  <si>
    <t>MAVS</t>
  </si>
  <si>
    <t>CLASP1</t>
  </si>
  <si>
    <t>DHX29</t>
  </si>
  <si>
    <t>COMMD6</t>
  </si>
  <si>
    <t>TRMT11</t>
  </si>
  <si>
    <t>LIMS2</t>
  </si>
  <si>
    <t>HEATR3</t>
  </si>
  <si>
    <t>KIF21A</t>
  </si>
  <si>
    <t>HDGFRP2</t>
  </si>
  <si>
    <t>DCXR</t>
  </si>
  <si>
    <t>WAPAL</t>
  </si>
  <si>
    <t>IRF2BP2</t>
  </si>
  <si>
    <t>HSD17B13</t>
  </si>
  <si>
    <t>POLN</t>
  </si>
  <si>
    <t>APBB1IP</t>
  </si>
  <si>
    <t>RABEPK</t>
  </si>
  <si>
    <t>HUWE1</t>
  </si>
  <si>
    <t>CMC1</t>
  </si>
  <si>
    <t>CENPV</t>
  </si>
  <si>
    <t>PHLDB2</t>
  </si>
  <si>
    <t>GLRX5</t>
  </si>
  <si>
    <t>TRAPPC6B</t>
  </si>
  <si>
    <t>PATL1</t>
  </si>
  <si>
    <t>DPP9</t>
  </si>
  <si>
    <t>PRUNE</t>
  </si>
  <si>
    <t>SETD3</t>
  </si>
  <si>
    <t>ACOT1</t>
  </si>
  <si>
    <t>SERPINA11</t>
  </si>
  <si>
    <t>ISCA2</t>
  </si>
  <si>
    <t>PABPN1</t>
  </si>
  <si>
    <t>METTL3</t>
  </si>
  <si>
    <t>PRPF39</t>
  </si>
  <si>
    <t>ZNF598</t>
  </si>
  <si>
    <t>KTN1</t>
  </si>
  <si>
    <t>FERMT3</t>
  </si>
  <si>
    <t>NT5DC3</t>
  </si>
  <si>
    <t>LUZP1</t>
  </si>
  <si>
    <t>ALYREF</t>
  </si>
  <si>
    <t>VPS36</t>
  </si>
  <si>
    <t>CAND1</t>
  </si>
  <si>
    <t>TXNRD3</t>
  </si>
  <si>
    <t>HOOK3</t>
  </si>
  <si>
    <t>COMMD7</t>
  </si>
  <si>
    <t>PPFIBP1</t>
  </si>
  <si>
    <t>BPHL</t>
  </si>
  <si>
    <t>LONP2</t>
  </si>
  <si>
    <t>CCDC25</t>
  </si>
  <si>
    <t>PROSER2</t>
  </si>
  <si>
    <t>LDHD</t>
  </si>
  <si>
    <t>RALGAPB</t>
  </si>
  <si>
    <t>RALGPS2</t>
  </si>
  <si>
    <t>CARM1</t>
  </si>
  <si>
    <t>NIT1</t>
  </si>
  <si>
    <t>HOGA1</t>
  </si>
  <si>
    <t>DDX42</t>
  </si>
  <si>
    <t>VRK2</t>
  </si>
  <si>
    <t>STX12</t>
  </si>
  <si>
    <t>ECHDC2</t>
  </si>
  <si>
    <t>PDSS2</t>
  </si>
  <si>
    <t>THNSL2</t>
  </si>
  <si>
    <t>GATAD2A</t>
  </si>
  <si>
    <t>HRNR</t>
  </si>
  <si>
    <t>IRF2BP1</t>
  </si>
  <si>
    <t>ERC1</t>
  </si>
  <si>
    <t>ARMC8</t>
  </si>
  <si>
    <t>AGXT2L2</t>
  </si>
  <si>
    <t>PLD3</t>
  </si>
  <si>
    <t>ANKMY2</t>
  </si>
  <si>
    <t>LYSMD2</t>
  </si>
  <si>
    <t>NUDCD3</t>
  </si>
  <si>
    <t>AHNAK2</t>
  </si>
  <si>
    <t>MMAA</t>
  </si>
  <si>
    <t>CCDC50</t>
  </si>
  <si>
    <t>MCAT</t>
  </si>
  <si>
    <t>GLYCTK</t>
  </si>
  <si>
    <t>CARKD</t>
  </si>
  <si>
    <t>TEX2</t>
  </si>
  <si>
    <t>FAM114A1</t>
  </si>
  <si>
    <t>GCC2</t>
  </si>
  <si>
    <t>HSCB</t>
  </si>
  <si>
    <t>LMTK2</t>
  </si>
  <si>
    <t>UBR2</t>
  </si>
  <si>
    <t>ARHGAP12</t>
  </si>
  <si>
    <t>ADHFE1</t>
  </si>
  <si>
    <t>CHERP</t>
  </si>
  <si>
    <t>ANKHD1</t>
  </si>
  <si>
    <t>SUGP1</t>
  </si>
  <si>
    <t>ZFPM1</t>
  </si>
  <si>
    <t>CCAR1</t>
  </si>
  <si>
    <t>NELFCD</t>
  </si>
  <si>
    <t>SIRT2</t>
  </si>
  <si>
    <t>KIAA1704</t>
  </si>
  <si>
    <t>PARP9</t>
  </si>
  <si>
    <t>SLC35F3</t>
  </si>
  <si>
    <t>FTSJ3</t>
  </si>
  <si>
    <t>CCDC36</t>
  </si>
  <si>
    <t>SMAP1</t>
  </si>
  <si>
    <t>DIS3L2</t>
  </si>
  <si>
    <t>SUPV3L1</t>
  </si>
  <si>
    <t>GSPT2</t>
  </si>
  <si>
    <t>EXOC8</t>
  </si>
  <si>
    <t>THNSL1</t>
  </si>
  <si>
    <t>KATNAL2</t>
  </si>
  <si>
    <t>RASEF</t>
  </si>
  <si>
    <t>TRMT2A</t>
  </si>
  <si>
    <t>ALDH16A1</t>
  </si>
  <si>
    <t>ABI1</t>
  </si>
  <si>
    <t>RDH10</t>
  </si>
  <si>
    <t>FAM185A</t>
  </si>
  <si>
    <t>FUK</t>
  </si>
  <si>
    <t>CLYBL</t>
  </si>
  <si>
    <t>SPG20</t>
  </si>
  <si>
    <t>CNPY4</t>
  </si>
  <si>
    <t>ADSSL1</t>
  </si>
  <si>
    <t>KIAA1967</t>
  </si>
  <si>
    <t>VPS52</t>
  </si>
  <si>
    <t>NUP93</t>
  </si>
  <si>
    <t>FTSJD2</t>
  </si>
  <si>
    <t>LRRC47</t>
  </si>
  <si>
    <t>DOCK4</t>
  </si>
  <si>
    <t>KRT78</t>
  </si>
  <si>
    <t>KDM8</t>
  </si>
  <si>
    <t>EHBP1L1</t>
  </si>
  <si>
    <t>SYNPO</t>
  </si>
  <si>
    <t>D2HGDH</t>
  </si>
  <si>
    <t>PNKD</t>
  </si>
  <si>
    <t>MINK1</t>
  </si>
  <si>
    <t>C9orf41</t>
  </si>
  <si>
    <t>HDDC3</t>
  </si>
  <si>
    <t>ZADH2</t>
  </si>
  <si>
    <t>CHCHD4</t>
  </si>
  <si>
    <t>CBR4</t>
  </si>
  <si>
    <t>OXR1</t>
  </si>
  <si>
    <t>TMEM57</t>
  </si>
  <si>
    <t>ATPAF2</t>
  </si>
  <si>
    <t>MRPL50</t>
  </si>
  <si>
    <t>NGEF</t>
  </si>
  <si>
    <t>AADAT</t>
  </si>
  <si>
    <t>FAM160A2</t>
  </si>
  <si>
    <t>CPSF7</t>
  </si>
  <si>
    <t>ARFGAP2</t>
  </si>
  <si>
    <t>PTGR2</t>
  </si>
  <si>
    <t>ENAH</t>
  </si>
  <si>
    <t>C12orf29</t>
  </si>
  <si>
    <t>ACOT4</t>
  </si>
  <si>
    <t>PDDC1</t>
  </si>
  <si>
    <t>NHLRC2</t>
  </si>
  <si>
    <t>GOLM1</t>
  </si>
  <si>
    <t>SUMF2</t>
  </si>
  <si>
    <t>SCCPDH</t>
  </si>
  <si>
    <t>SERBP1</t>
  </si>
  <si>
    <t>NECAP1</t>
  </si>
  <si>
    <t>FAM98A</t>
  </si>
  <si>
    <t>PLA2G15</t>
  </si>
  <si>
    <t>RNF169</t>
  </si>
  <si>
    <t>PDPR</t>
  </si>
  <si>
    <t>APOA1BP</t>
  </si>
  <si>
    <t>RNF214</t>
  </si>
  <si>
    <t>PPFIBP2</t>
  </si>
  <si>
    <t>CCNY</t>
  </si>
  <si>
    <t>NPEPL1</t>
  </si>
  <si>
    <t>EHBP1</t>
  </si>
  <si>
    <t>CHDH</t>
  </si>
  <si>
    <t>ABCF1</t>
  </si>
  <si>
    <t>PIK3C3</t>
  </si>
  <si>
    <t>FBXO22</t>
  </si>
  <si>
    <t>BOD1L1</t>
  </si>
  <si>
    <t>FLAD1</t>
  </si>
  <si>
    <t>NUP43</t>
  </si>
  <si>
    <t>NUP37</t>
  </si>
  <si>
    <t>REPS2</t>
  </si>
  <si>
    <t>ENGASE</t>
  </si>
  <si>
    <t>TOR1AIP2</t>
  </si>
  <si>
    <t>TSTD1</t>
  </si>
  <si>
    <t>ABHD11</t>
  </si>
  <si>
    <t>CMAS</t>
  </si>
  <si>
    <t>ZNRF2</t>
  </si>
  <si>
    <t>ATL2</t>
  </si>
  <si>
    <t>TRY6</t>
  </si>
  <si>
    <t>NCOA7</t>
  </si>
  <si>
    <t>THOC2</t>
  </si>
  <si>
    <t>ADCK3</t>
  </si>
  <si>
    <t>GADD45GIP1</t>
  </si>
  <si>
    <t>SMARCC2</t>
  </si>
  <si>
    <t>NPLOC4</t>
  </si>
  <si>
    <t>CXorf38</t>
  </si>
  <si>
    <t>SPATA20</t>
  </si>
  <si>
    <t>DEPTOR</t>
  </si>
  <si>
    <t>GOLGA5</t>
  </si>
  <si>
    <t>UBA3</t>
  </si>
  <si>
    <t>ZSCAN18</t>
  </si>
  <si>
    <t>AGXT2L1</t>
  </si>
  <si>
    <t>PIP4K2C</t>
  </si>
  <si>
    <t>TBC1D15</t>
  </si>
  <si>
    <t>RDH11</t>
  </si>
  <si>
    <t>NT5C</t>
  </si>
  <si>
    <t>FAM45A</t>
  </si>
  <si>
    <t>PNPT1</t>
  </si>
  <si>
    <t>BICD2</t>
  </si>
  <si>
    <t>NEK9</t>
  </si>
  <si>
    <t>GPT2</t>
  </si>
  <si>
    <t>DTX3L</t>
  </si>
  <si>
    <t>DDX54</t>
  </si>
  <si>
    <t>BLOC1S5</t>
  </si>
  <si>
    <t>ACMSD</t>
  </si>
  <si>
    <t>PANK1</t>
  </si>
  <si>
    <t>SSH3</t>
  </si>
  <si>
    <t>NSUN6</t>
  </si>
  <si>
    <t>DCAF11</t>
  </si>
  <si>
    <t>DENND1A</t>
  </si>
  <si>
    <t>GEMIN5</t>
  </si>
  <si>
    <t>ARHGEF40</t>
  </si>
  <si>
    <t>PARD3</t>
  </si>
  <si>
    <t>IPO4</t>
  </si>
  <si>
    <t>GIPC2</t>
  </si>
  <si>
    <t>WIPF2</t>
  </si>
  <si>
    <t>SETD7</t>
  </si>
  <si>
    <t>MZB1</t>
  </si>
  <si>
    <t>SMAP2</t>
  </si>
  <si>
    <t>ZC3H15</t>
  </si>
  <si>
    <t>PPIL4</t>
  </si>
  <si>
    <t>PDCD6IP</t>
  </si>
  <si>
    <t>C15orf40</t>
  </si>
  <si>
    <t>BRK1</t>
  </si>
  <si>
    <t>CHMP7</t>
  </si>
  <si>
    <t>BLNK</t>
  </si>
  <si>
    <t>SNX33</t>
  </si>
  <si>
    <t>NUDT8</t>
  </si>
  <si>
    <t>ZFAND2B</t>
  </si>
  <si>
    <t>HEXDC</t>
  </si>
  <si>
    <t>LEO1</t>
  </si>
  <si>
    <t>NUDCD2</t>
  </si>
  <si>
    <t>SCFD1</t>
  </si>
  <si>
    <t>TNFAIP8L1</t>
  </si>
  <si>
    <t>TRAPPC12</t>
  </si>
  <si>
    <t>UBLCP1</t>
  </si>
  <si>
    <t>PCNP</t>
  </si>
  <si>
    <t>SPRYD4</t>
  </si>
  <si>
    <t>ATXN2L</t>
  </si>
  <si>
    <t>RTN4IP1</t>
  </si>
  <si>
    <t>NELFB</t>
  </si>
  <si>
    <t>CASKIN2</t>
  </si>
  <si>
    <t>PSPC1</t>
  </si>
  <si>
    <t>SYNE2</t>
  </si>
  <si>
    <t>DNAJC9</t>
  </si>
  <si>
    <t>THAP4</t>
  </si>
  <si>
    <t>ACOT12</t>
  </si>
  <si>
    <t>AHCTF1</t>
  </si>
  <si>
    <t>TTN</t>
  </si>
  <si>
    <t>OVCA2</t>
  </si>
  <si>
    <t>LZIC</t>
  </si>
  <si>
    <t>IRGQ</t>
  </si>
  <si>
    <t>DDX1</t>
  </si>
  <si>
    <t>HSD17B8</t>
  </si>
  <si>
    <t>CCT6B</t>
  </si>
  <si>
    <t>GBF1</t>
  </si>
  <si>
    <t>RTF1</t>
  </si>
  <si>
    <t>MRPS27</t>
  </si>
  <si>
    <t>ELMO1</t>
  </si>
  <si>
    <t>AP3S1</t>
  </si>
  <si>
    <t>UBXN4</t>
  </si>
  <si>
    <t>PHF3</t>
  </si>
  <si>
    <t>NDRG1</t>
  </si>
  <si>
    <t>HSPH1</t>
  </si>
  <si>
    <t>SEPT8</t>
  </si>
  <si>
    <t>RQCD1</t>
  </si>
  <si>
    <t>TBC1D5</t>
  </si>
  <si>
    <t>MYO18A</t>
  </si>
  <si>
    <t>LARP4B</t>
  </si>
  <si>
    <t>GCN1L1</t>
  </si>
  <si>
    <t>NUP205</t>
  </si>
  <si>
    <t>MRPS31</t>
  </si>
  <si>
    <t>AKAP1</t>
  </si>
  <si>
    <t>ANP32B</t>
  </si>
  <si>
    <t>RABGGTA</t>
  </si>
  <si>
    <t>TFG</t>
  </si>
  <si>
    <t>ARPC1A</t>
  </si>
  <si>
    <t>RREB1</t>
  </si>
  <si>
    <t>STAM</t>
  </si>
  <si>
    <t>CREBBP</t>
  </si>
  <si>
    <t>SYMPK</t>
  </si>
  <si>
    <t>GOLGA1</t>
  </si>
  <si>
    <t>GGH</t>
  </si>
  <si>
    <t>DDX17</t>
  </si>
  <si>
    <t>RAD50</t>
  </si>
  <si>
    <t>CELF1</t>
  </si>
  <si>
    <t>OSTF1</t>
  </si>
  <si>
    <t>ARHGEF1</t>
  </si>
  <si>
    <t>UFD1L</t>
  </si>
  <si>
    <t>UPF1</t>
  </si>
  <si>
    <t>COPS5</t>
  </si>
  <si>
    <t>GPKOW</t>
  </si>
  <si>
    <t>BAD</t>
  </si>
  <si>
    <t>KHSRP</t>
  </si>
  <si>
    <t>GCDH</t>
  </si>
  <si>
    <t>TNPO1</t>
  </si>
  <si>
    <t>USP9X</t>
  </si>
  <si>
    <t>CUL5</t>
  </si>
  <si>
    <t>LPP</t>
  </si>
  <si>
    <t>SECISBP2L</t>
  </si>
  <si>
    <t>HIST1H2AC</t>
  </si>
  <si>
    <t>BHMT</t>
  </si>
  <si>
    <t>PTP4A1</t>
  </si>
  <si>
    <t>HGD</t>
  </si>
  <si>
    <t>PHKB</t>
  </si>
  <si>
    <t>TCEAL3</t>
  </si>
  <si>
    <t>RFK</t>
  </si>
  <si>
    <t>C19orf10</t>
  </si>
  <si>
    <t>GLYATL1</t>
  </si>
  <si>
    <t>RPL36AL</t>
  </si>
  <si>
    <t>GFM2</t>
  </si>
  <si>
    <t>TBRG4</t>
  </si>
  <si>
    <t>MARC2</t>
  </si>
  <si>
    <t>SYAP1</t>
  </si>
  <si>
    <t>EXOC4</t>
  </si>
  <si>
    <t>ISOC2</t>
  </si>
  <si>
    <t>FERMT2</t>
  </si>
  <si>
    <t>FUBP1</t>
  </si>
  <si>
    <t>LRRC59</t>
  </si>
  <si>
    <t>KIAA1143</t>
  </si>
  <si>
    <t>AKT1S1</t>
  </si>
  <si>
    <t>C10orf32</t>
  </si>
  <si>
    <t>ZNF428</t>
  </si>
  <si>
    <t>SH3KBP1</t>
  </si>
  <si>
    <t>FAM105B</t>
  </si>
  <si>
    <t>CHCHD1</t>
  </si>
  <si>
    <t>PPWD1</t>
  </si>
  <si>
    <t>SELRC1</t>
  </si>
  <si>
    <t>PTER</t>
  </si>
  <si>
    <t>ATG2B</t>
  </si>
  <si>
    <t>FAM136A</t>
  </si>
  <si>
    <t>FGGY</t>
  </si>
  <si>
    <t>EFHD2</t>
  </si>
  <si>
    <t>GALM</t>
  </si>
  <si>
    <t>SYTL4</t>
  </si>
  <si>
    <t>DCPS</t>
  </si>
  <si>
    <t>CHMP4C</t>
  </si>
  <si>
    <t>ISOC1</t>
  </si>
  <si>
    <t>FLYWCH2</t>
  </si>
  <si>
    <t>FAF2</t>
  </si>
  <si>
    <t>CCDC124</t>
  </si>
  <si>
    <t>OPTN</t>
  </si>
  <si>
    <t>AP2M1</t>
  </si>
  <si>
    <t>TUBGCP3</t>
  </si>
  <si>
    <t>KCTD12</t>
  </si>
  <si>
    <t>NMD3</t>
  </si>
  <si>
    <t>REPS1</t>
  </si>
  <si>
    <t>ECHDC3</t>
  </si>
  <si>
    <t>NUDT16</t>
  </si>
  <si>
    <t>CMBL</t>
  </si>
  <si>
    <t>ARHGEF26</t>
  </si>
  <si>
    <t>MRPL38</t>
  </si>
  <si>
    <t>MRRF</t>
  </si>
  <si>
    <t>RBMXL1</t>
  </si>
  <si>
    <t>ELP4</t>
  </si>
  <si>
    <t>HOOK2</t>
  </si>
  <si>
    <t>TCEAL4</t>
  </si>
  <si>
    <t>GNPNAT1</t>
  </si>
  <si>
    <t>L3HYPDH</t>
  </si>
  <si>
    <t>MOCOS</t>
  </si>
  <si>
    <t>DAZAP1</t>
  </si>
  <si>
    <t>RBM33</t>
  </si>
  <si>
    <t>DTNBP1</t>
  </si>
  <si>
    <t>PTCD3</t>
  </si>
  <si>
    <t>MMAB</t>
  </si>
  <si>
    <t>SAT2</t>
  </si>
  <si>
    <t>NRBF2</t>
  </si>
  <si>
    <t>DYNLL2</t>
  </si>
  <si>
    <t>SCRN2</t>
  </si>
  <si>
    <t>THOC1</t>
  </si>
  <si>
    <t>PGM2</t>
  </si>
  <si>
    <t>DUS3L</t>
  </si>
  <si>
    <t>SDSL</t>
  </si>
  <si>
    <t>PDXP</t>
  </si>
  <si>
    <t>CALML4</t>
  </si>
  <si>
    <t>RNF185</t>
  </si>
  <si>
    <t>DCUN1D1</t>
  </si>
  <si>
    <t>FAHD2A</t>
  </si>
  <si>
    <t>C17orf59</t>
  </si>
  <si>
    <t>MARS2</t>
  </si>
  <si>
    <t>APIP</t>
  </si>
  <si>
    <t>SNF8</t>
  </si>
  <si>
    <t>PDLIM5</t>
  </si>
  <si>
    <t>ACY3</t>
  </si>
  <si>
    <t>ERO1L</t>
  </si>
  <si>
    <t>C7orf55</t>
  </si>
  <si>
    <t>OXNAD1</t>
  </si>
  <si>
    <t>CDKN2AIPNL</t>
  </si>
  <si>
    <t>REEP6</t>
  </si>
  <si>
    <t>PGAM5</t>
  </si>
  <si>
    <t>DDRGK1</t>
  </si>
  <si>
    <t>DHTKD1</t>
  </si>
  <si>
    <t>SCLY</t>
  </si>
  <si>
    <t>PYURF</t>
  </si>
  <si>
    <t>FUBP3</t>
  </si>
  <si>
    <t>RBM17</t>
  </si>
  <si>
    <t>WBSCR16</t>
  </si>
  <si>
    <t>NARS2</t>
  </si>
  <si>
    <t>SUCLG2</t>
  </si>
  <si>
    <t>GMPPA</t>
  </si>
  <si>
    <t>ABHD14B</t>
  </si>
  <si>
    <t>NGLY1</t>
  </si>
  <si>
    <t>PAWR</t>
  </si>
  <si>
    <t>COG3</t>
  </si>
  <si>
    <t>CDK5RAP3</t>
  </si>
  <si>
    <t>SEC16B</t>
  </si>
  <si>
    <t>CCDC132</t>
  </si>
  <si>
    <t>VCPIP1</t>
  </si>
  <si>
    <t>CLMN</t>
  </si>
  <si>
    <t>PDLIM2</t>
  </si>
  <si>
    <t>DNAJC1</t>
  </si>
  <si>
    <t>SCYL1</t>
  </si>
  <si>
    <t>EXOC2</t>
  </si>
  <si>
    <t>CNDP2</t>
  </si>
  <si>
    <t>ZFR</t>
  </si>
  <si>
    <t>SNX27</t>
  </si>
  <si>
    <t>SENP8</t>
  </si>
  <si>
    <t>DHRS1</t>
  </si>
  <si>
    <t>CNBD2</t>
  </si>
  <si>
    <t>PRRC1</t>
  </si>
  <si>
    <t>FBXL18</t>
  </si>
  <si>
    <t>HEXIM2</t>
  </si>
  <si>
    <t>YTHDC1</t>
  </si>
  <si>
    <t>WDR92</t>
  </si>
  <si>
    <t>UROC1</t>
  </si>
  <si>
    <t>RILP</t>
  </si>
  <si>
    <t>ZMAT2</t>
  </si>
  <si>
    <t>ZFP3</t>
  </si>
  <si>
    <t>AMDHD1</t>
  </si>
  <si>
    <t>RPRD1A</t>
  </si>
  <si>
    <t>IPO9</t>
  </si>
  <si>
    <t>MCEE</t>
  </si>
  <si>
    <t>RBM14</t>
  </si>
  <si>
    <t>RCHY1</t>
  </si>
  <si>
    <t>QKI</t>
  </si>
  <si>
    <t>TRAPPC9</t>
  </si>
  <si>
    <t>PLIN4</t>
  </si>
  <si>
    <t>TRNT1</t>
  </si>
  <si>
    <t>PPP1R10</t>
  </si>
  <si>
    <t>MTMR9</t>
  </si>
  <si>
    <t>VPS35</t>
  </si>
  <si>
    <t>PURB</t>
  </si>
  <si>
    <t>MAGI1</t>
  </si>
  <si>
    <t>NACC1</t>
  </si>
  <si>
    <t>SNX18</t>
  </si>
  <si>
    <t>GFM1</t>
  </si>
  <si>
    <t>MCCC1</t>
  </si>
  <si>
    <t>NUDCD1</t>
  </si>
  <si>
    <t>HMCN1</t>
  </si>
  <si>
    <t>C16orf13</t>
  </si>
  <si>
    <t>TP53RK</t>
  </si>
  <si>
    <t>CLCC1</t>
  </si>
  <si>
    <t>IWS1</t>
  </si>
  <si>
    <t>SIN3A</t>
  </si>
  <si>
    <t>OSBPL9</t>
  </si>
  <si>
    <t>ADO</t>
  </si>
  <si>
    <t>RBM15</t>
  </si>
  <si>
    <t>RUFY1</t>
  </si>
  <si>
    <t>SPEN</t>
  </si>
  <si>
    <t>MMS19</t>
  </si>
  <si>
    <t>MYCBP</t>
  </si>
  <si>
    <t>ACOX2</t>
  </si>
  <si>
    <t>TBCB</t>
  </si>
  <si>
    <t>PSMB7</t>
  </si>
  <si>
    <t>PCYT2</t>
  </si>
  <si>
    <t>CDC5L</t>
  </si>
  <si>
    <t>PSMD1</t>
  </si>
  <si>
    <t>PFDN5</t>
  </si>
  <si>
    <t>PAFAH2</t>
  </si>
  <si>
    <t>DDO</t>
  </si>
  <si>
    <t>PARK7</t>
  </si>
  <si>
    <t>VAT1</t>
  </si>
  <si>
    <t>DNAJC2</t>
  </si>
  <si>
    <t>NUP88</t>
  </si>
  <si>
    <t>PKP4</t>
  </si>
  <si>
    <t>PIK3R4</t>
  </si>
  <si>
    <t>POP1</t>
  </si>
  <si>
    <t>S100A13</t>
  </si>
  <si>
    <t>SCAF11</t>
  </si>
  <si>
    <t>TSNAX</t>
  </si>
  <si>
    <t>SEPHS2</t>
  </si>
  <si>
    <t>TTC1</t>
  </si>
  <si>
    <t>DNAJC7</t>
  </si>
  <si>
    <t>COPS8</t>
  </si>
  <si>
    <t>MGLL</t>
  </si>
  <si>
    <t>MTR</t>
  </si>
  <si>
    <t>HSD17B10</t>
  </si>
  <si>
    <t>NAP1L4</t>
  </si>
  <si>
    <t>TXN2</t>
  </si>
  <si>
    <t>ATP5S</t>
  </si>
  <si>
    <t>MIPEP</t>
  </si>
  <si>
    <t>ACO2</t>
  </si>
  <si>
    <t>COQ7</t>
  </si>
  <si>
    <t>CCT7</t>
  </si>
  <si>
    <t>MYD88</t>
  </si>
  <si>
    <t>HIST1H2BL</t>
  </si>
  <si>
    <t>BAG1</t>
  </si>
  <si>
    <t>RNF5</t>
  </si>
  <si>
    <t>PTPN18</t>
  </si>
  <si>
    <t>PKP2</t>
  </si>
  <si>
    <t>SH3GL1</t>
  </si>
  <si>
    <t>RARRES2</t>
  </si>
  <si>
    <t>AKAP9</t>
  </si>
  <si>
    <t>NIPSNAP1</t>
  </si>
  <si>
    <t>ARPC5L</t>
  </si>
  <si>
    <t>ELAC2</t>
  </si>
  <si>
    <t>C19orf43</t>
  </si>
  <si>
    <t>MACROD1</t>
  </si>
  <si>
    <t>TUBA1C</t>
  </si>
  <si>
    <t>APOL2</t>
  </si>
  <si>
    <t>MYBBP1A</t>
  </si>
  <si>
    <t>NUDT12</t>
  </si>
  <si>
    <t>LPIN3</t>
  </si>
  <si>
    <t>FYCO1</t>
  </si>
  <si>
    <t>ACBD6</t>
  </si>
  <si>
    <t>CORO1B</t>
  </si>
  <si>
    <t>TXNDC17</t>
  </si>
  <si>
    <t>CPPED1</t>
  </si>
  <si>
    <t>VPS25</t>
  </si>
  <si>
    <t>SDF4</t>
  </si>
  <si>
    <t>PAAF1</t>
  </si>
  <si>
    <t>WIBG</t>
  </si>
  <si>
    <t>MIEN1</t>
  </si>
  <si>
    <t>PELO</t>
  </si>
  <si>
    <t>TRIM56</t>
  </si>
  <si>
    <t>ERP44</t>
  </si>
  <si>
    <t>AGMAT</t>
  </si>
  <si>
    <t>TACO1</t>
  </si>
  <si>
    <t>HDHD3</t>
  </si>
  <si>
    <t>C17orf80</t>
  </si>
  <si>
    <t>ESYT1</t>
  </si>
  <si>
    <t>RTKN</t>
  </si>
  <si>
    <t>CHCHD5</t>
  </si>
  <si>
    <t>CNPY3</t>
  </si>
  <si>
    <t>ALKBH7</t>
  </si>
  <si>
    <t>PSMG3</t>
  </si>
  <si>
    <t>COPS4</t>
  </si>
  <si>
    <t>DIDO1</t>
  </si>
  <si>
    <t>MCMBP</t>
  </si>
  <si>
    <t>AARSD1</t>
  </si>
  <si>
    <t>FAM103A1</t>
  </si>
  <si>
    <t>ANP32E</t>
  </si>
  <si>
    <t>TBCD</t>
  </si>
  <si>
    <t>TTPAL</t>
  </si>
  <si>
    <t>FUCA2</t>
  </si>
  <si>
    <t>FAM203A</t>
  </si>
  <si>
    <t>DHRS4</t>
  </si>
  <si>
    <t>DOHH</t>
  </si>
  <si>
    <t>ISCA1</t>
  </si>
  <si>
    <t>C9orf142</t>
  </si>
  <si>
    <t>HNRNPUL1</t>
  </si>
  <si>
    <t>EFHD1</t>
  </si>
  <si>
    <t>DDX23</t>
  </si>
  <si>
    <t>BDH2</t>
  </si>
  <si>
    <t>FAM195A</t>
  </si>
  <si>
    <t>C1orf50</t>
  </si>
  <si>
    <t>MRI1</t>
  </si>
  <si>
    <t>THUMPD3</t>
  </si>
  <si>
    <t>ADI1</t>
  </si>
  <si>
    <t>MECR</t>
  </si>
  <si>
    <t>NTMT1</t>
  </si>
  <si>
    <t>PBDC1</t>
  </si>
  <si>
    <t>DUSP23</t>
  </si>
  <si>
    <t>SELO</t>
  </si>
  <si>
    <t>GGACT</t>
  </si>
  <si>
    <t>TRMT61B</t>
  </si>
  <si>
    <t>DDA1</t>
  </si>
  <si>
    <t>HIRIP3</t>
  </si>
  <si>
    <t>IFT27</t>
  </si>
  <si>
    <t>CCDC94</t>
  </si>
  <si>
    <t>NUDT9</t>
  </si>
  <si>
    <t>TARS2</t>
  </si>
  <si>
    <t>ACAT2</t>
  </si>
  <si>
    <t>REPIN1</t>
  </si>
  <si>
    <t>RBM4</t>
  </si>
  <si>
    <t>SLC4A1AP</t>
  </si>
  <si>
    <t>SORBS1</t>
  </si>
  <si>
    <t>HINT2</t>
  </si>
  <si>
    <t>TBC1D10A</t>
  </si>
  <si>
    <t>NAA15</t>
  </si>
  <si>
    <t>BCL2L13</t>
  </si>
  <si>
    <t>SRRT</t>
  </si>
  <si>
    <t>QTRT1</t>
  </si>
  <si>
    <t>NUSAP1</t>
  </si>
  <si>
    <t>STK31</t>
  </si>
  <si>
    <t>C14orf142</t>
  </si>
  <si>
    <t>CECR5</t>
  </si>
  <si>
    <t>ITPA</t>
  </si>
  <si>
    <t>RTFDC1</t>
  </si>
  <si>
    <t>CHMP4A</t>
  </si>
  <si>
    <t>PECR</t>
  </si>
  <si>
    <t>KIAA1671</t>
  </si>
  <si>
    <t>MRPL1</t>
  </si>
  <si>
    <t>MRPS26</t>
  </si>
  <si>
    <t>NLN</t>
  </si>
  <si>
    <t>AGXT2</t>
  </si>
  <si>
    <t>BCO2</t>
  </si>
  <si>
    <t>PANK2</t>
  </si>
  <si>
    <t>PUS3</t>
  </si>
  <si>
    <t>ASPSCR1</t>
  </si>
  <si>
    <t>DPH1</t>
  </si>
  <si>
    <t>WDR11</t>
  </si>
  <si>
    <t>UPF3B</t>
  </si>
  <si>
    <t>TBL1XR1</t>
  </si>
  <si>
    <t>UBL5</t>
  </si>
  <si>
    <t>PPP1R12C</t>
  </si>
  <si>
    <t>API5</t>
  </si>
  <si>
    <t>DPY30</t>
  </si>
  <si>
    <t>TRIM2</t>
  </si>
  <si>
    <t>UNK</t>
  </si>
  <si>
    <t>FTO</t>
  </si>
  <si>
    <t>ZDHHC5</t>
  </si>
  <si>
    <t>TNKS1BP1</t>
  </si>
  <si>
    <t>UBE2O</t>
  </si>
  <si>
    <t>SRCIN1</t>
  </si>
  <si>
    <t>MTMR12</t>
  </si>
  <si>
    <t>WDR33</t>
  </si>
  <si>
    <t>PITHD1</t>
  </si>
  <si>
    <t>COMMD5</t>
  </si>
  <si>
    <t>SLIRP</t>
  </si>
  <si>
    <t>NIF3L1</t>
  </si>
  <si>
    <t>EGLN1</t>
  </si>
  <si>
    <t>FAM192A</t>
  </si>
  <si>
    <t>UBA5</t>
  </si>
  <si>
    <t>LHPP</t>
  </si>
  <si>
    <t>PAIP1</t>
  </si>
  <si>
    <t>FAM107B</t>
  </si>
  <si>
    <t>ILKAP</t>
  </si>
  <si>
    <t>XRN2</t>
  </si>
  <si>
    <t>TOLLIP</t>
  </si>
  <si>
    <t>SHARPIN</t>
  </si>
  <si>
    <t>NSRP1</t>
  </si>
  <si>
    <t>CSTF2T</t>
  </si>
  <si>
    <t>NT5C3A</t>
  </si>
  <si>
    <t>QRSL1</t>
  </si>
  <si>
    <t>RAB1B</t>
  </si>
  <si>
    <t>C11orf54</t>
  </si>
  <si>
    <t>NUCKS1</t>
  </si>
  <si>
    <t>KIF13A</t>
  </si>
  <si>
    <t>UPF3A</t>
  </si>
  <si>
    <t>ZFYVE20</t>
  </si>
  <si>
    <t>ISCU</t>
  </si>
  <si>
    <t>OSBPL2</t>
  </si>
  <si>
    <t>ATG5</t>
  </si>
  <si>
    <t>WDR13</t>
  </si>
  <si>
    <t>GBA3</t>
  </si>
  <si>
    <t>VPS33B</t>
  </si>
  <si>
    <t>ALDH8A1</t>
  </si>
  <si>
    <t>TRIOBP</t>
  </si>
  <si>
    <t>SLK</t>
  </si>
  <si>
    <t>PPIL3</t>
  </si>
  <si>
    <t>BHMT2</t>
  </si>
  <si>
    <t>RAB3GAP2</t>
  </si>
  <si>
    <t>ADNP</t>
  </si>
  <si>
    <t>DHX36</t>
  </si>
  <si>
    <t>PPA2</t>
  </si>
  <si>
    <t>MRPL46</t>
  </si>
  <si>
    <t>PNN</t>
  </si>
  <si>
    <t>CPVL</t>
  </si>
  <si>
    <t>C11orf68</t>
  </si>
  <si>
    <t>BOLA2</t>
  </si>
  <si>
    <t>TMX1</t>
  </si>
  <si>
    <t>NELFA</t>
  </si>
  <si>
    <t>ACBD3</t>
  </si>
  <si>
    <t>PTPN23</t>
  </si>
  <si>
    <t>UNC45A</t>
  </si>
  <si>
    <t>PPDPF</t>
  </si>
  <si>
    <t>LIME1</t>
  </si>
  <si>
    <t>CHMP4B</t>
  </si>
  <si>
    <t>FN3K</t>
  </si>
  <si>
    <t>POFUT1</t>
  </si>
  <si>
    <t>RNPEP</t>
  </si>
  <si>
    <t>OSGEPL1</t>
  </si>
  <si>
    <t>ZHX3</t>
  </si>
  <si>
    <t>EHD1</t>
  </si>
  <si>
    <t>RABEP2</t>
  </si>
  <si>
    <t>TFB2M</t>
  </si>
  <si>
    <t>FAM96A</t>
  </si>
  <si>
    <t>NARFL</t>
  </si>
  <si>
    <t>ACSS3</t>
  </si>
  <si>
    <t>EPS8L2</t>
  </si>
  <si>
    <t>ESRP2</t>
  </si>
  <si>
    <t>BCAS3</t>
  </si>
  <si>
    <t>DCTPP1</t>
  </si>
  <si>
    <t>SH2D4A</t>
  </si>
  <si>
    <t>AAMDC</t>
  </si>
  <si>
    <t>DOCK5</t>
  </si>
  <si>
    <t>TDRD3</t>
  </si>
  <si>
    <t>SCAF1</t>
  </si>
  <si>
    <t>KAT8</t>
  </si>
  <si>
    <t>PTGES2</t>
  </si>
  <si>
    <t>PHAX</t>
  </si>
  <si>
    <t>UBE2Z</t>
  </si>
  <si>
    <t>ACAD9</t>
  </si>
  <si>
    <t>FAM188A</t>
  </si>
  <si>
    <t>MOB1A</t>
  </si>
  <si>
    <t>ZFAND3</t>
  </si>
  <si>
    <t>PLEKHF2</t>
  </si>
  <si>
    <t>GORASP2</t>
  </si>
  <si>
    <t>QTRTD1</t>
  </si>
  <si>
    <t>C6orf211</t>
  </si>
  <si>
    <t>PANK3</t>
  </si>
  <si>
    <t>CNOT10</t>
  </si>
  <si>
    <t>LRRC40</t>
  </si>
  <si>
    <t>EHMT1</t>
  </si>
  <si>
    <t>VIPAS39</t>
  </si>
  <si>
    <t>COG4</t>
  </si>
  <si>
    <t>AGO3</t>
  </si>
  <si>
    <t>MRPL44</t>
  </si>
  <si>
    <t>COPS7B</t>
  </si>
  <si>
    <t>CAB39L</t>
  </si>
  <si>
    <t>ELP3</t>
  </si>
  <si>
    <t>FN3KRP</t>
  </si>
  <si>
    <t>TBC1D17</t>
  </si>
  <si>
    <t>CARS2</t>
  </si>
  <si>
    <t>PPCS</t>
  </si>
  <si>
    <t>C7orf10</t>
  </si>
  <si>
    <t>NMNAT1</t>
  </si>
  <si>
    <t>MLXIP</t>
  </si>
  <si>
    <t>SIAE</t>
  </si>
  <si>
    <t>PLEKHA5</t>
  </si>
  <si>
    <t>UPF2</t>
  </si>
  <si>
    <t>GRPEL1</t>
  </si>
  <si>
    <t>C12orf10</t>
  </si>
  <si>
    <t>CACYBP</t>
  </si>
  <si>
    <t>RRAGC</t>
  </si>
  <si>
    <t>ZFYVE1</t>
  </si>
  <si>
    <t>PDF</t>
  </si>
  <si>
    <t>AS3MT</t>
  </si>
  <si>
    <t>NMRAL1</t>
  </si>
  <si>
    <t>EML4</t>
  </si>
  <si>
    <t>GLOD4</t>
  </si>
  <si>
    <t>SPON1</t>
  </si>
  <si>
    <t>MCCC2</t>
  </si>
  <si>
    <t>METTL14</t>
  </si>
  <si>
    <t>ARHGEF10L</t>
  </si>
  <si>
    <t>GPN1</t>
  </si>
  <si>
    <t>SDF2L1</t>
  </si>
  <si>
    <t>SRA1</t>
  </si>
  <si>
    <t>GOPC</t>
  </si>
  <si>
    <t>MRPL47</t>
  </si>
  <si>
    <t>SEPSECS</t>
  </si>
  <si>
    <t>CHMP1A</t>
  </si>
  <si>
    <t>RETN</t>
  </si>
  <si>
    <t>JPH1</t>
  </si>
  <si>
    <t>ARFGAP3</t>
  </si>
  <si>
    <t>MLXIPL</t>
  </si>
  <si>
    <t>RAB18</t>
  </si>
  <si>
    <t>PALMD</t>
  </si>
  <si>
    <t>VTA1</t>
  </si>
  <si>
    <t>DYNLRB1</t>
  </si>
  <si>
    <t>ENY2</t>
  </si>
  <si>
    <t>EXOSC4</t>
  </si>
  <si>
    <t>OSGEP</t>
  </si>
  <si>
    <t>ACP6</t>
  </si>
  <si>
    <t>ACOT13</t>
  </si>
  <si>
    <t>MED4</t>
  </si>
  <si>
    <t>RIC8A</t>
  </si>
  <si>
    <t>TIGAR</t>
  </si>
  <si>
    <t>A1CF</t>
  </si>
  <si>
    <t>RPRD1B</t>
  </si>
  <si>
    <t>XPNPEP3</t>
  </si>
  <si>
    <t>PFDN4</t>
  </si>
  <si>
    <t>NIT2</t>
  </si>
  <si>
    <t>AVEN</t>
  </si>
  <si>
    <t>KIF13B</t>
  </si>
  <si>
    <t>XPNPEP1</t>
  </si>
  <si>
    <t>GPHN</t>
  </si>
  <si>
    <t>BIRC6</t>
  </si>
  <si>
    <t>ACSS2</t>
  </si>
  <si>
    <t>DIABLO</t>
  </si>
  <si>
    <t>SAR1A</t>
  </si>
  <si>
    <t>POLE4</t>
  </si>
  <si>
    <t>NANS</t>
  </si>
  <si>
    <t>SH3GLB2</t>
  </si>
  <si>
    <t>EIF2B3</t>
  </si>
  <si>
    <t>CTPS2</t>
  </si>
  <si>
    <t>POLE3</t>
  </si>
  <si>
    <t>SDR39U1</t>
  </si>
  <si>
    <t>AASDHPPT</t>
  </si>
  <si>
    <t>UBQLN4</t>
  </si>
  <si>
    <t>HEBP1</t>
  </si>
  <si>
    <t>PHPT1</t>
  </si>
  <si>
    <t>INIP</t>
  </si>
  <si>
    <t>ARHGAP35</t>
  </si>
  <si>
    <t>FAM114A2</t>
  </si>
  <si>
    <t>GLRX2</t>
  </si>
  <si>
    <t>LANCL2</t>
  </si>
  <si>
    <t>IARS2</t>
  </si>
  <si>
    <t>KLC4</t>
  </si>
  <si>
    <t>NRBP2</t>
  </si>
  <si>
    <t>BMP2K</t>
  </si>
  <si>
    <t>STARD5</t>
  </si>
  <si>
    <t>ATG3</t>
  </si>
  <si>
    <t>SIRT3</t>
  </si>
  <si>
    <t>MAN2C1</t>
  </si>
  <si>
    <t>OLA1</t>
  </si>
  <si>
    <t>ECHDC1</t>
  </si>
  <si>
    <t>RBM12</t>
  </si>
  <si>
    <t>LYRM2</t>
  </si>
  <si>
    <t>ACSS1</t>
  </si>
  <si>
    <t>DECR2</t>
  </si>
  <si>
    <t>ABHD10</t>
  </si>
  <si>
    <t>C19orf66</t>
  </si>
  <si>
    <t>BLOC1S4</t>
  </si>
  <si>
    <t>TXLNG</t>
  </si>
  <si>
    <t>SPATS2L</t>
  </si>
  <si>
    <t>ABCF3</t>
  </si>
  <si>
    <t>FAM49B</t>
  </si>
  <si>
    <t>GIMAP4</t>
  </si>
  <si>
    <t>TBC1D23</t>
  </si>
  <si>
    <t>EXOC1</t>
  </si>
  <si>
    <t>PARVA</t>
  </si>
  <si>
    <t>PANK4</t>
  </si>
  <si>
    <t>ETNK2</t>
  </si>
  <si>
    <t>TBC1D13</t>
  </si>
  <si>
    <t>TMLHE</t>
  </si>
  <si>
    <t>PNPO</t>
  </si>
  <si>
    <t>ARMC1</t>
  </si>
  <si>
    <t>NLE1</t>
  </si>
  <si>
    <t>NECAP2</t>
  </si>
  <si>
    <t>RBM22</t>
  </si>
  <si>
    <t>BSDC1</t>
  </si>
  <si>
    <t>WDR70</t>
  </si>
  <si>
    <t>ARGLU1</t>
  </si>
  <si>
    <t>SLTM</t>
  </si>
  <si>
    <t>AURKAIP1</t>
  </si>
  <si>
    <t>OXSM</t>
  </si>
  <si>
    <t>C1orf123</t>
  </si>
  <si>
    <t>NMRK1</t>
  </si>
  <si>
    <t>C4orf27</t>
  </si>
  <si>
    <t>IRAK4</t>
  </si>
  <si>
    <t>FAM206A</t>
  </si>
  <si>
    <t>ADPRHL2</t>
  </si>
  <si>
    <t>HYPK</t>
  </si>
  <si>
    <t>SIRT5</t>
  </si>
  <si>
    <t>MTMR10</t>
  </si>
  <si>
    <t>THUMPD1</t>
  </si>
  <si>
    <t>TRMT1</t>
  </si>
  <si>
    <t>BRE</t>
  </si>
  <si>
    <t>ARL15</t>
  </si>
  <si>
    <t>CDKN2AIP</t>
  </si>
  <si>
    <t>DNAJB12</t>
  </si>
  <si>
    <t>PPP4R2</t>
  </si>
  <si>
    <t>DPP3</t>
  </si>
  <si>
    <t>BCLAF1</t>
  </si>
  <si>
    <t>COA4</t>
  </si>
  <si>
    <t>MLTK</t>
  </si>
  <si>
    <t>TMOD3</t>
  </si>
  <si>
    <t>HAO2</t>
  </si>
  <si>
    <t>UGGT1</t>
  </si>
  <si>
    <t>FASTKD2</t>
  </si>
  <si>
    <t>ERAP1</t>
  </si>
  <si>
    <t>ACTR10</t>
  </si>
  <si>
    <t>C9orf78</t>
  </si>
  <si>
    <t>FAM120A</t>
  </si>
  <si>
    <t>MOCS1</t>
  </si>
  <si>
    <t>COQ3</t>
  </si>
  <si>
    <t>NUDT4</t>
  </si>
  <si>
    <t>HSPBP1</t>
  </si>
  <si>
    <t>MAT2B</t>
  </si>
  <si>
    <t>ITSN2</t>
  </si>
  <si>
    <t>ARHGEF12</t>
  </si>
  <si>
    <t>CNOT2</t>
  </si>
  <si>
    <t>AIPL1</t>
  </si>
  <si>
    <t>C1RL</t>
  </si>
  <si>
    <t>OGFR</t>
  </si>
  <si>
    <t>LMCD1</t>
  </si>
  <si>
    <t>CHMP5</t>
  </si>
  <si>
    <t>COMMD9</t>
  </si>
  <si>
    <t>CWC15</t>
  </si>
  <si>
    <t>THYN1</t>
  </si>
  <si>
    <t>NDUFAF4</t>
  </si>
  <si>
    <t>PDP1</t>
  </si>
  <si>
    <t>RAI14</t>
  </si>
  <si>
    <t>VAPA</t>
  </si>
  <si>
    <t>C6orf203</t>
  </si>
  <si>
    <t>GSKIP</t>
  </si>
  <si>
    <t>PIPOX</t>
  </si>
  <si>
    <t>ABRACL</t>
  </si>
  <si>
    <t>CAMSAP3</t>
  </si>
  <si>
    <t>CALCOCO1</t>
  </si>
  <si>
    <t>KIAA1522</t>
  </si>
  <si>
    <t>DIP2B</t>
  </si>
  <si>
    <t>KIAA1462</t>
  </si>
  <si>
    <t>SLAIN2</t>
  </si>
  <si>
    <t>BCCIP</t>
  </si>
  <si>
    <t>COPZ2</t>
  </si>
  <si>
    <t>HEATR5B</t>
  </si>
  <si>
    <t>RRBP1</t>
  </si>
  <si>
    <t>CGN</t>
  </si>
  <si>
    <t>RBM27</t>
  </si>
  <si>
    <t>ANKFY1</t>
  </si>
  <si>
    <t>IMPACT</t>
  </si>
  <si>
    <t>ATXN10</t>
  </si>
  <si>
    <t>MBD2</t>
  </si>
  <si>
    <t>EPS15L1</t>
  </si>
  <si>
    <t>SAE1</t>
  </si>
  <si>
    <t>COPG2</t>
  </si>
  <si>
    <t>RNF7</t>
  </si>
  <si>
    <t>MTRR</t>
  </si>
  <si>
    <t>ASH2L</t>
  </si>
  <si>
    <t>HDAC6</t>
  </si>
  <si>
    <t>METTL1</t>
  </si>
  <si>
    <t>VPS29</t>
  </si>
  <si>
    <t>GRHPR</t>
  </si>
  <si>
    <t>UPB1</t>
  </si>
  <si>
    <t>CTSZ</t>
  </si>
  <si>
    <t>DNAJB11</t>
  </si>
  <si>
    <t>RNF14</t>
  </si>
  <si>
    <t>UBA2</t>
  </si>
  <si>
    <t>PEF1</t>
  </si>
  <si>
    <t>COPS7A</t>
  </si>
  <si>
    <t>CTSF</t>
  </si>
  <si>
    <t>AASS</t>
  </si>
  <si>
    <t>SEC14L4</t>
  </si>
  <si>
    <t>TJP2</t>
  </si>
  <si>
    <t>CFDP1</t>
  </si>
  <si>
    <t>VTI1B</t>
  </si>
  <si>
    <t>ADD3</t>
  </si>
  <si>
    <t>NIPSNAP3A</t>
  </si>
  <si>
    <t>CGGBP1</t>
  </si>
  <si>
    <t>MTRF1L</t>
  </si>
  <si>
    <t>TES</t>
  </si>
  <si>
    <t>PRKAG2</t>
  </si>
  <si>
    <t>LIMD1</t>
  </si>
  <si>
    <t>SWAP70</t>
  </si>
  <si>
    <t>LAMTOR3</t>
  </si>
  <si>
    <t>LIMA1</t>
  </si>
  <si>
    <t>SRP68</t>
  </si>
  <si>
    <t>CHORDC1</t>
  </si>
  <si>
    <t>SEPT9</t>
  </si>
  <si>
    <t>UBQLN2</t>
  </si>
  <si>
    <t>SHPK</t>
  </si>
  <si>
    <t>DPP7</t>
  </si>
  <si>
    <t>POLG2</t>
  </si>
  <si>
    <t>PFDN2</t>
  </si>
  <si>
    <t>PUF60</t>
  </si>
  <si>
    <t>ENOPH1</t>
  </si>
  <si>
    <t>EVL</t>
  </si>
  <si>
    <t>EIF2B4</t>
  </si>
  <si>
    <t>ATP6V1H</t>
  </si>
  <si>
    <t>DMGDH</t>
  </si>
  <si>
    <t>GLS2</t>
  </si>
  <si>
    <t>XPO7</t>
  </si>
  <si>
    <t>VPS51</t>
  </si>
  <si>
    <t>ATPIF1</t>
  </si>
  <si>
    <t>AK3</t>
  </si>
  <si>
    <t>CNOT7</t>
  </si>
  <si>
    <t>KCNG1</t>
  </si>
  <si>
    <t>RABGEF1</t>
  </si>
  <si>
    <t>MSRA</t>
  </si>
  <si>
    <t>NAGK</t>
  </si>
  <si>
    <t>TRMT6</t>
  </si>
  <si>
    <t>SH3BGRL2</t>
  </si>
  <si>
    <t>ERRFI1</t>
  </si>
  <si>
    <t>HAO1</t>
  </si>
  <si>
    <t>DBNL</t>
  </si>
  <si>
    <t>DCTN4</t>
  </si>
  <si>
    <t>GGA1</t>
  </si>
  <si>
    <t>FBXO2</t>
  </si>
  <si>
    <t>VPS28</t>
  </si>
  <si>
    <t>DBR1</t>
  </si>
  <si>
    <t>FBXO3</t>
  </si>
  <si>
    <t>DNAJC12</t>
  </si>
  <si>
    <t>TNIK</t>
  </si>
  <si>
    <t>APPL1</t>
  </si>
  <si>
    <t>CROT</t>
  </si>
  <si>
    <t>GPATCH8</t>
  </si>
  <si>
    <t>NUDT5</t>
  </si>
  <si>
    <t>PCTP</t>
  </si>
  <si>
    <t>PACSIN3</t>
  </si>
  <si>
    <t>FBXO4</t>
  </si>
  <si>
    <t>ACAD8</t>
  </si>
  <si>
    <t>AGO2</t>
  </si>
  <si>
    <t>NUP50</t>
  </si>
  <si>
    <t>CDV3</t>
  </si>
  <si>
    <t>SARDH</t>
  </si>
  <si>
    <t>RAB21</t>
  </si>
  <si>
    <t>RAB22A</t>
  </si>
  <si>
    <t>PNMA2</t>
  </si>
  <si>
    <t>PSME2</t>
  </si>
  <si>
    <t>DNPEP</t>
  </si>
  <si>
    <t>MCTS1</t>
  </si>
  <si>
    <t>ACSL5</t>
  </si>
  <si>
    <t>OGDHL</t>
  </si>
  <si>
    <t>MTUS1</t>
  </si>
  <si>
    <t>MKL2</t>
  </si>
  <si>
    <t>TBC1D24</t>
  </si>
  <si>
    <t>HECTD1</t>
  </si>
  <si>
    <t>CORO1C</t>
  </si>
  <si>
    <t>EPDR1</t>
  </si>
  <si>
    <t>DDX19B</t>
  </si>
  <si>
    <t>NFU1</t>
  </si>
  <si>
    <t>PRPF19</t>
  </si>
  <si>
    <t>UBQLN1</t>
  </si>
  <si>
    <t>NENF</t>
  </si>
  <si>
    <t>SNX12</t>
  </si>
  <si>
    <t>SYNRG</t>
  </si>
  <si>
    <t>NDRG2</t>
  </si>
  <si>
    <t>G3BP2</t>
  </si>
  <si>
    <t>STUB1</t>
  </si>
  <si>
    <t>PACSIN2</t>
  </si>
  <si>
    <t>MAGED2</t>
  </si>
  <si>
    <t>SNX6</t>
  </si>
  <si>
    <t>PSMD13</t>
  </si>
  <si>
    <t>FAF1</t>
  </si>
  <si>
    <t>COPS3</t>
  </si>
  <si>
    <t>NSFL1C</t>
  </si>
  <si>
    <t>COG5</t>
  </si>
  <si>
    <t>SCAF8</t>
  </si>
  <si>
    <t>PPP6R1</t>
  </si>
  <si>
    <t>TRIM33</t>
  </si>
  <si>
    <t>TNRC6B</t>
  </si>
  <si>
    <t>EXOC7</t>
  </si>
  <si>
    <t>USP24</t>
  </si>
  <si>
    <t>TBC1D2B</t>
  </si>
  <si>
    <t>DICER1</t>
  </si>
  <si>
    <t>MAPRE3</t>
  </si>
  <si>
    <t>SRRM2</t>
  </si>
  <si>
    <t>PA2G4</t>
  </si>
  <si>
    <t>CDK11A</t>
  </si>
  <si>
    <t>BAIAP2</t>
  </si>
  <si>
    <t>SMC3</t>
  </si>
  <si>
    <t>CHMP2B</t>
  </si>
  <si>
    <t>MTMR6</t>
  </si>
  <si>
    <t>GNE</t>
  </si>
  <si>
    <t>C14orf166</t>
  </si>
  <si>
    <t>RUVBL2</t>
  </si>
  <si>
    <t>PIN4</t>
  </si>
  <si>
    <t>CHKB</t>
  </si>
  <si>
    <t>EIF3L</t>
  </si>
  <si>
    <t>PLAA</t>
  </si>
  <si>
    <t>RUVBL1</t>
  </si>
  <si>
    <t>NUDC</t>
  </si>
  <si>
    <t>CFL2</t>
  </si>
  <si>
    <t>DRG1</t>
  </si>
  <si>
    <t>NCKAP1</t>
  </si>
  <si>
    <t>CNPY2</t>
  </si>
  <si>
    <t>EXOC6B</t>
  </si>
  <si>
    <t>AKAP2</t>
  </si>
  <si>
    <t>DIP2C</t>
  </si>
  <si>
    <t>PLEKHA6</t>
  </si>
  <si>
    <t>NISCH</t>
  </si>
  <si>
    <t>TRAPPC8</t>
  </si>
  <si>
    <t>SLC27A5</t>
  </si>
  <si>
    <t>GSTK1</t>
  </si>
  <si>
    <t>LAMTOR2</t>
  </si>
  <si>
    <t>MRPS28</t>
  </si>
  <si>
    <t>CRYL1</t>
  </si>
  <si>
    <t>TMA7</t>
  </si>
  <si>
    <t>POLDIP2</t>
  </si>
  <si>
    <t>AP3M1</t>
  </si>
  <si>
    <t>GDA</t>
  </si>
  <si>
    <t>CARHSP1</t>
  </si>
  <si>
    <t>COG6</t>
  </si>
  <si>
    <t>THRAP3</t>
  </si>
  <si>
    <t>SUGT1</t>
  </si>
  <si>
    <t>MTO1</t>
  </si>
  <si>
    <t>YARS2</t>
  </si>
  <si>
    <t>AMDHD2</t>
  </si>
  <si>
    <t>ACOT9</t>
  </si>
  <si>
    <t>AAR2</t>
  </si>
  <si>
    <t>NOSIP</t>
  </si>
  <si>
    <t>DERA</t>
  </si>
  <si>
    <t>MEMO1</t>
  </si>
  <si>
    <t>LSM2</t>
  </si>
  <si>
    <t>SH3GLB1</t>
  </si>
  <si>
    <t>CAB39</t>
  </si>
  <si>
    <t>LUC7L2</t>
  </si>
  <si>
    <t>UBE2J1</t>
  </si>
  <si>
    <t>MRPS2</t>
  </si>
  <si>
    <t>SBDS</t>
  </si>
  <si>
    <t>RRP15</t>
  </si>
  <si>
    <t>NOP16</t>
  </si>
  <si>
    <t>TPRKB</t>
  </si>
  <si>
    <t>PPIL1</t>
  </si>
  <si>
    <t>UFC1</t>
  </si>
  <si>
    <t>FAM96B</t>
  </si>
  <si>
    <t>MSRB2</t>
  </si>
  <si>
    <t>MRPS16</t>
  </si>
  <si>
    <t>FIS1</t>
  </si>
  <si>
    <t>BOLA1</t>
  </si>
  <si>
    <t>STRAP</t>
  </si>
  <si>
    <t>C22orf28</t>
  </si>
  <si>
    <t>FBXO7</t>
  </si>
  <si>
    <t>RAP2C</t>
  </si>
  <si>
    <t>RABGAP1</t>
  </si>
  <si>
    <t>DOPEY2</t>
  </si>
  <si>
    <t>ZNF330</t>
  </si>
  <si>
    <t>NOC2L</t>
  </si>
  <si>
    <t>CCDC9</t>
  </si>
  <si>
    <t>CHTOP</t>
  </si>
  <si>
    <t>SAMHD1</t>
  </si>
  <si>
    <t>PKP3</t>
  </si>
  <si>
    <t>PRKAB1</t>
  </si>
  <si>
    <t>TLN1</t>
  </si>
  <si>
    <t>VPRBP</t>
  </si>
  <si>
    <t>FAM115A</t>
  </si>
  <si>
    <t>USP15</t>
  </si>
  <si>
    <t>FARP1</t>
  </si>
  <si>
    <t>TLN2</t>
  </si>
  <si>
    <t>IRS2</t>
  </si>
  <si>
    <t>AIM1</t>
  </si>
  <si>
    <t>TRAF6</t>
  </si>
  <si>
    <t>WIPI2</t>
  </si>
  <si>
    <t>ARIH1</t>
  </si>
  <si>
    <t>LSM4</t>
  </si>
  <si>
    <t>PRRC2C</t>
  </si>
  <si>
    <t>PPME1</t>
  </si>
  <si>
    <t>NUB1</t>
  </si>
  <si>
    <t>YTHDF2</t>
  </si>
  <si>
    <t>CTDP1</t>
  </si>
  <si>
    <t>TIMM9</t>
  </si>
  <si>
    <t>TIMM8B</t>
  </si>
  <si>
    <t>UCHL5</t>
  </si>
  <si>
    <t>CD2AP</t>
  </si>
  <si>
    <t>ATP6V1D</t>
  </si>
  <si>
    <t>TNPO3</t>
  </si>
  <si>
    <t>TIMM13</t>
  </si>
  <si>
    <t>COL4A3BP</t>
  </si>
  <si>
    <t>GMPPB</t>
  </si>
  <si>
    <t>CDC42BPB</t>
  </si>
  <si>
    <t>RBM8A</t>
  </si>
  <si>
    <t>SNX9</t>
  </si>
  <si>
    <t>SNX5</t>
  </si>
  <si>
    <t>HEBP2</t>
  </si>
  <si>
    <t>LRRFIP2</t>
  </si>
  <si>
    <t>PSAT1</t>
  </si>
  <si>
    <t>CPQ</t>
  </si>
  <si>
    <t>COPG1</t>
  </si>
  <si>
    <t>FKBP7</t>
  </si>
  <si>
    <t>CLIC4</t>
  </si>
  <si>
    <t>NFS1</t>
  </si>
  <si>
    <t>ARFGEF2</t>
  </si>
  <si>
    <t>ARFGEF1</t>
  </si>
  <si>
    <t>COMMD10</t>
  </si>
  <si>
    <t>DYNC1LI1</t>
  </si>
  <si>
    <t>CHCHD2</t>
  </si>
  <si>
    <t>EPN1</t>
  </si>
  <si>
    <t>TEX264</t>
  </si>
  <si>
    <t>OAS3</t>
  </si>
  <si>
    <t>IKBKG</t>
  </si>
  <si>
    <t>SQRDL</t>
  </si>
  <si>
    <t>PCLO</t>
  </si>
  <si>
    <t>CAPN7</t>
  </si>
  <si>
    <t>WASF2</t>
  </si>
  <si>
    <t>ZHX2</t>
  </si>
  <si>
    <t>ZW10</t>
  </si>
  <si>
    <t>NELFE</t>
  </si>
  <si>
    <t>EXOSC2</t>
  </si>
  <si>
    <t>RAB3GAP1</t>
  </si>
  <si>
    <t>PRCC</t>
  </si>
  <si>
    <t>HN1L</t>
  </si>
  <si>
    <t>ZMYM3</t>
  </si>
  <si>
    <t>HSPB11</t>
  </si>
  <si>
    <t>DIAPH2</t>
  </si>
  <si>
    <t>DSCR3</t>
  </si>
  <si>
    <t>NAE1</t>
  </si>
  <si>
    <t>HOOK1</t>
  </si>
  <si>
    <t>TUBA4A</t>
  </si>
  <si>
    <t>ATF7IP</t>
  </si>
  <si>
    <t>GGPS1</t>
  </si>
  <si>
    <t>SRRM1</t>
  </si>
  <si>
    <t>BAG6</t>
  </si>
  <si>
    <t>PSMB9</t>
  </si>
  <si>
    <t>CAPZB</t>
  </si>
  <si>
    <t>CFHR1</t>
  </si>
  <si>
    <t>EIF4ENIF1</t>
  </si>
  <si>
    <t>NFIA</t>
  </si>
  <si>
    <t>PEA15</t>
  </si>
  <si>
    <t>CDC37L1</t>
  </si>
  <si>
    <t>PALM2-AKAP2</t>
  </si>
  <si>
    <t>TRAF2</t>
  </si>
  <si>
    <t>GUK1</t>
  </si>
  <si>
    <t>RANBP10</t>
  </si>
  <si>
    <t>LZTFL1</t>
  </si>
  <si>
    <t>PHF23</t>
  </si>
  <si>
    <t>DDX58</t>
  </si>
  <si>
    <t>RXRA</t>
  </si>
  <si>
    <t>RPUSD2</t>
  </si>
  <si>
    <t>CNN2</t>
  </si>
  <si>
    <t>MON1B</t>
  </si>
  <si>
    <t>CTNNBL1</t>
  </si>
  <si>
    <t>NSF</t>
  </si>
  <si>
    <t>HUS1</t>
  </si>
  <si>
    <t>NDUFS3</t>
  </si>
  <si>
    <t>COMMD1</t>
  </si>
  <si>
    <t>CTNNB1</t>
  </si>
  <si>
    <t>PIP4K2A</t>
  </si>
  <si>
    <t>MAP1S</t>
  </si>
  <si>
    <t>BNIP3</t>
  </si>
  <si>
    <t>ACSF2</t>
  </si>
  <si>
    <t>TGM2</t>
  </si>
  <si>
    <t>GLMN</t>
  </si>
  <si>
    <t>RAB5A</t>
  </si>
  <si>
    <t>SNRPD3</t>
  </si>
  <si>
    <t>CS</t>
  </si>
  <si>
    <t>AKR1C2</t>
  </si>
  <si>
    <t>ZYG11B</t>
  </si>
  <si>
    <t>COMP</t>
  </si>
  <si>
    <t>LSR</t>
  </si>
  <si>
    <t>ATP5C1</t>
  </si>
  <si>
    <t>CHURC1-FNTB</t>
  </si>
  <si>
    <t>DDX5</t>
  </si>
  <si>
    <t>PTGES3</t>
  </si>
  <si>
    <t>WDR77</t>
  </si>
  <si>
    <t>MKRN2</t>
  </si>
  <si>
    <t>EIF2A</t>
  </si>
  <si>
    <t>GOSR1</t>
  </si>
  <si>
    <t>PGD</t>
  </si>
  <si>
    <t>STK24</t>
  </si>
  <si>
    <t>CHM</t>
  </si>
  <si>
    <t>PTPN1</t>
  </si>
  <si>
    <t>ANXA7</t>
  </si>
  <si>
    <t>LSM14A</t>
  </si>
  <si>
    <t>BPNT1</t>
  </si>
  <si>
    <t>RBKS</t>
  </si>
  <si>
    <t>DHX38</t>
  </si>
  <si>
    <t>EIF3D</t>
  </si>
  <si>
    <t>HACL1</t>
  </si>
  <si>
    <t>MCM3</t>
  </si>
  <si>
    <t>KRT72</t>
  </si>
  <si>
    <t>CLPB</t>
  </si>
  <si>
    <t>RMDN1</t>
  </si>
  <si>
    <t>ATE1</t>
  </si>
  <si>
    <t>CFB</t>
  </si>
  <si>
    <t>SFRS3</t>
  </si>
  <si>
    <t>HADHB</t>
  </si>
  <si>
    <t>STK38L</t>
  </si>
  <si>
    <t>CECR1</t>
  </si>
  <si>
    <t>RPA3</t>
  </si>
  <si>
    <t>RPS7</t>
  </si>
  <si>
    <t>SEPT2</t>
  </si>
  <si>
    <t>PGRMC1</t>
  </si>
  <si>
    <t>ATP6V1A</t>
  </si>
  <si>
    <t>CYTH1</t>
  </si>
  <si>
    <t>CHN2</t>
  </si>
  <si>
    <t>MAOB</t>
  </si>
  <si>
    <t>PDIA6</t>
  </si>
  <si>
    <t>PPM1F</t>
  </si>
  <si>
    <t>LAMP2</t>
  </si>
  <si>
    <t>ENO2</t>
  </si>
  <si>
    <t>COG2</t>
  </si>
  <si>
    <t>NDRG3</t>
  </si>
  <si>
    <t>CAP2</t>
  </si>
  <si>
    <t>GAB1</t>
  </si>
  <si>
    <t>ALAD</t>
  </si>
  <si>
    <t>FGD4</t>
  </si>
  <si>
    <t>FTSJ1</t>
  </si>
  <si>
    <t>DNASE2</t>
  </si>
  <si>
    <t>RPN1</t>
  </si>
  <si>
    <t>WBP4</t>
  </si>
  <si>
    <t>TANGO2</t>
  </si>
  <si>
    <t>DECR1</t>
  </si>
  <si>
    <t>NUBP2</t>
  </si>
  <si>
    <t>SMPDL3A</t>
  </si>
  <si>
    <t>RANBP3</t>
  </si>
  <si>
    <t>GRB14</t>
  </si>
  <si>
    <t>USP7</t>
  </si>
  <si>
    <t>NADK2</t>
  </si>
  <si>
    <t>STK25</t>
  </si>
  <si>
    <t>MPP6</t>
  </si>
  <si>
    <t>PTMA</t>
  </si>
  <si>
    <t>TCEB2</t>
  </si>
  <si>
    <t>PEX7</t>
  </si>
  <si>
    <t>CUTA</t>
  </si>
  <si>
    <t>PCYT1A</t>
  </si>
  <si>
    <t>SRI</t>
  </si>
  <si>
    <t>ARF5</t>
  </si>
  <si>
    <t>UBE2F</t>
  </si>
  <si>
    <t>NAA50</t>
  </si>
  <si>
    <t>RINT1</t>
  </si>
  <si>
    <t>RPSA</t>
  </si>
  <si>
    <t>FXN</t>
  </si>
  <si>
    <t>TF</t>
  </si>
  <si>
    <t>PSPH</t>
  </si>
  <si>
    <t>POLR2H</t>
  </si>
  <si>
    <t>MRPS33</t>
  </si>
  <si>
    <t>BUD31</t>
  </si>
  <si>
    <t>EIF4E2</t>
  </si>
  <si>
    <t>GPS1</t>
  </si>
  <si>
    <t>MRPL39</t>
  </si>
  <si>
    <t>AAMP</t>
  </si>
  <si>
    <t>RMDN2</t>
  </si>
  <si>
    <t>GNB2</t>
  </si>
  <si>
    <t>WDFY1</t>
  </si>
  <si>
    <t>TSSC4</t>
  </si>
  <si>
    <t>OARD1</t>
  </si>
  <si>
    <t>ARF4</t>
  </si>
  <si>
    <t>CCDC58</t>
  </si>
  <si>
    <t>PPIH</t>
  </si>
  <si>
    <t>NDUFAF7</t>
  </si>
  <si>
    <t>HARS2</t>
  </si>
  <si>
    <t>L2HGDH</t>
  </si>
  <si>
    <t>RCC1</t>
  </si>
  <si>
    <t>NUP35</t>
  </si>
  <si>
    <t>RPL24</t>
  </si>
  <si>
    <t>LBR</t>
  </si>
  <si>
    <t>DHRS2</t>
  </si>
  <si>
    <t>UBE2H</t>
  </si>
  <si>
    <t>IFIT1</t>
  </si>
  <si>
    <t>CXADR</t>
  </si>
  <si>
    <t>KRI1</t>
  </si>
  <si>
    <t>EXOSC9</t>
  </si>
  <si>
    <t>RWDD4</t>
  </si>
  <si>
    <t>HNRNPAB</t>
  </si>
  <si>
    <t>AMACR</t>
  </si>
  <si>
    <t>OCIAD1</t>
  </si>
  <si>
    <t>RBM47</t>
  </si>
  <si>
    <t>LEMD2</t>
  </si>
  <si>
    <t>HSD17B11</t>
  </si>
  <si>
    <t>RPS23</t>
  </si>
  <si>
    <t>SEPT11</t>
  </si>
  <si>
    <t>RNASET2</t>
  </si>
  <si>
    <t>VWA8</t>
  </si>
  <si>
    <t>C15orf38-AP3S2</t>
  </si>
  <si>
    <t>SLC39A14</t>
  </si>
  <si>
    <t>STMN2</t>
  </si>
  <si>
    <t>MRPL15</t>
  </si>
  <si>
    <t>TCEB1</t>
  </si>
  <si>
    <t>UQCRB</t>
  </si>
  <si>
    <t>DMTN</t>
  </si>
  <si>
    <t>AP3B1</t>
  </si>
  <si>
    <t>SKP1</t>
  </si>
  <si>
    <t>MTDH</t>
  </si>
  <si>
    <t>DCTN6</t>
  </si>
  <si>
    <t>COPS6</t>
  </si>
  <si>
    <t>AP3D1</t>
  </si>
  <si>
    <t>ASAH1</t>
  </si>
  <si>
    <t>METTL5</t>
  </si>
  <si>
    <t>TACC2</t>
  </si>
  <si>
    <t>SYNE1</t>
  </si>
  <si>
    <t>SEC24C</t>
  </si>
  <si>
    <t>TOM1</t>
  </si>
  <si>
    <t>PDXDC1</t>
  </si>
  <si>
    <t>TANK</t>
  </si>
  <si>
    <t>KIAA0196</t>
  </si>
  <si>
    <t>ACIN1</t>
  </si>
  <si>
    <t>FAM91A1</t>
  </si>
  <si>
    <t>ITSN1</t>
  </si>
  <si>
    <t>HMGB3</t>
  </si>
  <si>
    <t>U2SURP</t>
  </si>
  <si>
    <t>PCM1</t>
  </si>
  <si>
    <t>BZW2</t>
  </si>
  <si>
    <t>CSNK2A1</t>
  </si>
  <si>
    <t>GTF2F1</t>
  </si>
  <si>
    <t>DUS2L</t>
  </si>
  <si>
    <t>PRPF3</t>
  </si>
  <si>
    <t>CYFIP2</t>
  </si>
  <si>
    <t>RPE</t>
  </si>
  <si>
    <t>SEPT10</t>
  </si>
  <si>
    <t>EXOC6</t>
  </si>
  <si>
    <t>MAP4K4</t>
  </si>
  <si>
    <t>HEATR5A</t>
  </si>
  <si>
    <t>PDHX</t>
  </si>
  <si>
    <t>COG1</t>
  </si>
  <si>
    <t>EIF2B5</t>
  </si>
  <si>
    <t>BDH1</t>
  </si>
  <si>
    <t>UBR7</t>
  </si>
  <si>
    <t>HNRNPH1</t>
  </si>
  <si>
    <t>ARHGEF7</t>
  </si>
  <si>
    <t>IBTK</t>
  </si>
  <si>
    <t>AR</t>
  </si>
  <si>
    <t>DIAPH1</t>
  </si>
  <si>
    <t>ST7</t>
  </si>
  <si>
    <t>CEP170B</t>
  </si>
  <si>
    <t>EGFR</t>
  </si>
  <si>
    <t>NOP14</t>
  </si>
  <si>
    <t>PPP2R5D</t>
  </si>
  <si>
    <t>AAK1</t>
  </si>
  <si>
    <t>PPIG</t>
  </si>
  <si>
    <t>TNS1</t>
  </si>
  <si>
    <t>MGEA5</t>
  </si>
  <si>
    <t>FAM13A</t>
  </si>
  <si>
    <t>TSN</t>
  </si>
  <si>
    <t>MED22</t>
  </si>
  <si>
    <t>PRDX3</t>
  </si>
  <si>
    <t>CLEC3B</t>
  </si>
  <si>
    <t>LARS2</t>
  </si>
  <si>
    <t>POLR2D</t>
  </si>
  <si>
    <t>SSFA2</t>
  </si>
  <si>
    <t>MROH1</t>
  </si>
  <si>
    <t>GLI1</t>
  </si>
  <si>
    <t>STX17</t>
  </si>
  <si>
    <t>TXNRD1</t>
  </si>
  <si>
    <t>UBXN1</t>
  </si>
  <si>
    <t>CYHR1</t>
  </si>
  <si>
    <t>MKNK1</t>
  </si>
  <si>
    <t>EEF1D</t>
  </si>
  <si>
    <t>SNX15</t>
  </si>
  <si>
    <t>PARP10</t>
  </si>
  <si>
    <t>PRMT1</t>
  </si>
  <si>
    <t>PPIE</t>
  </si>
  <si>
    <t>HYOU1</t>
  </si>
  <si>
    <t>NEDD8-MDP1</t>
  </si>
  <si>
    <t>MTFR1L</t>
  </si>
  <si>
    <t>NPEPPS</t>
  </si>
  <si>
    <t>USP47</t>
  </si>
  <si>
    <t>CLNS1A</t>
  </si>
  <si>
    <t>LMO7</t>
  </si>
  <si>
    <t>TPD52L1</t>
  </si>
  <si>
    <t>STX5</t>
  </si>
  <si>
    <t>RPL8</t>
  </si>
  <si>
    <t>CHID1</t>
  </si>
  <si>
    <t>ZC3H11A</t>
  </si>
  <si>
    <t>PDE4DIP</t>
  </si>
  <si>
    <t>TYK2</t>
  </si>
  <si>
    <t>PPP6R3</t>
  </si>
  <si>
    <t>MAPK3</t>
  </si>
  <si>
    <t>ACP2</t>
  </si>
  <si>
    <t>RPS6KA1</t>
  </si>
  <si>
    <t>CYB5R2</t>
  </si>
  <si>
    <t>C11orf58</t>
  </si>
  <si>
    <t>TUBGCP2</t>
  </si>
  <si>
    <t>FAM120B</t>
  </si>
  <si>
    <t>CPNE1</t>
  </si>
  <si>
    <t>XPO4</t>
  </si>
  <si>
    <t>TSEN15</t>
  </si>
  <si>
    <t>ADA</t>
  </si>
  <si>
    <t>CCDC53</t>
  </si>
  <si>
    <t>WNK1</t>
  </si>
  <si>
    <t>SMAD5</t>
  </si>
  <si>
    <t>CHD4</t>
  </si>
  <si>
    <t>TRMT112</t>
  </si>
  <si>
    <t>SUCLA2</t>
  </si>
  <si>
    <t>C8B</t>
  </si>
  <si>
    <t>RPS6KA3</t>
  </si>
  <si>
    <t>STRN4</t>
  </si>
  <si>
    <t>OTUB1</t>
  </si>
  <si>
    <t>PXN</t>
  </si>
  <si>
    <t>MED15</t>
  </si>
  <si>
    <t>CD163</t>
  </si>
  <si>
    <t>TRIM21</t>
  </si>
  <si>
    <t>TPD52</t>
  </si>
  <si>
    <t>SEC23IP</t>
  </si>
  <si>
    <t>RAB35</t>
  </si>
  <si>
    <t>TXNRD2</t>
  </si>
  <si>
    <t>LRBA</t>
  </si>
  <si>
    <t>STARD10</t>
  </si>
  <si>
    <t>FMO3</t>
  </si>
  <si>
    <t>UACA</t>
  </si>
  <si>
    <t>KIAA1715</t>
  </si>
  <si>
    <t>HMBS</t>
  </si>
  <si>
    <t>SEC23A</t>
  </si>
  <si>
    <t>TSG101</t>
  </si>
  <si>
    <t>KPNA6</t>
  </si>
  <si>
    <t>PEX14</t>
  </si>
  <si>
    <t>NUP133</t>
  </si>
  <si>
    <t>HDAC4</t>
  </si>
  <si>
    <t>CLASP2</t>
  </si>
  <si>
    <t>LARS</t>
  </si>
  <si>
    <t>AIDA</t>
  </si>
  <si>
    <t>WBP11</t>
  </si>
  <si>
    <t>TLE3</t>
  </si>
  <si>
    <t>MGST1</t>
  </si>
  <si>
    <t>OGDH</t>
  </si>
  <si>
    <t>TRAP1</t>
  </si>
  <si>
    <t>XRCC1</t>
  </si>
  <si>
    <t>MVK</t>
  </si>
  <si>
    <t>SIPA1</t>
  </si>
  <si>
    <t>PDE12</t>
  </si>
  <si>
    <t>HS1BP3</t>
  </si>
  <si>
    <t>ATXN2</t>
  </si>
  <si>
    <t>CSRP2</t>
  </si>
  <si>
    <t>METTL7A</t>
  </si>
  <si>
    <t>RPLP0</t>
  </si>
  <si>
    <t>METAP2</t>
  </si>
  <si>
    <t>SCYL2</t>
  </si>
  <si>
    <t>NFYB</t>
  </si>
  <si>
    <t>RPL18</t>
  </si>
  <si>
    <t>DENR</t>
  </si>
  <si>
    <t>SLC25A3</t>
  </si>
  <si>
    <t>MON2</t>
  </si>
  <si>
    <t>ARFGAP1</t>
  </si>
  <si>
    <t>OAS1</t>
  </si>
  <si>
    <t>CDK4</t>
  </si>
  <si>
    <t>NACA</t>
  </si>
  <si>
    <t>C17orf49</t>
  </si>
  <si>
    <t>BTD</t>
  </si>
  <si>
    <t>MYL6</t>
  </si>
  <si>
    <t>MAP3K2</t>
  </si>
  <si>
    <t>GMPS</t>
  </si>
  <si>
    <t>GOLIM4</t>
  </si>
  <si>
    <t>TIA1</t>
  </si>
  <si>
    <t>ABLIM1</t>
  </si>
  <si>
    <t>SLC2A2</t>
  </si>
  <si>
    <t>RTN4</t>
  </si>
  <si>
    <t>GAPVD1</t>
  </si>
  <si>
    <t>CCDC93</t>
  </si>
  <si>
    <t>NDUFA5</t>
  </si>
  <si>
    <t>F10</t>
  </si>
  <si>
    <t>TPK1</t>
  </si>
  <si>
    <t>DLGAP4</t>
  </si>
  <si>
    <t>CPSF6</t>
  </si>
  <si>
    <t>PCBP2</t>
  </si>
  <si>
    <t>LIN7C</t>
  </si>
  <si>
    <t>DIS3</t>
  </si>
  <si>
    <t>LOH12CR1</t>
  </si>
  <si>
    <t>ASPG</t>
  </si>
  <si>
    <t>RNASE1</t>
  </si>
  <si>
    <t>MYO5A</t>
  </si>
  <si>
    <t>SPATA7</t>
  </si>
  <si>
    <t>DCAF8</t>
  </si>
  <si>
    <t>ATXN3</t>
  </si>
  <si>
    <t>DCAF5</t>
  </si>
  <si>
    <t>AP4S1</t>
  </si>
  <si>
    <t>HNRNPC</t>
  </si>
  <si>
    <t>ARID1B</t>
  </si>
  <si>
    <t>PAPOLA</t>
  </si>
  <si>
    <t>CFI</t>
  </si>
  <si>
    <t>MRPS22</t>
  </si>
  <si>
    <t>WIPI1</t>
  </si>
  <si>
    <t>PDIA3</t>
  </si>
  <si>
    <t>COBLL1</t>
  </si>
  <si>
    <t>PUS1</t>
  </si>
  <si>
    <t>MIA3</t>
  </si>
  <si>
    <t>WDR45</t>
  </si>
  <si>
    <t>MVB12B</t>
  </si>
  <si>
    <t>RPL35</t>
  </si>
  <si>
    <t>EIF4G2</t>
  </si>
  <si>
    <t>IMPDH2</t>
  </si>
  <si>
    <t>UFM1</t>
  </si>
  <si>
    <t>RASAL2</t>
  </si>
  <si>
    <t>PYCRL</t>
  </si>
  <si>
    <t>GOLGA4</t>
  </si>
  <si>
    <t>PCBD2</t>
  </si>
  <si>
    <t>MAN2B2</t>
  </si>
  <si>
    <t>IMPA1</t>
  </si>
  <si>
    <t>MTFR1</t>
  </si>
  <si>
    <t>STIM1</t>
  </si>
  <si>
    <t>MRPL49</t>
  </si>
  <si>
    <t>PPP5C</t>
  </si>
  <si>
    <t>SSSCA1</t>
  </si>
  <si>
    <t>PUM1</t>
  </si>
  <si>
    <t>RPS2</t>
  </si>
  <si>
    <t>SMPD1</t>
  </si>
  <si>
    <t>FRG1B</t>
  </si>
  <si>
    <t>C12orf43</t>
  </si>
  <si>
    <t>LAMTOR1</t>
  </si>
  <si>
    <t>PPOX</t>
  </si>
  <si>
    <t>REXO2</t>
  </si>
  <si>
    <t>ARHGDIB</t>
  </si>
  <si>
    <t>NAP1L1</t>
  </si>
  <si>
    <t>RAB3IP</t>
  </si>
  <si>
    <t>LIN7A</t>
  </si>
  <si>
    <t>R3HDM2</t>
  </si>
  <si>
    <t>KNSTRN</t>
  </si>
  <si>
    <t>IDH3A</t>
  </si>
  <si>
    <t>RMDN3</t>
  </si>
  <si>
    <t>GMPR2</t>
  </si>
  <si>
    <t>ANXA2</t>
  </si>
  <si>
    <t>ANP32A</t>
  </si>
  <si>
    <t>WDR61</t>
  </si>
  <si>
    <t>AKR7A2</t>
  </si>
  <si>
    <t>GLG1</t>
  </si>
  <si>
    <t>NOL3</t>
  </si>
  <si>
    <t>AKTIP</t>
  </si>
  <si>
    <t>PRMT7</t>
  </si>
  <si>
    <t>FTSJD1</t>
  </si>
  <si>
    <t>MPI</t>
  </si>
  <si>
    <t>MACF1</t>
  </si>
  <si>
    <t>TRAPPC2L</t>
  </si>
  <si>
    <t>ALDOA</t>
  </si>
  <si>
    <t>CDAN1</t>
  </si>
  <si>
    <t>COG8</t>
  </si>
  <si>
    <t>hCG_2044799</t>
  </si>
  <si>
    <t>ZFYVE19</t>
  </si>
  <si>
    <t>UBFD1</t>
  </si>
  <si>
    <t>PPCDC</t>
  </si>
  <si>
    <t>EIF3C</t>
  </si>
  <si>
    <t>HEXA</t>
  </si>
  <si>
    <t>LRRC57</t>
  </si>
  <si>
    <t>EARS2</t>
  </si>
  <si>
    <t>BCKDK</t>
  </si>
  <si>
    <t>RPL4</t>
  </si>
  <si>
    <t>ARL2BP</t>
  </si>
  <si>
    <t>COMMD4</t>
  </si>
  <si>
    <t>TPRN</t>
  </si>
  <si>
    <t>LTN1</t>
  </si>
  <si>
    <t>NR4A2</t>
  </si>
  <si>
    <t>MKI67IP</t>
  </si>
  <si>
    <t>GTF3C3</t>
  </si>
  <si>
    <t>ZNF259</t>
  </si>
  <si>
    <t>AVL9</t>
  </si>
  <si>
    <t>CC2D1B</t>
  </si>
  <si>
    <t>NOL7</t>
  </si>
  <si>
    <t>SDCCAG3</t>
  </si>
  <si>
    <t>CWF19L2</t>
  </si>
  <si>
    <t>GNS</t>
  </si>
  <si>
    <t>BUD13</t>
  </si>
  <si>
    <t>ARID4A</t>
  </si>
  <si>
    <t>MBNL1</t>
  </si>
  <si>
    <t>IAH1</t>
  </si>
  <si>
    <t>GCOM1</t>
  </si>
  <si>
    <t>SPAG7</t>
  </si>
  <si>
    <t>ELP5</t>
  </si>
  <si>
    <t>HMOX2</t>
  </si>
  <si>
    <t>CLUH</t>
  </si>
  <si>
    <t>CIC</t>
  </si>
  <si>
    <t>EIF5A</t>
  </si>
  <si>
    <t>RPS15A</t>
  </si>
  <si>
    <t>TOM1L1</t>
  </si>
  <si>
    <t>NFKBIB</t>
  </si>
  <si>
    <t>NPC2</t>
  </si>
  <si>
    <t>PSMD9</t>
  </si>
  <si>
    <t>TBC1D8B</t>
  </si>
  <si>
    <t>ETFDH</t>
  </si>
  <si>
    <t>CCS</t>
  </si>
  <si>
    <t>EIF3M</t>
  </si>
  <si>
    <t>SEC16A</t>
  </si>
  <si>
    <t>SIPA1L1</t>
  </si>
  <si>
    <t>NUP98</t>
  </si>
  <si>
    <t>FAM21C</t>
  </si>
  <si>
    <t>MPST</t>
  </si>
  <si>
    <t>FBXO6</t>
  </si>
  <si>
    <t>SHANK2</t>
  </si>
  <si>
    <t>PPP2R5E</t>
  </si>
  <si>
    <t>COBL</t>
  </si>
  <si>
    <t>MIF4GD</t>
  </si>
  <si>
    <t>MRPS7</t>
  </si>
  <si>
    <t>GGA3</t>
  </si>
  <si>
    <t>MPRIP</t>
  </si>
  <si>
    <t>HN1</t>
  </si>
  <si>
    <t>ARHGDIA</t>
  </si>
  <si>
    <t>NEB</t>
  </si>
  <si>
    <t>FAM213B</t>
  </si>
  <si>
    <t>SRSF2</t>
  </si>
  <si>
    <t>SCO1</t>
  </si>
  <si>
    <t>SNRPN</t>
  </si>
  <si>
    <t>SNRPD1</t>
  </si>
  <si>
    <t>NUP85</t>
  </si>
  <si>
    <t>RPL19</t>
  </si>
  <si>
    <t>ALDH3A2</t>
  </si>
  <si>
    <t>COPRS</t>
  </si>
  <si>
    <t>RSL1D1</t>
  </si>
  <si>
    <t>BUB3</t>
  </si>
  <si>
    <t>CRBN</t>
  </si>
  <si>
    <t>HYI</t>
  </si>
  <si>
    <t>WBP2</t>
  </si>
  <si>
    <t>SMAD4</t>
  </si>
  <si>
    <t>RPS15</t>
  </si>
  <si>
    <t>hCG_27535</t>
  </si>
  <si>
    <t>AP1M1</t>
  </si>
  <si>
    <t>H3F3B</t>
  </si>
  <si>
    <t>NAGS</t>
  </si>
  <si>
    <t>LONP1</t>
  </si>
  <si>
    <t>PPL</t>
  </si>
  <si>
    <t>SEH1L</t>
  </si>
  <si>
    <t>BECN1</t>
  </si>
  <si>
    <t>PSMG2</t>
  </si>
  <si>
    <t>PRODH2</t>
  </si>
  <si>
    <t>C19orf12</t>
  </si>
  <si>
    <t>HDHD2</t>
  </si>
  <si>
    <t>CACNA2D4</t>
  </si>
  <si>
    <t>APOC1</t>
  </si>
  <si>
    <t>EIF3K</t>
  </si>
  <si>
    <t>RAD23A</t>
  </si>
  <si>
    <t>SARS2</t>
  </si>
  <si>
    <t>PAF1</t>
  </si>
  <si>
    <t>ZC3H4</t>
  </si>
  <si>
    <t>TUBB4A</t>
  </si>
  <si>
    <t>RPS5</t>
  </si>
  <si>
    <t>BABAM1</t>
  </si>
  <si>
    <t>RELA</t>
  </si>
  <si>
    <t>POLD3</t>
  </si>
  <si>
    <t>SERPINB12</t>
  </si>
  <si>
    <t>DKFZp686F13224</t>
  </si>
  <si>
    <t>PPIA</t>
  </si>
  <si>
    <t>FLNA</t>
  </si>
  <si>
    <t>TUBB</t>
  </si>
  <si>
    <t>MOV10</t>
  </si>
  <si>
    <t>RHOC</t>
  </si>
  <si>
    <t>HMGN5</t>
  </si>
  <si>
    <t>VPS16</t>
  </si>
  <si>
    <t>STAU1</t>
  </si>
  <si>
    <t>MORF4L2</t>
  </si>
  <si>
    <t>PEX19</t>
  </si>
  <si>
    <t>RALY</t>
  </si>
  <si>
    <t>PSMF1</t>
  </si>
  <si>
    <t>AGER</t>
  </si>
  <si>
    <t>SH3BGRL3</t>
  </si>
  <si>
    <t>SRSF11</t>
  </si>
  <si>
    <t>ITIH2</t>
  </si>
  <si>
    <t>AGO1</t>
  </si>
  <si>
    <t>MNF1</t>
  </si>
  <si>
    <t>TAF4</t>
  </si>
  <si>
    <t>CUTC</t>
  </si>
  <si>
    <t>DYNLT1</t>
  </si>
  <si>
    <t>ADAMTS4</t>
  </si>
  <si>
    <t>RPP30</t>
  </si>
  <si>
    <t>PFKFB4</t>
  </si>
  <si>
    <t>DKFZp313H139</t>
  </si>
  <si>
    <t>Em:AP000351.3</t>
  </si>
  <si>
    <t>RPS6KB1</t>
  </si>
  <si>
    <t>LGMN</t>
  </si>
  <si>
    <t>TXNDC5</t>
  </si>
  <si>
    <t>WASF3</t>
  </si>
  <si>
    <t>PTK2</t>
  </si>
  <si>
    <t>MST4</t>
  </si>
  <si>
    <t>ETF1</t>
  </si>
  <si>
    <t>SLC27A4</t>
  </si>
  <si>
    <t>POLD4</t>
  </si>
  <si>
    <t>UBE2D4</t>
  </si>
  <si>
    <t>PSMD8</t>
  </si>
  <si>
    <t>BMI1</t>
  </si>
  <si>
    <t>YTHDF3</t>
  </si>
  <si>
    <t>S100A6</t>
  </si>
  <si>
    <t>DENND4C</t>
  </si>
  <si>
    <t>AMFR</t>
  </si>
  <si>
    <t>PSMC3</t>
  </si>
  <si>
    <t>Ubiquitin-like modifier-activating enzyme 6</t>
  </si>
  <si>
    <t>UHRF1-binding protein 1-like</t>
  </si>
  <si>
    <t>Shootin-1</t>
  </si>
  <si>
    <t>Uncharacterized protein C1orf226</t>
  </si>
  <si>
    <t>Uncharacterized protein C17orf89</t>
  </si>
  <si>
    <t>Isoform 2 of O-acetyl-ADP-ribose deacetylase MACROD2</t>
  </si>
  <si>
    <t>Isoform 2 of Fucose mutarotase</t>
  </si>
  <si>
    <t>Isoform 2 of Isoprenoid synthase domain-containing protein</t>
  </si>
  <si>
    <t>Isoform 2 of WD repeat-containing protein 91</t>
  </si>
  <si>
    <t>Protein LCHN</t>
  </si>
  <si>
    <t>Isoform 2 of CCR4-NOT transcription complex subunit 1</t>
  </si>
  <si>
    <t>Putative L-aspartate dehydrogenase</t>
  </si>
  <si>
    <t>Paralemmin-3</t>
  </si>
  <si>
    <t>Phosphoglycolate phosphatase</t>
  </si>
  <si>
    <t>Putative Rab-43-like protein ENSP00000330714</t>
  </si>
  <si>
    <t>Ankyrin repeat domain-containing protein SOWAHB</t>
  </si>
  <si>
    <t>Isoform 2 of Tubulin alpha chain-like 3</t>
  </si>
  <si>
    <t>Glyoxalase domain-containing protein 5</t>
  </si>
  <si>
    <t>Purkinje cell protein 4-like protein 1</t>
  </si>
  <si>
    <t>Tetratricopeptide repeat protein 36</t>
  </si>
  <si>
    <t>LYR motif-containing protein 9</t>
  </si>
  <si>
    <t>Nucleoside diphosphate-linked moiety X motif 19, mitochondrial</t>
  </si>
  <si>
    <t>Espin</t>
  </si>
  <si>
    <t>Rab GTPase-activating protein 1-like, isoform 10</t>
  </si>
  <si>
    <t>Protein phosphatase 1 regulatory subunit 3G</t>
  </si>
  <si>
    <t>Putative WAS protein family homolog 3</t>
  </si>
  <si>
    <t>Thymidine kinase 2, mitochondrial</t>
  </si>
  <si>
    <t>PDZ and LIM domain protein 1</t>
  </si>
  <si>
    <t>Isoform 4 of Cytosolic acyl coenzyme A thioester hydrolase</t>
  </si>
  <si>
    <t>Isoform SNAP-23b of Synaptosomal-associated protein 23</t>
  </si>
  <si>
    <t>AH receptor-interacting protein</t>
  </si>
  <si>
    <t>GTP-binding protein 1</t>
  </si>
  <si>
    <t>26S proteasome non-ATPase regulatory subunit 11</t>
  </si>
  <si>
    <t>26S proteasome non-ATPase regulatory subunit 12</t>
  </si>
  <si>
    <t>Copper transport protein ATOX1</t>
  </si>
  <si>
    <t>Isoform 2 of Transcription elongation factor SPT5</t>
  </si>
  <si>
    <t>DNA fragmentation factor subunit alpha</t>
  </si>
  <si>
    <t>Chloride intracellular channel protein 1</t>
  </si>
  <si>
    <t>Eukaryotic translation initiation factor 3 subunit F</t>
  </si>
  <si>
    <t>Neural Wiskott-Aldrich syndrome protein</t>
  </si>
  <si>
    <t>Importin-5</t>
  </si>
  <si>
    <t>Isoform 3 of Dynamin-1-like protein</t>
  </si>
  <si>
    <t>Phosphatidylinositol 3-kinase regulatory subunit beta</t>
  </si>
  <si>
    <t>Beta-mannosidase</t>
  </si>
  <si>
    <t>Exocyst complex component 5</t>
  </si>
  <si>
    <t>High mobility group nucleosome-binding domain-containing protein 4</t>
  </si>
  <si>
    <t>26S proteasome non-ATPase regulatory subunit 14</t>
  </si>
  <si>
    <t>Isoform II2 of Myc box-dependent-interacting protein 1</t>
  </si>
  <si>
    <t>Importin subunit alpha-3</t>
  </si>
  <si>
    <t>Ladinin-1</t>
  </si>
  <si>
    <t>von Willebrand factor A domain-containing protein 5A</t>
  </si>
  <si>
    <t>Nucleolar protein 56</t>
  </si>
  <si>
    <t>ATP-dependent RNA helicase DDX3X</t>
  </si>
  <si>
    <t>Pirin</t>
  </si>
  <si>
    <t>Importin subunit alpha-4</t>
  </si>
  <si>
    <t>Tripartite motif-containing protein 38</t>
  </si>
  <si>
    <t>Serine/threonine-protein phosphatase 6 catalytic subunit</t>
  </si>
  <si>
    <t>Cocaine esterase</t>
  </si>
  <si>
    <t>Lysosomal alpha-mannosidase</t>
  </si>
  <si>
    <t>Fructose-1,6-bisphosphatase isozyme 2</t>
  </si>
  <si>
    <t>Acetyl-CoA carboxylase 2</t>
  </si>
  <si>
    <t>Pyridoxal kinase</t>
  </si>
  <si>
    <t>AT-rich interactive domain-containing protein 1A</t>
  </si>
  <si>
    <t>TRAF-type zinc finger domain-containing protein 1</t>
  </si>
  <si>
    <t>Acyl carrier protein, mitochondrial</t>
  </si>
  <si>
    <t>Coatomer subunit epsilon</t>
  </si>
  <si>
    <t>Histone-lysine N-methyltransferase MLL2</t>
  </si>
  <si>
    <t>Isoform 2 of Inositol monophosphatase 2</t>
  </si>
  <si>
    <t>Acyl-coenzyme A thioesterase 8</t>
  </si>
  <si>
    <t>Programmed cell death protein 5</t>
  </si>
  <si>
    <t>Protein arginine N-methyltransferase 5</t>
  </si>
  <si>
    <t>Na(+)/H(+) exchange regulatory cofactor NHE-RF1</t>
  </si>
  <si>
    <t>17-beta-hydroxysteroid dehydrogenase type 6</t>
  </si>
  <si>
    <t>Fucose-1-phosphate guanylyltransferase</t>
  </si>
  <si>
    <t>Isoform 2 of Tripeptidyl-peptidase 1</t>
  </si>
  <si>
    <t>Isoform 2 of Transcription elongation regulator 1</t>
  </si>
  <si>
    <t>Isoform 2 of Transportin-2</t>
  </si>
  <si>
    <t>Proteasome subunit alpha type-7</t>
  </si>
  <si>
    <t>Phytanoyl-CoA dioxygenase, peroxisomal</t>
  </si>
  <si>
    <t>5-oxoprolinase</t>
  </si>
  <si>
    <t>Interferon-induced protein with tetratricopeptide repeats 3</t>
  </si>
  <si>
    <t>Interferon regulatory factor 6</t>
  </si>
  <si>
    <t>Tax1-binding protein 3</t>
  </si>
  <si>
    <t>PDZ domain-containing protein GIPC1</t>
  </si>
  <si>
    <t>Histone acetyltransferase type B catalytic subunit</t>
  </si>
  <si>
    <t>Ubiquitin/ISG15-conjugating enzyme E2 L6</t>
  </si>
  <si>
    <t>Isoform 3 of Peripheral plasma membrane protein CASK</t>
  </si>
  <si>
    <t>Hepatocyte growth factor-regulated tyrosine kinase substrate</t>
  </si>
  <si>
    <t>Protein phosphatase 1 regulatory subunit 12A</t>
  </si>
  <si>
    <t>Isoform 2 of Very long-chain acyl-CoA synthetase</t>
  </si>
  <si>
    <t>Isoform 3 of Heterogeneous nuclear ribonucleoprotein D-like</t>
  </si>
  <si>
    <t>Exportin-1</t>
  </si>
  <si>
    <t>Spectrin beta chain, non-erythrocytic 2</t>
  </si>
  <si>
    <t>Isoform 2 of Microtubule-associated serine/threonine-protein kinase 4</t>
  </si>
  <si>
    <t>Phosphoribosylformylglycinamidine synthase</t>
  </si>
  <si>
    <t>Serine/threonine-protein phosphatase 6 regulatory ankyrin repeat subunit A</t>
  </si>
  <si>
    <t>Actin-related protein 2/3 complex subunit 1B</t>
  </si>
  <si>
    <t>Actin-related protein 2/3 complex subunit 2</t>
  </si>
  <si>
    <t>Actin-related protein 2/3 complex subunit 3</t>
  </si>
  <si>
    <t>Prefoldin subunit 6</t>
  </si>
  <si>
    <t>Glutathione S-transferase A4</t>
  </si>
  <si>
    <t>Isoform 3 of Kynurenine 3-monooxygenase</t>
  </si>
  <si>
    <t>Peroxisomal acyl-coenzyme A oxidase 3</t>
  </si>
  <si>
    <t>Isoform 1 of UDP-N-acetylglucosamine--peptide N-acetylglucosaminyltransferase 110 kDa subunit</t>
  </si>
  <si>
    <t>Phosphomannomutase 2</t>
  </si>
  <si>
    <t>Protein phosphatase 1G</t>
  </si>
  <si>
    <t>Phosphatidylinositol 3,4,5-trisphosphate 5-phosphatase 2</t>
  </si>
  <si>
    <t>Eukaryotic translation initiation factor 3 subunit H</t>
  </si>
  <si>
    <t>Histone deacetylase 3</t>
  </si>
  <si>
    <t>Branched-chain-amino-acid aminotransferase, mitochondrial</t>
  </si>
  <si>
    <t>Importin-8</t>
  </si>
  <si>
    <t>Isoform 2 of Syntaxin-7</t>
  </si>
  <si>
    <t>Isoform Delta of Glycogenin-2</t>
  </si>
  <si>
    <t>Synaptobrevin homolog YKT6</t>
  </si>
  <si>
    <t>Actin-related protein 2/3 complex subunit 5</t>
  </si>
  <si>
    <t>RING finger protein 113A</t>
  </si>
  <si>
    <t>Putative pre-mRNA-splicing factor ATP-dependent RNA helicase DHX15</t>
  </si>
  <si>
    <t>mRNA cap guanine-N7 methyltransferase</t>
  </si>
  <si>
    <t>Zinc finger ZZ-type and EF-hand domain-containing protein 1</t>
  </si>
  <si>
    <t>Isoform 2 of U4/U6 small nuclear ribonucleoprotein Prp4</t>
  </si>
  <si>
    <t>D-3-phosphoglycerate dehydrogenase</t>
  </si>
  <si>
    <t>Isoform 5 of Septin-4</t>
  </si>
  <si>
    <t>Cytoplasmic dynein 1 light intermediate chain 2</t>
  </si>
  <si>
    <t>26S proteasome non-ATPase regulatory subunit 3</t>
  </si>
  <si>
    <t>Bifunctional 3-phosphoadenosine 5-phosphosulfate synthase 1</t>
  </si>
  <si>
    <t>U4/U6.U5 tri-snRNP-associated protein 1</t>
  </si>
  <si>
    <t>Isoform 3 of Metastasis suppressor protein 1</t>
  </si>
  <si>
    <t>Isoform 2 of Inositol hexakisphosphate and diphosphoinositol-pentakisphosphate kinase 2</t>
  </si>
  <si>
    <t>Isoform 1A of Mitogen-activated protein kinase kinase kinase 7</t>
  </si>
  <si>
    <t>Eukaryotic translation elongation factor 1 epsilon-1</t>
  </si>
  <si>
    <t>LYR motif-containing protein 1</t>
  </si>
  <si>
    <t>Heterogeneous nuclear ribonucleoprotein R</t>
  </si>
  <si>
    <t>Thioredoxin-like protein 1</t>
  </si>
  <si>
    <t>Tumor protein D54</t>
  </si>
  <si>
    <t>Isoform 3 of ERI1 exoribonuclease 3</t>
  </si>
  <si>
    <t>Eukaryotic translation initiation factor 4 gamma 3</t>
  </si>
  <si>
    <t>Serine protease HTRA2, mitochondrial</t>
  </si>
  <si>
    <t>Isoform 3 of Band 4.1-like protein 2</t>
  </si>
  <si>
    <t>Isoform TGN46 of Trans-Golgi network integral membrane protein 2</t>
  </si>
  <si>
    <t>Exportin-T</t>
  </si>
  <si>
    <t>2-deoxynucleoside 5-phosphate N-hydrolase 1</t>
  </si>
  <si>
    <t>Mitochondrial import inner membrane translocase subunit TIM44</t>
  </si>
  <si>
    <t>Isoform 2 of Trafficking protein particle complex subunit 3</t>
  </si>
  <si>
    <t>Charged multivesicular body protein 2a</t>
  </si>
  <si>
    <t>Isoform 2 of Zinc finger protein 207</t>
  </si>
  <si>
    <t>NADH dehydrogenase [ubiquinone] 1 alpha subcomplex subunit 2</t>
  </si>
  <si>
    <t>ATPase ASNA1</t>
  </si>
  <si>
    <t>Sulfotransferase family cytosolic 1B member 1</t>
  </si>
  <si>
    <t>Alpha-actinin-4</t>
  </si>
  <si>
    <t>Maleylacetoacetate isomerase</t>
  </si>
  <si>
    <t>TP53-regulated inhibitor of apoptosis 1</t>
  </si>
  <si>
    <t>Glutamyl-tRNA(Gln) amidotransferase subunit C, mitochondrial</t>
  </si>
  <si>
    <t>HIV Tat-specific factor 1</t>
  </si>
  <si>
    <t>5-AMP-activated protein kinase subunit beta-2</t>
  </si>
  <si>
    <t>AP-1 complex subunit gamma-1</t>
  </si>
  <si>
    <t>Small glutamine-rich tetratricopeptide repeat-containing protein alpha</t>
  </si>
  <si>
    <t>Isoform 2 of Lipoyl synthase, mitochondrial</t>
  </si>
  <si>
    <t>Isoform 2 of Alpha-endosulfine</t>
  </si>
  <si>
    <t>Asparagine--tRNA ligase, cytoplasmic</t>
  </si>
  <si>
    <t>Isoform 2 of Unconventional myosin-Ib</t>
  </si>
  <si>
    <t>Sjoegren syndrome nuclear autoantigen 1</t>
  </si>
  <si>
    <t>Cleavage and polyadenylation specificity factor subunit 5</t>
  </si>
  <si>
    <t>LanC-like protein 1</t>
  </si>
  <si>
    <t>Isoform 2 of Striatin</t>
  </si>
  <si>
    <t>Isoform 4 of Hyaluronidase-3</t>
  </si>
  <si>
    <t>Isocitrate dehydrogenase [NAD] subunit beta, mitochondrial</t>
  </si>
  <si>
    <t>Nardilysin</t>
  </si>
  <si>
    <t>Calumenin</t>
  </si>
  <si>
    <t>Putative adenosylhomocysteinase 2</t>
  </si>
  <si>
    <t>Growth arrest-specific protein 2</t>
  </si>
  <si>
    <t>Double-strand-break repair protein rad21 homolog</t>
  </si>
  <si>
    <t>Aldo-keto reductase family 1 member B10</t>
  </si>
  <si>
    <t>Mitochondrial import inner membrane translocase subunit Tim8 A</t>
  </si>
  <si>
    <t>Putative pre-mRNA-splicing factor ATP-dependent RNA helicase DHX16</t>
  </si>
  <si>
    <t>Perilipin-1</t>
  </si>
  <si>
    <t>Phosphoribosyl pyrophosphate synthase-associated protein 2</t>
  </si>
  <si>
    <t>Isoform 5 of E3 ubiquitin-protein ligase parkin</t>
  </si>
  <si>
    <t>Isoform 4 of C-Jun-amino-terminal kinase-interacting protein 4</t>
  </si>
  <si>
    <t>Lysine-specific histone demethylase 1A</t>
  </si>
  <si>
    <t>Isoform 2 of TBC1 domain family member 4</t>
  </si>
  <si>
    <t>Non-syndromic hearing impairment protein 5</t>
  </si>
  <si>
    <t>Sorting nexin-3</t>
  </si>
  <si>
    <t>Isoform Beta of Vinexin</t>
  </si>
  <si>
    <t>Isoform 2 of Heterogeneous nuclear ribonucleoprotein Q</t>
  </si>
  <si>
    <t>Isoform 2 of GDP-mannose 4,6 dehydratase</t>
  </si>
  <si>
    <t>Glycylpeptide N-tetradecanoyltransferase 2</t>
  </si>
  <si>
    <t>15 kDa selenoprotein</t>
  </si>
  <si>
    <t>Isoform 3 of Exocyst complex component 3</t>
  </si>
  <si>
    <t>Isoform 4 of Perilipin-3</t>
  </si>
  <si>
    <t>UDP-glucose 6-dehydrogenase</t>
  </si>
  <si>
    <t>Isoform 1A of Catenin delta-1</t>
  </si>
  <si>
    <t>Sorting nexin-2</t>
  </si>
  <si>
    <t>General vesicular transport factor p115</t>
  </si>
  <si>
    <t>Coiled-coil domain-containing protein 22</t>
  </si>
  <si>
    <t>Isoform 2 of Polyglutamine-binding protein 1</t>
  </si>
  <si>
    <t>H/ACA ribonucleoprotein complex subunit 4</t>
  </si>
  <si>
    <t>Eukaryotic translation initiation factor 5B</t>
  </si>
  <si>
    <t>Endothelial differentiation-related factor 1</t>
  </si>
  <si>
    <t>DnaJ homolog subfamily A member 2</t>
  </si>
  <si>
    <t>Bromodomain-containing protein 4</t>
  </si>
  <si>
    <t>Prefoldin subunit 1</t>
  </si>
  <si>
    <t>Protein phosphatase 1 regulatory subunit 11</t>
  </si>
  <si>
    <t>Nibrin</t>
  </si>
  <si>
    <t>Isoform 3 of mRNA-capping enzyme</t>
  </si>
  <si>
    <t>Isoform 2 of Protein CBFA2T3</t>
  </si>
  <si>
    <t>WD repeat-containing protein 1</t>
  </si>
  <si>
    <t>NEDD4-binding protein 1</t>
  </si>
  <si>
    <t>Rho-associated protein kinase 2</t>
  </si>
  <si>
    <t>Copine-3</t>
  </si>
  <si>
    <t>Huntingtin-interacting protein 1-related protein</t>
  </si>
  <si>
    <t>E3 ubiquitin-protein ligase BRE1B</t>
  </si>
  <si>
    <t>Isoform 2 of Cullin-associated NEDD8-dissociated protein 2</t>
  </si>
  <si>
    <t>DnaJ homolog subfamily C member 13</t>
  </si>
  <si>
    <t>Isoform 4 of Serine/threonine-protein phosphatase 6 regulatory subunit 2</t>
  </si>
  <si>
    <t>CCR4-NOT transcription complex subunit 3</t>
  </si>
  <si>
    <t>Calcium-responsive transactivator</t>
  </si>
  <si>
    <t>Calcium-transporting ATPase type 2C member 2</t>
  </si>
  <si>
    <t>Xylulose kinase</t>
  </si>
  <si>
    <t>Ubiquinone biosynthesis protein COQ9, mitochondrial</t>
  </si>
  <si>
    <t>Gamma-glutamylcyclotransferase</t>
  </si>
  <si>
    <t>Protein NipSnap homolog 2</t>
  </si>
  <si>
    <t>Programmed cell death protein 6</t>
  </si>
  <si>
    <t>Tubulin-specific chaperone A</t>
  </si>
  <si>
    <t>V-type proton ATPase subunit G 1</t>
  </si>
  <si>
    <t>Vacuolar protein sorting-associated protein 4B</t>
  </si>
  <si>
    <t>Ectonucleoside triphosphate diphosphohydrolase 5</t>
  </si>
  <si>
    <t>SH3 domain-binding glutamic acid-rich-like protein</t>
  </si>
  <si>
    <t>Isoform 8 of Filamin-B</t>
  </si>
  <si>
    <t>Nuclear receptor corepressor 1</t>
  </si>
  <si>
    <t>NADH dehydrogenase [ubiquinone] iron-sulfur protein 6, mitochondrial</t>
  </si>
  <si>
    <t>Vesicle-trafficking protein SEC22b</t>
  </si>
  <si>
    <t>Isoform 2 of Pre-mRNA-processing factor 40 homolog A</t>
  </si>
  <si>
    <t>Isoform 2 of Nucleoside diphosphate kinase 6</t>
  </si>
  <si>
    <t>Vacuolar protein sorting-associated protein 26A</t>
  </si>
  <si>
    <t>Mitochondrial-processing peptidase subunit beta</t>
  </si>
  <si>
    <t>Retinol dehydrogenase 16</t>
  </si>
  <si>
    <t>PC4 and SFRS1-interacting protein</t>
  </si>
  <si>
    <t>Ceroid-lipofuscinosis neuronal protein 5</t>
  </si>
  <si>
    <t>Isoform 2 of Enoyl-CoA delta isomerase 2, mitochondrial</t>
  </si>
  <si>
    <t>Barrier-to-autointegration factor</t>
  </si>
  <si>
    <t>Splicing factor 3B subunit 1</t>
  </si>
  <si>
    <t>Cold shock domain-containing protein E1</t>
  </si>
  <si>
    <t>Peptide chain release factor 1, mitochondrial</t>
  </si>
  <si>
    <t>2-amino-3-ketobutyrate coenzyme A ligase, mitochondrial</t>
  </si>
  <si>
    <t>Isoform 2 of Acyl-protein thioesterase 1</t>
  </si>
  <si>
    <t>Protein CREG1</t>
  </si>
  <si>
    <t>U5 small nuclear ribonucleoprotein 200 kDa helicase</t>
  </si>
  <si>
    <t>TIP41-like protein</t>
  </si>
  <si>
    <t>Protein phosphatase 1B</t>
  </si>
  <si>
    <t>Protein XRP2</t>
  </si>
  <si>
    <t>Transcription elongation factor A protein 3</t>
  </si>
  <si>
    <t>Eukaryotic translation initiation factor 3 subunit G</t>
  </si>
  <si>
    <t>Eukaryotic translation initiation factor 3 subunit J</t>
  </si>
  <si>
    <t>Isocitrate dehydrogenase [NADP] cytoplasmic</t>
  </si>
  <si>
    <t>Putative hydrolase RBBP9</t>
  </si>
  <si>
    <t>Signal transducing adapter molecule 2</t>
  </si>
  <si>
    <t>Cytosolic 10-formyltetrahydrofolate dehydrogenase</t>
  </si>
  <si>
    <t>Tumor suppressor candidate 2</t>
  </si>
  <si>
    <t>Pre-mRNA-splicing factor SPF27</t>
  </si>
  <si>
    <t>Isoform 3 of Dynactin subunit 3</t>
  </si>
  <si>
    <t>Gamma-butyrobetaine dioxygenase</t>
  </si>
  <si>
    <t>DnaJ homolog subfamily C member 8</t>
  </si>
  <si>
    <t>Survival of motor neuron-related-splicing factor 30</t>
  </si>
  <si>
    <t>Isoform 3 of Multiple PDZ domain protein</t>
  </si>
  <si>
    <t>Carboxypeptidase D</t>
  </si>
  <si>
    <t>Glutaredoxin-3</t>
  </si>
  <si>
    <t>Wolframin</t>
  </si>
  <si>
    <t>ATP-dependent Clp protease ATP-binding subunit clpX-like, mitochondrial</t>
  </si>
  <si>
    <t>SEC14-like protein 2</t>
  </si>
  <si>
    <t>Probable cytosolic iron-sulfur protein assembly protein CIAO1</t>
  </si>
  <si>
    <t>Signal recognition particle subunit SRP72</t>
  </si>
  <si>
    <t>N(G),N(G)-dimethylarginine dimethylaminohydrolase 1</t>
  </si>
  <si>
    <t>Metastasis-associated protein MTA2</t>
  </si>
  <si>
    <t>Isoform 4 of Retinal dehydrogenase 2</t>
  </si>
  <si>
    <t>Serine/threonine-protein kinase 10</t>
  </si>
  <si>
    <t>Tubulin polymerization-promoting protein</t>
  </si>
  <si>
    <t>Kelch repeat and BTB domain-containing protein 11</t>
  </si>
  <si>
    <t>Mitochondrial import receptor subunit TOM70</t>
  </si>
  <si>
    <t>Isoform 5 of Protein-methionine sulfoxide oxidase MICAL2</t>
  </si>
  <si>
    <t>Protein transport protein Sec24D</t>
  </si>
  <si>
    <t>E3 UFM1-protein ligase 1</t>
  </si>
  <si>
    <t>Isoform 12 of Sorbin and SH3 domain-containing protein 2</t>
  </si>
  <si>
    <t>FERM, RhoGEF and pleckstrin domain-containing protein 2</t>
  </si>
  <si>
    <t>Proline synthase co-transcribed bacterial homolog protein</t>
  </si>
  <si>
    <t>Isoform 2 of Actin-binding LIM protein 3</t>
  </si>
  <si>
    <t>AP-2 complex subunit alpha-2</t>
  </si>
  <si>
    <t>Isoform 3 of Protein transport protein Sec31A</t>
  </si>
  <si>
    <t>Protein HEXIM1</t>
  </si>
  <si>
    <t>Arf-GAP domain and FG repeat-containing protein 2</t>
  </si>
  <si>
    <t>Isoform 3 of Splicing factor, arginine/serine-rich 15</t>
  </si>
  <si>
    <t>Aflatoxin B1 aldehyde reductase member 3</t>
  </si>
  <si>
    <t>Isoform 3 of Ubiquitin conjugation factor E4 B</t>
  </si>
  <si>
    <t>Elongator complex protein 1</t>
  </si>
  <si>
    <t>LETM1 and EF-hand domain-containing protein 1, mitochondrial</t>
  </si>
  <si>
    <t>Starch-binding domain-containing protein 1</t>
  </si>
  <si>
    <t>Isoform 2 of Zinc finger Ran-binding domain-containing protein 2</t>
  </si>
  <si>
    <t>Sorting nexin-4</t>
  </si>
  <si>
    <t>Luc7-like protein 3</t>
  </si>
  <si>
    <t>Isoform 2 of Histone acetyltransferase KAT7</t>
  </si>
  <si>
    <t>Isoform 7 of Laforin</t>
  </si>
  <si>
    <t>Vesicle-associated membrane protein-associated protein B/C</t>
  </si>
  <si>
    <t>SNARE-associated protein Snapin</t>
  </si>
  <si>
    <t>6-phosphogluconolactonase</t>
  </si>
  <si>
    <t>Bifunctional 3-phosphoadenosine 5-phosphosulfate synthase 2</t>
  </si>
  <si>
    <t>Ubiquitin-like modifier-activating enzyme ATG7</t>
  </si>
  <si>
    <t>Phenylalanine--tRNA ligase, mitochondrial</t>
  </si>
  <si>
    <t>Acyl-protein thioesterase 2</t>
  </si>
  <si>
    <t>Importin-7</t>
  </si>
  <si>
    <t>E3 ubiquitin-protein ligase ARIH2</t>
  </si>
  <si>
    <t>Phosphoacetylglucosamine mutase</t>
  </si>
  <si>
    <t>Adenylyltransferase and sulfurtransferase MOCS3</t>
  </si>
  <si>
    <t>Urotensin-2</t>
  </si>
  <si>
    <t>Isoform 2 of Supervillin</t>
  </si>
  <si>
    <t>Isoform 2 of BAG family molecular chaperone regulator 4</t>
  </si>
  <si>
    <t>Activator of 90 kDa heat shock protein ATPase homolog 1</t>
  </si>
  <si>
    <t>Isoform 2 of Proteasome assembly chaperone 1</t>
  </si>
  <si>
    <t>GDH/6PGL endoplasmic bifunctional protein</t>
  </si>
  <si>
    <t>Protein transport protein Sec24A</t>
  </si>
  <si>
    <t>Isoform 2 of Protein transport protein Sec24B</t>
  </si>
  <si>
    <t>Pantetheinase</t>
  </si>
  <si>
    <t>NAD kinase</t>
  </si>
  <si>
    <t>Protein ETHE1, mitochondrial</t>
  </si>
  <si>
    <t>STAM-binding protein</t>
  </si>
  <si>
    <t>Isoform 2 of N-acetylserotonin O-methyltransferase-like protein</t>
  </si>
  <si>
    <t>Synaptosomal-associated protein 29</t>
  </si>
  <si>
    <t>Serine/threonine-protein kinase</t>
  </si>
  <si>
    <t>Heat shock 70 kDa protein 4L</t>
  </si>
  <si>
    <t>N-alpha-acetyltransferase 38, NatC auxiliary subunit</t>
  </si>
  <si>
    <t>Isoform B of AP-2 complex subunit alpha-1</t>
  </si>
  <si>
    <t>Serum deprivation-response protein</t>
  </si>
  <si>
    <t>BAG family molecular chaperone regulator 2</t>
  </si>
  <si>
    <t>BAG family molecular chaperone regulator 3</t>
  </si>
  <si>
    <t>Malonyl-CoA decarboxylase, mitochondrial</t>
  </si>
  <si>
    <t>Quinone oxidoreductase-like protein 1</t>
  </si>
  <si>
    <t>Isoform 3 of Apoptosis-inducing factor 1, mitochondrial</t>
  </si>
  <si>
    <t>Echinoderm microtubule-associated protein-like 2</t>
  </si>
  <si>
    <t>N(G),N(G)-dimethylarginine dimethylaminohydrolase 2</t>
  </si>
  <si>
    <t>Thioredoxin domain-containing protein 12</t>
  </si>
  <si>
    <t>Formimidoyltransferase-cyclodeaminase</t>
  </si>
  <si>
    <t>Diphosphoinositol polyphosphate phosphohydrolase 1</t>
  </si>
  <si>
    <t>Molybdopterin synthase catalytic subunit</t>
  </si>
  <si>
    <t>Molybdopterin synthase sulfur carrier subunit</t>
  </si>
  <si>
    <t>Alcohol dehydrogenase 1B</t>
  </si>
  <si>
    <t>Alcohol dehydrogenase 1C</t>
  </si>
  <si>
    <t>L-lactate dehydrogenase A chain</t>
  </si>
  <si>
    <t>Retinal dehydrogenase 1</t>
  </si>
  <si>
    <t>Isoform 2 of NADH-cytochrome b5 reductase 3</t>
  </si>
  <si>
    <t>Isoform Cytoplasmic of Glutathione reductase, mitochondrial</t>
  </si>
  <si>
    <t>Isoform 4 of Glutathione reductase, mitochondrial</t>
  </si>
  <si>
    <t>Phenylalanine-4-hydroxylase</t>
  </si>
  <si>
    <t>Ceruloplasmin</t>
  </si>
  <si>
    <t>Ornithine carbamoyltransferase, mitochondrial</t>
  </si>
  <si>
    <t>Purine nucleoside phosphorylase</t>
  </si>
  <si>
    <t>Hypoxanthine-guanine phosphoribosyltransferase</t>
  </si>
  <si>
    <t>Aspartate aminotransferase, mitochondrial</t>
  </si>
  <si>
    <t>Phosphoglycerate kinase 1</t>
  </si>
  <si>
    <t>Adenylate kinase isoenzyme 1</t>
  </si>
  <si>
    <t>Prothrombin</t>
  </si>
  <si>
    <t>Complement C1r subcomponent</t>
  </si>
  <si>
    <t>Haptoglobin</t>
  </si>
  <si>
    <t>Coagulation factor IX</t>
  </si>
  <si>
    <t>Plasminogen</t>
  </si>
  <si>
    <t>Argininosuccinate synthase</t>
  </si>
  <si>
    <t>Alpha-1-antitrypsin</t>
  </si>
  <si>
    <t>Alpha-1-antichymotrypsin</t>
  </si>
  <si>
    <t>Angiotensinogen</t>
  </si>
  <si>
    <t>Alpha-2-macroglobulin</t>
  </si>
  <si>
    <t>Complement C3</t>
  </si>
  <si>
    <t>Cystatin-C</t>
  </si>
  <si>
    <t>Cystatin-A</t>
  </si>
  <si>
    <t>Isoform LMW of Kininogen-1</t>
  </si>
  <si>
    <t>GTPase NRas</t>
  </si>
  <si>
    <t>Isoform 2B of GTPase KRas</t>
  </si>
  <si>
    <t>Ig kappa chain V-I region EU</t>
  </si>
  <si>
    <t>Ig heavy chain V-III region WEA</t>
  </si>
  <si>
    <t>Ig heavy chain V-III region TIL</t>
  </si>
  <si>
    <t>Ig kappa chain C region</t>
  </si>
  <si>
    <t>Ig gamma-1 chain C region</t>
  </si>
  <si>
    <t>Ig gamma-3 chain C region</t>
  </si>
  <si>
    <t>Ig mu chain C region</t>
  </si>
  <si>
    <t>Ig alpha-1 chain C region</t>
  </si>
  <si>
    <t>Ig alpha-2 chain C region</t>
  </si>
  <si>
    <t>Isoform 2 of Collagen alpha-1(IV) chain</t>
  </si>
  <si>
    <t>Keratin, type I cytoskeletal 14</t>
  </si>
  <si>
    <t>Keratin, type II cytoskeletal 6A</t>
  </si>
  <si>
    <t>Prelamin-A/C</t>
  </si>
  <si>
    <t>Apolipoprotein A-I</t>
  </si>
  <si>
    <t>Apolipoprotein E</t>
  </si>
  <si>
    <t>Apolipoprotein A-II</t>
  </si>
  <si>
    <t>Apolipoprotein C-III</t>
  </si>
  <si>
    <t>Isoform 2 of Fibrinogen alpha chain</t>
  </si>
  <si>
    <t>Fibrinogen beta chain</t>
  </si>
  <si>
    <t>Isoform Gamma-A of Fibrinogen gamma chain</t>
  </si>
  <si>
    <t>Serum amyloid P-component</t>
  </si>
  <si>
    <t>Complement component C9</t>
  </si>
  <si>
    <t>Beta-2-glycoprotein 1</t>
  </si>
  <si>
    <t>Leucine-rich alpha-2-glycoprotein</t>
  </si>
  <si>
    <t>Protein AMBP</t>
  </si>
  <si>
    <t>Alpha-1-acid glycoprotein 1</t>
  </si>
  <si>
    <t>Alpha-2-HS-glycoprotein</t>
  </si>
  <si>
    <t>Transthyretin</t>
  </si>
  <si>
    <t>Alpha-fetoprotein</t>
  </si>
  <si>
    <t>Vitamin D-binding protein</t>
  </si>
  <si>
    <t>Hemopexin</t>
  </si>
  <si>
    <t>Ferritin light chain</t>
  </si>
  <si>
    <t>Ferritin heavy chain</t>
  </si>
  <si>
    <t>Metallothionein-2</t>
  </si>
  <si>
    <t>Angiogenin</t>
  </si>
  <si>
    <t>C4b-binding protein alpha chain</t>
  </si>
  <si>
    <t>Vitronectin</t>
  </si>
  <si>
    <t>Tissue alpha-L-fucosidase</t>
  </si>
  <si>
    <t>Cystatin-B</t>
  </si>
  <si>
    <t>Annexin A1</t>
  </si>
  <si>
    <t>Apolipoprotein B-100</t>
  </si>
  <si>
    <t>Isoform GR-A beta of Glucocorticoid receptor</t>
  </si>
  <si>
    <t>Superoxide dismutase [Mn], mitochondrial</t>
  </si>
  <si>
    <t>Ornithine aminotransferase, mitochondrial</t>
  </si>
  <si>
    <t>Histidine-rich glycoprotein</t>
  </si>
  <si>
    <t>Ig kappa chain V-III region GOL</t>
  </si>
  <si>
    <t>Alpha-1B-glycoprotein</t>
  </si>
  <si>
    <t>Keratin, type II cytoskeletal 6B</t>
  </si>
  <si>
    <t>Keratin, type II cytoskeletal 1</t>
  </si>
  <si>
    <t>Isoform 2 of Glyceraldehyde-3-phosphate dehydrogenase</t>
  </si>
  <si>
    <t>Glyceraldehyde-3-phosphate dehydrogenase</t>
  </si>
  <si>
    <t>Argininosuccinate lyase</t>
  </si>
  <si>
    <t>Calpain small subunit 1</t>
  </si>
  <si>
    <t>Metallothionein-1A</t>
  </si>
  <si>
    <t>Metallothionein-1E</t>
  </si>
  <si>
    <t>Metallothionein-1F</t>
  </si>
  <si>
    <t>Heat shock protein beta-1</t>
  </si>
  <si>
    <t>Isoform 3 of Sodium/potassium-transporting ATPase subunit alpha-1</t>
  </si>
  <si>
    <t>Fructose-bisphosphate aldolase B</t>
  </si>
  <si>
    <t>Arginase-1</t>
  </si>
  <si>
    <t>Apolipoprotein D</t>
  </si>
  <si>
    <t>Aldehyde dehydrogenase, mitochondrial</t>
  </si>
  <si>
    <t>Protein S100-A8</t>
  </si>
  <si>
    <t>Non-histone chromosomal protein HMG-14</t>
  </si>
  <si>
    <t>Plasma protease C1 inhibitor</t>
  </si>
  <si>
    <t>Ubiquitin-like protein ISG15</t>
  </si>
  <si>
    <t>Isoform H14 of Myeloperoxidase</t>
  </si>
  <si>
    <t>Propionyl-CoA carboxylase alpha chain, mitochondrial</t>
  </si>
  <si>
    <t>Propionyl-CoA carboxylase beta chain, mitochondrial</t>
  </si>
  <si>
    <t>Cytochrome P450 2E1</t>
  </si>
  <si>
    <t>Isoform 2 of Alkaline phosphatase, tissue-nonspecific isozyme</t>
  </si>
  <si>
    <t>Eukaryotic translation initiation factor 2 subunit 1</t>
  </si>
  <si>
    <t>Non-histone chromosomal protein HMG-17</t>
  </si>
  <si>
    <t>60S acidic ribosomal protein P2</t>
  </si>
  <si>
    <t>Lupus La protein</t>
  </si>
  <si>
    <t>Thyroxine-binding globulin</t>
  </si>
  <si>
    <t>Heparin cofactor 2</t>
  </si>
  <si>
    <t>Integrin beta-1</t>
  </si>
  <si>
    <t>Keratin, type I cytoskeletal 18</t>
  </si>
  <si>
    <t>Keratin, type II cytoskeletal 8</t>
  </si>
  <si>
    <t>Isoform MLC3 of Myosin light chain 1/3, skeletal muscle isoform</t>
  </si>
  <si>
    <t>Uroporphyrinogen decarboxylase</t>
  </si>
  <si>
    <t>Alpha-galactosidase A</t>
  </si>
  <si>
    <t>ATP synthase subunit beta, mitochondrial</t>
  </si>
  <si>
    <t>Complement C2</t>
  </si>
  <si>
    <t>Protein S100-A9</t>
  </si>
  <si>
    <t>Apolipoprotein A-IV</t>
  </si>
  <si>
    <t>Eukaryotic translation initiation factor 4E</t>
  </si>
  <si>
    <t>Alpha-enolase</t>
  </si>
  <si>
    <t>Isoform 2 of Glycogen phosphorylase, liver form</t>
  </si>
  <si>
    <t>Glucose-6-phosphate isomerase</t>
  </si>
  <si>
    <t>Nucleophosmin</t>
  </si>
  <si>
    <t>Isoform 2 of Tropomyosin alpha-3 chain</t>
  </si>
  <si>
    <t>Isoform 5 of Tropomyosin alpha-3 chain</t>
  </si>
  <si>
    <t>Epoxide hydrolase 1</t>
  </si>
  <si>
    <t>Acyl-CoA-binding protein</t>
  </si>
  <si>
    <t>Fatty acid-binding protein, liver</t>
  </si>
  <si>
    <t>L-lactate dehydrogenase B chain</t>
  </si>
  <si>
    <t>Glutathione peroxidase 1</t>
  </si>
  <si>
    <t>Protein disulfide-isomerase</t>
  </si>
  <si>
    <t>Isoform 2 of Histone H1.0</t>
  </si>
  <si>
    <t>Acylphosphatase-1</t>
  </si>
  <si>
    <t>Alcohol dehydrogenase 1A</t>
  </si>
  <si>
    <t>Complement component C8 alpha chain</t>
  </si>
  <si>
    <t>Calpain-1 catalytic subunit</t>
  </si>
  <si>
    <t>Metallothionein-1B</t>
  </si>
  <si>
    <t>Proactivator polypeptide</t>
  </si>
  <si>
    <t>Beta-hexosaminidase subunit beta</t>
  </si>
  <si>
    <t>Cathepsin L1</t>
  </si>
  <si>
    <t>Profilin-1</t>
  </si>
  <si>
    <t>Bisphosphoglycerate mutase</t>
  </si>
  <si>
    <t>Adenine phosphoribosyltransferase</t>
  </si>
  <si>
    <t>Bifunctional glutamate/proline--tRNA ligase</t>
  </si>
  <si>
    <t>Cathepsin B</t>
  </si>
  <si>
    <t>Heat shock protein HSP 90-alpha</t>
  </si>
  <si>
    <t>Galactose-1-phosphate uridylyltransferase</t>
  </si>
  <si>
    <t>Tyrosine-protein kinase Yes</t>
  </si>
  <si>
    <t>Isoform Cytoplasmic of Fumarate hydratase, mitochondrial</t>
  </si>
  <si>
    <t>Thrombospondin-1</t>
  </si>
  <si>
    <t>Heat shock 70 kDa protein 1A/1B</t>
  </si>
  <si>
    <t>Isoform 2 of Annexin A6</t>
  </si>
  <si>
    <t>Corticosteroid-binding globulin</t>
  </si>
  <si>
    <t>Beta-glucuronidase</t>
  </si>
  <si>
    <t>Heat shock protein HSP 90-beta</t>
  </si>
  <si>
    <t>Isoform 2 of Signal recognition particle receptor subunit alpha</t>
  </si>
  <si>
    <t>Alcohol dehydrogenase 4</t>
  </si>
  <si>
    <t>Apolipoprotein(a)</t>
  </si>
  <si>
    <t>Isoform 3 of Pyruvate dehydrogenase E1 component subunit alpha, somatic form, mitochondrial</t>
  </si>
  <si>
    <t>U2 small nuclear ribonucleoprotein B</t>
  </si>
  <si>
    <t>Complement factor H</t>
  </si>
  <si>
    <t>Isoform 2 of U1 small nuclear ribonucleoprotein 70 kDa</t>
  </si>
  <si>
    <t>Isoform 1 of Nuclear factor 1 C-type</t>
  </si>
  <si>
    <t>Vimentin</t>
  </si>
  <si>
    <t>Alpha-2-antiplasmin</t>
  </si>
  <si>
    <t>Keratin, type I cytoskeletal 19</t>
  </si>
  <si>
    <t>Keratin, type II cytoskeletal 7</t>
  </si>
  <si>
    <t>Keratin, type I cytoskeletal 16</t>
  </si>
  <si>
    <t>3-ketoacyl-CoA thiolase, peroxisomal</t>
  </si>
  <si>
    <t>Signal recognition particle 19 kDa protein</t>
  </si>
  <si>
    <t>Glutathione S-transferase A2</t>
  </si>
  <si>
    <t>U1 small nuclear ribonucleoprotein C</t>
  </si>
  <si>
    <t>Villin-1</t>
  </si>
  <si>
    <t>Galectin-1</t>
  </si>
  <si>
    <t>Dihydropteridine reductase</t>
  </si>
  <si>
    <t>High mobility group protein B1</t>
  </si>
  <si>
    <t>Fructose-1,6-bisphosphatase 1</t>
  </si>
  <si>
    <t>Isoform 3 of Tropomyosin alpha-1 chain</t>
  </si>
  <si>
    <t>Isoform Non-brain of Clathrin light chain A</t>
  </si>
  <si>
    <t>Isoform Non-brain of Clathrin light chain B</t>
  </si>
  <si>
    <t>Annexin A4</t>
  </si>
  <si>
    <t>Isoform CNPI of 2,3-cyclic-nucleotide 3-phosphodiesterase</t>
  </si>
  <si>
    <t>Heme oxygenase 1</t>
  </si>
  <si>
    <t>Dihydrolipoyl dehydrogenase, mitochondrial</t>
  </si>
  <si>
    <t>Isoform 2 of Heterogeneous nuclear ribonucleoprotein A1</t>
  </si>
  <si>
    <t>U2 small nuclear ribonucleoprotein A</t>
  </si>
  <si>
    <t>Pro-cathepsin H</t>
  </si>
  <si>
    <t>Complement C1s subcomponent</t>
  </si>
  <si>
    <t>Poly [ADP-ribose] polymerase 1</t>
  </si>
  <si>
    <t>Interferon-induced protein with tetratricopeptide repeats 2</t>
  </si>
  <si>
    <t>Leukotriene A-4 hydrolase</t>
  </si>
  <si>
    <t>Fructose-bisphosphate aldolase C</t>
  </si>
  <si>
    <t>Peroxisomal coenzyme A diphosphatase NUDT7</t>
  </si>
  <si>
    <t>Complement C4-B</t>
  </si>
  <si>
    <t>Ig lambda-2 chain C regions</t>
  </si>
  <si>
    <t>40S ribosomal protein S17-like</t>
  </si>
  <si>
    <t>Serum amyloid A-1 protein</t>
  </si>
  <si>
    <t>Adrenodoxin, mitochondrial</t>
  </si>
  <si>
    <t>Non-secretory ribonuclease</t>
  </si>
  <si>
    <t>Isoform 3 of 60 kDa SS-A/Ro ribonucleoprotein</t>
  </si>
  <si>
    <t>Lysosomal alpha-glucosidase</t>
  </si>
  <si>
    <t>Serine/threonine-protein kinase A-Raf</t>
  </si>
  <si>
    <t>Histone H1.4</t>
  </si>
  <si>
    <t>Dihydrolipoyllysine-residue acetyltransferase component of pyruvate dehydrogenase complex, mitochondrial</t>
  </si>
  <si>
    <t>Isoform 2 of Receptor-type tyrosine-protein phosphatase F</t>
  </si>
  <si>
    <t>Cytochrome c oxidase subunit 5B, mitochondrial</t>
  </si>
  <si>
    <t>Lysosomal protective protein</t>
  </si>
  <si>
    <t>Isoform 2 of Cytochrome P450 2C8</t>
  </si>
  <si>
    <t>cAMP-dependent protein kinase type I-alpha regulatory subunit</t>
  </si>
  <si>
    <t>Uroporphyrinogen-III synthase</t>
  </si>
  <si>
    <t>S-formylglutathione hydrolase</t>
  </si>
  <si>
    <t>60 kDa heat shock protein, mitochondrial</t>
  </si>
  <si>
    <t>Isoform 4 of Clusterin</t>
  </si>
  <si>
    <t>78 kDa glucose-regulated protein</t>
  </si>
  <si>
    <t>Laminin subunit gamma-1</t>
  </si>
  <si>
    <t>Heat shock cognate 71 kDa protein</t>
  </si>
  <si>
    <t>Isoform 4 of Protein 4.1</t>
  </si>
  <si>
    <t>Uridine 5-monophosphate synthase</t>
  </si>
  <si>
    <t>Isoform 3 of Pyruvate dehydrogenase E1 component subunit beta, mitochondrial</t>
  </si>
  <si>
    <t>Lipoamide acyltransferase component of branched-chain alpha-keto acid dehydrogenase complex, mitochondrial</t>
  </si>
  <si>
    <t>Glycogen phosphorylase, brain form</t>
  </si>
  <si>
    <t>Mannose-binding protein C</t>
  </si>
  <si>
    <t>Arylamine N-acetyltransferase 2</t>
  </si>
  <si>
    <t>Isoform 2 of Breakpoint cluster region protein</t>
  </si>
  <si>
    <t>Isoform 3 of Spectrin beta chain, erythrocytic</t>
  </si>
  <si>
    <t>Medium-chain specific acyl-CoA dehydrogenase, mitochondrial</t>
  </si>
  <si>
    <t>Glucose-6-phosphate 1-dehydrogenase</t>
  </si>
  <si>
    <t>Ubiquitin-like protein 4A</t>
  </si>
  <si>
    <t>Pyruvate carboxylase, mitochondrial</t>
  </si>
  <si>
    <t>Cytochrome P450 2A6</t>
  </si>
  <si>
    <t>Isoform 2 of Dystrophin</t>
  </si>
  <si>
    <t>Isoform 5 of Dystrophin</t>
  </si>
  <si>
    <t>C-1-tetrahydrofolate synthase, cytoplasmic</t>
  </si>
  <si>
    <t>Cytochrome P450 2C9</t>
  </si>
  <si>
    <t>Alcohol dehydrogenase class-3</t>
  </si>
  <si>
    <t>Ribose-phosphate pyrophosphokinase 2</t>
  </si>
  <si>
    <t>Isoform 2 of Polyadenylate-binding protein 1</t>
  </si>
  <si>
    <t>Proliferating cell nuclear antigen</t>
  </si>
  <si>
    <t>Nucleoprotein TPR</t>
  </si>
  <si>
    <t>2-oxoisovalerate dehydrogenase subunit alpha, mitochondrial</t>
  </si>
  <si>
    <t>Eosinophil cationic protein</t>
  </si>
  <si>
    <t>Alpha-actinin-1</t>
  </si>
  <si>
    <t>Xaa-Pro dipeptidase</t>
  </si>
  <si>
    <t>X-ray repair cross-complementing protein 6</t>
  </si>
  <si>
    <t>X-ray repair cross-complementing protein 5</t>
  </si>
  <si>
    <t>Cytochrome c oxidase subunit 4 isoform 1, mitochondrial</t>
  </si>
  <si>
    <t>5-aminolevulinate synthase, nonspecific, mitochondrial</t>
  </si>
  <si>
    <t>Gamma-interferon-inducible lysosomal thiol reductase</t>
  </si>
  <si>
    <t>Ribonuclease inhibitor</t>
  </si>
  <si>
    <t>Elongation factor 2</t>
  </si>
  <si>
    <t>Isoform 2 of Metallothionein-1G</t>
  </si>
  <si>
    <t>Keratin, type II cytoskeletal 5</t>
  </si>
  <si>
    <t>Protein disulfide-isomerase A4</t>
  </si>
  <si>
    <t>Complement component C6</t>
  </si>
  <si>
    <t>Prolyl 4-hydroxylase subunit alpha-1</t>
  </si>
  <si>
    <t>Translationally-controlled tumor protein</t>
  </si>
  <si>
    <t>Plastin-2</t>
  </si>
  <si>
    <t>Plastin-3</t>
  </si>
  <si>
    <t>Acylamino-acid-releasing enzyme</t>
  </si>
  <si>
    <t>Electron transfer flavoprotein subunit alpha, mitochondrial</t>
  </si>
  <si>
    <t>cAMP-dependent protein kinase type II-alpha regulatory subunit</t>
  </si>
  <si>
    <t>Beta-enolase</t>
  </si>
  <si>
    <t>Macrophage migration inhibitory factor</t>
  </si>
  <si>
    <t>Isoform 2 of Glucosidase 2 subunit beta</t>
  </si>
  <si>
    <t>Hematopoietic lineage cell-specific protein</t>
  </si>
  <si>
    <t>Isoform 2 of Farnesyl pyrophosphate synthase</t>
  </si>
  <si>
    <t>Nidogen-1</t>
  </si>
  <si>
    <t>Alcohol dehydrogenase [NADP(+)]</t>
  </si>
  <si>
    <t>Pyruvate kinase isozymes M1/M2</t>
  </si>
  <si>
    <t>Acylphosphatase-2</t>
  </si>
  <si>
    <t>Endoplasmin</t>
  </si>
  <si>
    <t>Insulin-degrading enzyme</t>
  </si>
  <si>
    <t>Cytochrome c oxidase subunit 6B1</t>
  </si>
  <si>
    <t>Heterogeneous nuclear ribonucleoprotein L</t>
  </si>
  <si>
    <t>Aspartate--tRNA ligase, cytoplasmic</t>
  </si>
  <si>
    <t>D-amino-acid oxidase</t>
  </si>
  <si>
    <t>Junction plakoglobin</t>
  </si>
  <si>
    <t>Glutamine synthetase</t>
  </si>
  <si>
    <t>Aldose reductase</t>
  </si>
  <si>
    <t>Aminopeptidase N</t>
  </si>
  <si>
    <t>Isoform 2 of Eukaryotic peptide chain release factor GTP-binding subunit ERF3A</t>
  </si>
  <si>
    <t>Isoform 2 of Arylsulfatase A</t>
  </si>
  <si>
    <t>Arylsulfatase A</t>
  </si>
  <si>
    <t>Ezrin</t>
  </si>
  <si>
    <t>Ubiquitin carboxyl-terminal hydrolase isozyme L3</t>
  </si>
  <si>
    <t>15-hydroxyprostaglandin dehydrogenase [NAD(+)]</t>
  </si>
  <si>
    <t>Isoform 3 of Membrane cofactor protein</t>
  </si>
  <si>
    <t>Nucleoside diphosphate kinase A</t>
  </si>
  <si>
    <t>Isoform 2 of Phosphorylase b kinase gamma catalytic chain, liver/testis isoform</t>
  </si>
  <si>
    <t>Arylsulfatase B</t>
  </si>
  <si>
    <t>Desmoplakin</t>
  </si>
  <si>
    <t>Replication protein A 32 kDa subunit</t>
  </si>
  <si>
    <t>6-phosphofructo-2-kinase/fructose-2,6-bisphosphatase 1</t>
  </si>
  <si>
    <t>Carbonyl reductase [NADPH] 1</t>
  </si>
  <si>
    <t>Short-chain specific acyl-CoA dehydrogenase, mitochondrial</t>
  </si>
  <si>
    <t>Isoform 3 of Beta-galactosidase</t>
  </si>
  <si>
    <t>Isoform 3 of Serine/threonine-protein phosphatase 2B catalytic subunit beta isoform</t>
  </si>
  <si>
    <t>Cytoplasmic protein NCK1</t>
  </si>
  <si>
    <t>Isoform 2 of GC-rich sequence DNA-binding factor 2</t>
  </si>
  <si>
    <t>NADPH--cytochrome P450 reductase</t>
  </si>
  <si>
    <t>Methylated-DNA--protein-cysteine methyltransferase</t>
  </si>
  <si>
    <t>1-phosphatidylinositol 4,5-bisphosphate phosphodiesterase gamma-2</t>
  </si>
  <si>
    <t>Fumarylacetoacetase</t>
  </si>
  <si>
    <t>Stathmin</t>
  </si>
  <si>
    <t>Isoform 2 of Y-box-binding protein 3</t>
  </si>
  <si>
    <t>Zinc finger protein with KRAB and SCAN domains 1</t>
  </si>
  <si>
    <t>Alpha-N-acetylgalactosaminidase</t>
  </si>
  <si>
    <t>Heat shock 70 kDa protein 6</t>
  </si>
  <si>
    <t>Aspartate aminotransferase, cytoplasmic</t>
  </si>
  <si>
    <t>Aldo-keto reductase family 1 member C4</t>
  </si>
  <si>
    <t>cAMP-dependent protein kinase catalytic subunit alpha</t>
  </si>
  <si>
    <t>Calpain-2 catalytic subunit</t>
  </si>
  <si>
    <t>Tyrosine aminotransferase</t>
  </si>
  <si>
    <t>CTP synthase 1</t>
  </si>
  <si>
    <t>6-phosphofructokinase, liver type</t>
  </si>
  <si>
    <t>Ganglioside GM2 activator</t>
  </si>
  <si>
    <t>Galectin-3</t>
  </si>
  <si>
    <t>T-complex protein 1 subunit alpha</t>
  </si>
  <si>
    <t>Insulin-like growth factor-binding protein 2</t>
  </si>
  <si>
    <t>Isoform 1 of Vinculin</t>
  </si>
  <si>
    <t>Glutathione peroxidase 2</t>
  </si>
  <si>
    <t>Isoform 4 of Interleukin-1 receptor antagonist protein</t>
  </si>
  <si>
    <t>Isoform A of Protein SON</t>
  </si>
  <si>
    <t>Isoform 2 of 60S ribosomal protein L17</t>
  </si>
  <si>
    <t>Phosphoglycerate mutase 1</t>
  </si>
  <si>
    <t>ATP synthase-coupling factor 6, mitochondrial</t>
  </si>
  <si>
    <t>Myosin regulatory light chain 12A</t>
  </si>
  <si>
    <t>1-phosphatidylinositol 4,5-bisphosphate phosphodiesterase gamma-1</t>
  </si>
  <si>
    <t>Nucleolin</t>
  </si>
  <si>
    <t>DNA-directed RNA polymerases I, II, and III subunit RPABC1</t>
  </si>
  <si>
    <t>NADH dehydrogenase [ubiquinone] flavoprotein 2, mitochondrial</t>
  </si>
  <si>
    <t>Isoform 2 of Interferon-induced, double-stranded RNA-activated protein kinase</t>
  </si>
  <si>
    <t>Spermidine synthase</t>
  </si>
  <si>
    <t>Alpha-1-acid glycoprotein 2</t>
  </si>
  <si>
    <t>Casein kinase II subunit alpha</t>
  </si>
  <si>
    <t>Inter-alpha-trypsin inhibitor heavy chain H1</t>
  </si>
  <si>
    <t>Nuclear factor NF-kappa-B p105 subunit</t>
  </si>
  <si>
    <t>Thymidine phosphorylase</t>
  </si>
  <si>
    <t>Eukaryotic translation initiation factor 2 subunit 2</t>
  </si>
  <si>
    <t>L-serine dehydratase/L-threonine deaminase</t>
  </si>
  <si>
    <t>Transcription factor BTF3</t>
  </si>
  <si>
    <t>Ras-related protein Rab-4A</t>
  </si>
  <si>
    <t>Isoform 2 of Ras-related protein Rab-6A</t>
  </si>
  <si>
    <t>Interferon-induced GTP-binding protein Mx1</t>
  </si>
  <si>
    <t>Proteasome subunit beta type-1</t>
  </si>
  <si>
    <t>Cytochrome c oxidase subunit 5A, mitochondrial</t>
  </si>
  <si>
    <t>Lamin-B1</t>
  </si>
  <si>
    <t>Isoform 3 of Aromatic-L-amino-acid decarboxylase</t>
  </si>
  <si>
    <t>Pregnancy zone protein</t>
  </si>
  <si>
    <t>Isoform 5 of Calpastatin</t>
  </si>
  <si>
    <t>Filaggrin</t>
  </si>
  <si>
    <t>N(4)-(beta-N-acetylglucosaminyl)-L-asparaginase</t>
  </si>
  <si>
    <t>Parathymosin</t>
  </si>
  <si>
    <t>Glutathione S-transferase Mu 3</t>
  </si>
  <si>
    <t>V-type proton ATPase subunit B, brain isoform</t>
  </si>
  <si>
    <t>V-type proton ATPase subunit C 1</t>
  </si>
  <si>
    <t>Cysteine and glycine-rich protein 1</t>
  </si>
  <si>
    <t>Isoform 2 of Amine oxidase [flavin-containing] A</t>
  </si>
  <si>
    <t>Cytoplasmic aconitate hydratase</t>
  </si>
  <si>
    <t>Serine--pyruvate aminotransferase</t>
  </si>
  <si>
    <t>Isoform 2 of Glycerol-3-phosphate dehydrogenase [NAD(+)], cytoplasmic</t>
  </si>
  <si>
    <t>Succinate dehydrogenase [ubiquinone] iron-sulfur subunit, mitochondrial</t>
  </si>
  <si>
    <t>Isoform Soluble of Catechol O-methyltransferase</t>
  </si>
  <si>
    <t>Methylmalonyl-CoA mutase, mitochondrial</t>
  </si>
  <si>
    <t>Oxysterol-binding protein 1</t>
  </si>
  <si>
    <t>Protein-L-isoaspartate(D-aspartate) O-methyltransferase</t>
  </si>
  <si>
    <t>Trifunctional purine biosynthetic protein adenosine-3</t>
  </si>
  <si>
    <t>Multifunctional protein ADE2</t>
  </si>
  <si>
    <t>Isoform SCP2 of Non-specific lipid-transfer protein</t>
  </si>
  <si>
    <t>Non-specific lipid-transfer protein</t>
  </si>
  <si>
    <t>Ubiquitin-like modifier-activating enzyme 1</t>
  </si>
  <si>
    <t>Isoform 3 of Nucleoside diphosphate kinase B</t>
  </si>
  <si>
    <t>NADPH:adrenodoxin oxidoreductase, mitochondrial</t>
  </si>
  <si>
    <t>Heterogeneous nuclear ribonucleoproteins A2/B1</t>
  </si>
  <si>
    <t>MHC class II regulatory factor RFX1</t>
  </si>
  <si>
    <t>Isoform 4 of cAMP-dependent protein kinase catalytic subunit beta</t>
  </si>
  <si>
    <t>Ferrochelatase, mitochondrial</t>
  </si>
  <si>
    <t>Isoform 3 of Liver carboxylesterase 1</t>
  </si>
  <si>
    <t>Isoform B of Fibulin-1</t>
  </si>
  <si>
    <t>Transcription elongation factor A protein 1</t>
  </si>
  <si>
    <t>Splicing factor, proline- and glutamine-rich</t>
  </si>
  <si>
    <t>Peptidyl-prolyl cis-trans isomerase B</t>
  </si>
  <si>
    <t>NAD-dependent malic enzyme, mitochondrial</t>
  </si>
  <si>
    <t>Glycine dehydrogenase [decarboxylating], mitochondrial</t>
  </si>
  <si>
    <t>Tryptophan--tRNA ligase, cytoplasmic</t>
  </si>
  <si>
    <t>40S ribosomal protein S3</t>
  </si>
  <si>
    <t>Myogenic factor 6</t>
  </si>
  <si>
    <t>Glycine cleavage system H protein, mitochondrial</t>
  </si>
  <si>
    <t>Nuclear autoantigen Sp-100</t>
  </si>
  <si>
    <t>Colorectal mutant cancer protein</t>
  </si>
  <si>
    <t>Adenosylhomocysteinase</t>
  </si>
  <si>
    <t>Cofilin-1</t>
  </si>
  <si>
    <t>Eukaryotic translation initiation factor 4B</t>
  </si>
  <si>
    <t>Carnitine O-palmitoyltransferase 2, mitochondrial</t>
  </si>
  <si>
    <t>Thymidylate kinase</t>
  </si>
  <si>
    <t>Ribonucleoside-diphosphate reductase large subunit</t>
  </si>
  <si>
    <t>Alanine aminotransferase 1</t>
  </si>
  <si>
    <t>Elongation factor 1-beta</t>
  </si>
  <si>
    <t>Isoform 2 of Low molecular weight phosphotyrosine protein phosphatase</t>
  </si>
  <si>
    <t>Low molecular weight phosphotyrosine protein phosphatase</t>
  </si>
  <si>
    <t>Acetyl-CoA acetyltransferase, mitochondrial</t>
  </si>
  <si>
    <t>DNA-directed RNA polymerase II subunit RPB1</t>
  </si>
  <si>
    <t>Cyclin-dependent kinase 2</t>
  </si>
  <si>
    <t>Isoform Short of Adenomatous polyposis coli protein</t>
  </si>
  <si>
    <t>Zinc-alpha-2-glycoprotein</t>
  </si>
  <si>
    <t>40S ribosomal protein S12</t>
  </si>
  <si>
    <t>DnaJ homolog subfamily B member 1</t>
  </si>
  <si>
    <t>ATP synthase subunit alpha, mitochondrial</t>
  </si>
  <si>
    <t>Cathepsin S</t>
  </si>
  <si>
    <t>Proteasome subunit alpha type-1</t>
  </si>
  <si>
    <t>Proteasome subunit alpha type-2</t>
  </si>
  <si>
    <t>Isoform 2 of Proteasome subunit alpha type-3</t>
  </si>
  <si>
    <t>Proteasome subunit alpha type-4</t>
  </si>
  <si>
    <t>Moesin</t>
  </si>
  <si>
    <t>Probable ATP-dependent RNA helicase DDX6</t>
  </si>
  <si>
    <t>DNA (cytosine-5)-methyltransferase 1</t>
  </si>
  <si>
    <t>Isoform 2 of Splicing factor U2AF 65 kDa subunit</t>
  </si>
  <si>
    <t>60S ribosomal protein L13</t>
  </si>
  <si>
    <t>Isovaleryl-CoA dehydrogenase, mitochondrial</t>
  </si>
  <si>
    <t>Protein S100-A4</t>
  </si>
  <si>
    <t>High mobility group protein B2</t>
  </si>
  <si>
    <t>Polypyrimidine tract-binding protein 1</t>
  </si>
  <si>
    <t>Threonine--tRNA ligase, cytoplasmic</t>
  </si>
  <si>
    <t>Valine--tRNA ligase</t>
  </si>
  <si>
    <t>Elongation factor 1-gamma</t>
  </si>
  <si>
    <t>Peptidyl-prolyl cis-trans isomerase FKBP2</t>
  </si>
  <si>
    <t>GTP:AMP phosphotransferase AK4, mitochondrial</t>
  </si>
  <si>
    <t>14-3-3 protein theta</t>
  </si>
  <si>
    <t>Dipeptidyl peptidase 4</t>
  </si>
  <si>
    <t>Replication protein A 70 kDa DNA-binding subunit</t>
  </si>
  <si>
    <t>DNA-(apurinic or apyrimidinic site) lyase</t>
  </si>
  <si>
    <t>Calreticulin</t>
  </si>
  <si>
    <t>Isoform 6 of Microtubule-associated protein 4</t>
  </si>
  <si>
    <t>Phosphatidylinositol 3-kinase regulatory subunit alpha</t>
  </si>
  <si>
    <t>Isoform 2 of Proteasome subunit beta type-8</t>
  </si>
  <si>
    <t>Proteasome subunit alpha type-5</t>
  </si>
  <si>
    <t>Proteasome subunit beta type-4</t>
  </si>
  <si>
    <t>Proteasome subunit beta type-6</t>
  </si>
  <si>
    <t>Proteasome subunit beta type-5</t>
  </si>
  <si>
    <t>Tropomodulin-1</t>
  </si>
  <si>
    <t>Long-chain specific acyl-CoA dehydrogenase, mitochondrial</t>
  </si>
  <si>
    <t>NADH-ubiquinone oxidoreductase 75 kDa subunit, mitochondrial</t>
  </si>
  <si>
    <t>Alcohol dehydrogenase 6</t>
  </si>
  <si>
    <t>DNA polymerase delta catalytic subunit</t>
  </si>
  <si>
    <t>Mitogen-activated protein kinase 1</t>
  </si>
  <si>
    <t>Granulins</t>
  </si>
  <si>
    <t>Cytosol aminopeptidase</t>
  </si>
  <si>
    <t>General transcription factor IIE subunit 1</t>
  </si>
  <si>
    <t>Tripeptidyl-peptidase 2</t>
  </si>
  <si>
    <t>Tyrosine-protein phosphatase non-receptor type 6</t>
  </si>
  <si>
    <t>Isoform 7 of SHC-transforming protein 1</t>
  </si>
  <si>
    <t>Transketolase</t>
  </si>
  <si>
    <t>Protein PML</t>
  </si>
  <si>
    <t>Myristoylated alanine-rich C-kinase substrate</t>
  </si>
  <si>
    <t>Delta-1-pyrroline-5-carboxylate dehydrogenase, mitochondrial</t>
  </si>
  <si>
    <t>Phenazine biosynthesis-like domain-containing protein</t>
  </si>
  <si>
    <t>Endoplasmic reticulum resident protein 29</t>
  </si>
  <si>
    <t>Peroxiredoxin-6</t>
  </si>
  <si>
    <t>ES1 protein homolog, mitochondrial</t>
  </si>
  <si>
    <t>Flavin reductase (NADPH)</t>
  </si>
  <si>
    <t>Isoform Cytoplasmic+peroxisomal of Peroxiredoxin-5, mitochondrial</t>
  </si>
  <si>
    <t>D-dopachrome decarboxylase</t>
  </si>
  <si>
    <t>GTP cyclohydrolase 1 feedback regulatory protein</t>
  </si>
  <si>
    <t>ATP synthase subunit delta, mitochondrial</t>
  </si>
  <si>
    <t>60S ribosomal protein L12</t>
  </si>
  <si>
    <t>Enoyl-CoA hydratase, mitochondrial</t>
  </si>
  <si>
    <t>UMP-CMP kinase</t>
  </si>
  <si>
    <t>Phosphatidylethanolamine-binding protein 1</t>
  </si>
  <si>
    <t>Serine/threonine-protein phosphatase 2A 65 kDa regulatory subunit A alpha isoform</t>
  </si>
  <si>
    <t>Isoform 4 of Serine/threonine-protein phosphatase 2A 65 kDa regulatory subunit A beta isoform</t>
  </si>
  <si>
    <t>Peptidyl-prolyl cis-trans isomerase F, mitochondrial</t>
  </si>
  <si>
    <t>NK-tumor recognition protein</t>
  </si>
  <si>
    <t>Glycylpeptide N-tetradecanoyltransferase 1</t>
  </si>
  <si>
    <t>Adenylosuccinate synthetase isozyme 2</t>
  </si>
  <si>
    <t>Alpha-2-macroglobulin receptor-associated protein</t>
  </si>
  <si>
    <t>Adenylosuccinate lyase</t>
  </si>
  <si>
    <t>Isoform L-type of Pyruvate kinase isozymes R/L</t>
  </si>
  <si>
    <t>Isoform 3 of CAP-Gly domain-containing linker protein 1</t>
  </si>
  <si>
    <t>Glutathione S-transferase theta-1</t>
  </si>
  <si>
    <t>Leukocyte elastase inhibitor</t>
  </si>
  <si>
    <t>GTP cyclohydrolase 1</t>
  </si>
  <si>
    <t>Aldehyde dehydrogenase X, mitochondrial</t>
  </si>
  <si>
    <t>Succinate dehydrogenase [ubiquinone] flavoprotein subunit, mitochondrial</t>
  </si>
  <si>
    <t>Coronin-1A</t>
  </si>
  <si>
    <t>Rab GDP dissociation inhibitor alpha</t>
  </si>
  <si>
    <t>S-adenosylmethionine synthase isoform type-2</t>
  </si>
  <si>
    <t>cAMP-dependent protein kinase type I-beta regulatory subunit</t>
  </si>
  <si>
    <t>Carbamoyl-phosphate synthase [ammonia], mitochondrial</t>
  </si>
  <si>
    <t>DnaJ homolog subfamily A member 1</t>
  </si>
  <si>
    <t>RAC-alpha serine/threonine-protein kinase</t>
  </si>
  <si>
    <t>RAC-beta serine/threonine-protein kinase</t>
  </si>
  <si>
    <t>Cytochrome b-c1 complex subunit 1, mitochondrial</t>
  </si>
  <si>
    <t>3-hydroxyisobutyrate dehydrogenase, mitochondrial</t>
  </si>
  <si>
    <t>Bifunctional purine biosynthesis protein PURH</t>
  </si>
  <si>
    <t>Isoform 2 of Heterogeneous nuclear ribonucleoprotein H3</t>
  </si>
  <si>
    <t>Caspase-14</t>
  </si>
  <si>
    <t>Isoform Short of 14-3-3 protein beta/alpha</t>
  </si>
  <si>
    <t>Isoform 2 of 14-3-3 protein sigma</t>
  </si>
  <si>
    <t>Stress-induced-phosphoprotein 1</t>
  </si>
  <si>
    <t>Protein S100-A11</t>
  </si>
  <si>
    <t>Peroxiredoxin-2</t>
  </si>
  <si>
    <t>Isoform 1 of Glycerol kinase</t>
  </si>
  <si>
    <t>Cytidine deaminase</t>
  </si>
  <si>
    <t>Deoxycytidylate deaminase</t>
  </si>
  <si>
    <t>Interferon-induced guanylate-binding protein 1</t>
  </si>
  <si>
    <t>Interferon-induced guanylate-binding protein 2</t>
  </si>
  <si>
    <t>Isoform 2 of ETS-related transcription factor Elf-1</t>
  </si>
  <si>
    <t>Isoform 2 of 4-hydroxyphenylpyruvate dioxygenase</t>
  </si>
  <si>
    <t>4-hydroxyphenylpyruvate dioxygenase</t>
  </si>
  <si>
    <t>Cystathionine gamma-lyase</t>
  </si>
  <si>
    <t>Long-chain-fatty-acid--CoA ligase 1</t>
  </si>
  <si>
    <t>Kinesin-1 heavy chain</t>
  </si>
  <si>
    <t>Isoform 2 of Cleavage stimulation factor subunit 2</t>
  </si>
  <si>
    <t>Lymphocyte-specific protein 1</t>
  </si>
  <si>
    <t>Deoxyuridine 5-triphosphate nucleotidohydrolase, mitochondrial</t>
  </si>
  <si>
    <t>DNA replication licensing factor MCM4</t>
  </si>
  <si>
    <t>DNA replication licensing factor MCM5</t>
  </si>
  <si>
    <t>DNA replication licensing factor MCM7</t>
  </si>
  <si>
    <t>N-acetylgalactosamine-6-sulfatase</t>
  </si>
  <si>
    <t>Ribonuclease 4</t>
  </si>
  <si>
    <t>Isoform 2 of Serine hydroxymethyltransferase, cytosolic</t>
  </si>
  <si>
    <t>Isoform 3 of Serine hydroxymethyltransferase, mitochondrial</t>
  </si>
  <si>
    <t>Bifunctional epoxide hydrolase 2</t>
  </si>
  <si>
    <t>Heat shock 70 kDa protein 4</t>
  </si>
  <si>
    <t>Isoform B of Trypsin-3</t>
  </si>
  <si>
    <t>Carbonic anhydrase 5A, mitochondrial</t>
  </si>
  <si>
    <t>Catenin alpha-1</t>
  </si>
  <si>
    <t>Serpin B6</t>
  </si>
  <si>
    <t>Radixin</t>
  </si>
  <si>
    <t>Isoform 2 of Replication factor C subunit 1</t>
  </si>
  <si>
    <t>60S ribosomal protein L22</t>
  </si>
  <si>
    <t>Sepiapterin reductase</t>
  </si>
  <si>
    <t>Cystathionine beta-synthase</t>
  </si>
  <si>
    <t>Phosphoenolpyruvate carboxykinase, cytosolic [GTP]</t>
  </si>
  <si>
    <t>Insulin receptor substrate 1</t>
  </si>
  <si>
    <t>Glycogen debranching enzyme</t>
  </si>
  <si>
    <t>Myosin-9</t>
  </si>
  <si>
    <t>Myosin-10</t>
  </si>
  <si>
    <t>Coatomer subunit beta</t>
  </si>
  <si>
    <t>Isoform 2 of Alpha-adducin</t>
  </si>
  <si>
    <t>Isoform Short of RNA-binding protein FUS</t>
  </si>
  <si>
    <t>Isoform 2 of Nuclear pore complex protein Nup214</t>
  </si>
  <si>
    <t>Protein DEK</t>
  </si>
  <si>
    <t>Glutaredoxin-1</t>
  </si>
  <si>
    <t>Protein phosphatase 1A</t>
  </si>
  <si>
    <t>Insulin-like growth factor-binding protein complex acid labile subunit</t>
  </si>
  <si>
    <t>Hydroxymethylglutaryl-CoA lyase, mitochondrial</t>
  </si>
  <si>
    <t>26S protease regulatory subunit 7</t>
  </si>
  <si>
    <t>ADP-ribosylation factor-like protein 3</t>
  </si>
  <si>
    <t>Dual specificity mitogen-activated protein kinase kinase 2</t>
  </si>
  <si>
    <t>V-type proton ATPase subunit E 1</t>
  </si>
  <si>
    <t>Coproporphyrinogen-III oxidase, mitochondrial</t>
  </si>
  <si>
    <t>Phosphoglucomutase-1</t>
  </si>
  <si>
    <t>Serine/threonine-protein phosphatase PP1-gamma catalytic subunit</t>
  </si>
  <si>
    <t>Guanine nucleotide-binding protein-like 1</t>
  </si>
  <si>
    <t>Pigment epithelium-derived factor</t>
  </si>
  <si>
    <t>Dihydrolipoyllysine-residue succinyltransferase component of 2-oxoglutarate dehydrogenase complex, mitochondrial</t>
  </si>
  <si>
    <t>GMP reductase 1</t>
  </si>
  <si>
    <t>Isoform Cytoplasmic of Phospholipid hydroperoxide glutathione peroxidase, mitochondrial</t>
  </si>
  <si>
    <t>Isoform Short of Complement factor H-related protein 2</t>
  </si>
  <si>
    <t>Signal recognition particle 14 kDa protein</t>
  </si>
  <si>
    <t>Nuclear pore glycoprotein p62</t>
  </si>
  <si>
    <t>Hippocalcin-like protein 1</t>
  </si>
  <si>
    <t>Transgelin-2</t>
  </si>
  <si>
    <t>Transaldolase</t>
  </si>
  <si>
    <t>Electron transfer flavoprotein subunit beta</t>
  </si>
  <si>
    <t>RNA-binding motif protein, X chromosome</t>
  </si>
  <si>
    <t>Coilin</t>
  </si>
  <si>
    <t>Integrin alpha-E</t>
  </si>
  <si>
    <t>Stress-70 protein, mitochondrial</t>
  </si>
  <si>
    <t>Eukaryotic initiation factor 4A-III</t>
  </si>
  <si>
    <t>40S ribosomal protein S19</t>
  </si>
  <si>
    <t>Isoform 3 of Collagen alpha-1(XVIII) chain</t>
  </si>
  <si>
    <t>Flap endonuclease 1</t>
  </si>
  <si>
    <t>Alpha-taxilin</t>
  </si>
  <si>
    <t>T-complex protein 1 subunit zeta</t>
  </si>
  <si>
    <t>Nicotinamide N-methyltransferase</t>
  </si>
  <si>
    <t>Proteasome subunit beta type-10</t>
  </si>
  <si>
    <t>Alcohol dehydrogenase class 4 mu/sigma chain</t>
  </si>
  <si>
    <t>Isoform Del-701 of Signal transducer and activator of transcription 3</t>
  </si>
  <si>
    <t>Signal transducer and activator of transcription 3</t>
  </si>
  <si>
    <t>Ubiquitin carboxyl-terminal hydrolase 8</t>
  </si>
  <si>
    <t>Malate dehydrogenase, cytoplasmic</t>
  </si>
  <si>
    <t>Malate dehydrogenase, mitochondrial</t>
  </si>
  <si>
    <t>Trifunctional enzyme subunit alpha, mitochondrial</t>
  </si>
  <si>
    <t>Eukaryotic translation initiation factor 2 subunit 3</t>
  </si>
  <si>
    <t>Centrin-2</t>
  </si>
  <si>
    <t>Ubiquitin-like modifier-activating enzyme 7</t>
  </si>
  <si>
    <t>Isoform 2 of N-alpha-acetyltransferase 10</t>
  </si>
  <si>
    <t>Protein phosphatase inhibitor 2</t>
  </si>
  <si>
    <t>Tyrosine-protein kinase CSK</t>
  </si>
  <si>
    <t>Glycine--tRNA ligase</t>
  </si>
  <si>
    <t>Isoleucine--tRNA ligase, cytoplasmic</t>
  </si>
  <si>
    <t>Eukaryotic translation initiation factor 1</t>
  </si>
  <si>
    <t>Protein kinase C iota type</t>
  </si>
  <si>
    <t>Beta-centractin</t>
  </si>
  <si>
    <t>Isoform 2 of Enoyl-CoA delta isomerase 1, mitochondrial</t>
  </si>
  <si>
    <t>Lamina-associated polypeptide 2, isoform alpha</t>
  </si>
  <si>
    <t>Isoform Beta of Signal transducer and activator of transcription 1-alpha/beta</t>
  </si>
  <si>
    <t>Isoform 3 of Signal transducer and activator of transcription 6</t>
  </si>
  <si>
    <t>Superkiller viralicidic activity 2-like 2</t>
  </si>
  <si>
    <t>Aldo-keto reductase family 1 member C3</t>
  </si>
  <si>
    <t>Phosphatidylinositol 4,5-bisphosphate 3-kinase catalytic subunit alpha isoform</t>
  </si>
  <si>
    <t>Phosphatidylinositol 4,5-bisphosphate 3-kinase catalytic subunit beta isoform</t>
  </si>
  <si>
    <t>Serine/threonine-protein kinase mTOR</t>
  </si>
  <si>
    <t>Histidine ammonia-lyase</t>
  </si>
  <si>
    <t>Epidermal growth factor receptor substrate 15</t>
  </si>
  <si>
    <t>Caspase-3</t>
  </si>
  <si>
    <t>Leucine-rich PPR motif-containing protein, mitochondrial</t>
  </si>
  <si>
    <t>3-ketoacyl-CoA thiolase, mitochondrial</t>
  </si>
  <si>
    <t>Cyclin-dependent kinase 4 inhibitor C</t>
  </si>
  <si>
    <t>Lysosomal Pro-X carboxypeptidase</t>
  </si>
  <si>
    <t>Huntingtin</t>
  </si>
  <si>
    <t>Platelet-activating factor acetylhydrolase IB subunit alpha</t>
  </si>
  <si>
    <t>Isoform 2 of Carnitine O-acetyltransferase</t>
  </si>
  <si>
    <t>Matrin-3</t>
  </si>
  <si>
    <t>DNA mismatch repair protein Msh2</t>
  </si>
  <si>
    <t>Ran-specific GTPase-activating protein</t>
  </si>
  <si>
    <t>Nicotinamide phosphoribosyltransferase</t>
  </si>
  <si>
    <t>Afamin</t>
  </si>
  <si>
    <t>26S protease regulatory subunit 6B</t>
  </si>
  <si>
    <t>Elongation factor Ts, mitochondrial</t>
  </si>
  <si>
    <t>Aspartoacylase</t>
  </si>
  <si>
    <t>Short/branched chain specific acyl-CoA dehydrogenase, mitochondrial</t>
  </si>
  <si>
    <t>Isoform Short of Ubiquitin carboxyl-terminal hydrolase 5</t>
  </si>
  <si>
    <t>Isoform Alpha-1 of Mitogen-activated protein kinase 9</t>
  </si>
  <si>
    <t>Dual specificity mitogen-activated protein kinase kinase 4</t>
  </si>
  <si>
    <t>Isoform Short of Antigen KI-67</t>
  </si>
  <si>
    <t>Phosphorylase b kinase regulatory subunit alpha, liver isoform</t>
  </si>
  <si>
    <t>Ran GTPase-activating protein 1</t>
  </si>
  <si>
    <t>ATP-dependent DNA helicase Q1</t>
  </si>
  <si>
    <t>Isoform 2 of Putative ribosomal RNA methyltransferase NOP2</t>
  </si>
  <si>
    <t>Isoform 1 of Transcriptional regulator ATRX</t>
  </si>
  <si>
    <t>Adapter molecule crk</t>
  </si>
  <si>
    <t>Crk-like protein</t>
  </si>
  <si>
    <t>Translation initiation factor IF-2, mitochondrial</t>
  </si>
  <si>
    <t>Cyclin-dependent kinase inhibitor 1B</t>
  </si>
  <si>
    <t>Isoform 1 of Lys-63-specific deubiquitinase BRCC36</t>
  </si>
  <si>
    <t>60S ribosomal protein L5</t>
  </si>
  <si>
    <t>40S ribosomal protein S9</t>
  </si>
  <si>
    <t>40S ribosomal protein S10</t>
  </si>
  <si>
    <t>Glucosamine-6-phosphate isomerase 1</t>
  </si>
  <si>
    <t>Isoform 4 of E3 ubiquitin-protein ligase NEDD4</t>
  </si>
  <si>
    <t>Yorkie homolog</t>
  </si>
  <si>
    <t>Utrophin</t>
  </si>
  <si>
    <t>Ras GTPase-activating-like protein IQGAP1</t>
  </si>
  <si>
    <t>3-hydroxyanthranilate 3,4-dioxygenase</t>
  </si>
  <si>
    <t>Isoform GN-1 of Glycogenin-1</t>
  </si>
  <si>
    <t>Guanine nucleotide exchange factor MSS4</t>
  </si>
  <si>
    <t>F-actin-capping protein subunit alpha-2</t>
  </si>
  <si>
    <t>Eukaryotic translation initiation factor 1A, X-chromosomal</t>
  </si>
  <si>
    <t>Glutamine--tRNA ligase</t>
  </si>
  <si>
    <t>Cytochrome b-c1 complex subunit Rieske, mitochondrial</t>
  </si>
  <si>
    <t>Xanthine dehydrogenase/oxidase</t>
  </si>
  <si>
    <t>LIM and senescent cell antigen-like-containing domain protein 1</t>
  </si>
  <si>
    <t>Prolyl endopeptidase</t>
  </si>
  <si>
    <t>NADP-dependent malic enzyme</t>
  </si>
  <si>
    <t>Iron-responsive element-binding protein 2</t>
  </si>
  <si>
    <t>Coatomer subunit delta</t>
  </si>
  <si>
    <t>Isoform 3 of Lanosterol synthase</t>
  </si>
  <si>
    <t>Glutamate--cysteine ligase catalytic subunit</t>
  </si>
  <si>
    <t>Glutamate--cysteine ligase regulatory subunit</t>
  </si>
  <si>
    <t>Trafficking protein particle complex subunit 10</t>
  </si>
  <si>
    <t>Protein PRRC2A</t>
  </si>
  <si>
    <t>Glutathione synthetase</t>
  </si>
  <si>
    <t>T-complex protein 1 subunit epsilon</t>
  </si>
  <si>
    <t>Keratin, type II cytoskeletal 6C</t>
  </si>
  <si>
    <t>Aminomethyltransferase, mitochondrial</t>
  </si>
  <si>
    <t>Isocitrate dehydrogenase [NADP], mitochondrial</t>
  </si>
  <si>
    <t>Phosphatidylinositol transfer protein beta isoform</t>
  </si>
  <si>
    <t>MARCKS-related protein</t>
  </si>
  <si>
    <t>MAP kinase-activated protein kinase 2</t>
  </si>
  <si>
    <t>4-trimethylaminobutyraldehyde dehydrogenase</t>
  </si>
  <si>
    <t>Ribose-5-phosphate isomerase</t>
  </si>
  <si>
    <t>Nuclear autoantigenic sperm protein</t>
  </si>
  <si>
    <t>Dimethylaniline monooxygenase [N-oxide-forming] 5</t>
  </si>
  <si>
    <t>Fatty acid synthase</t>
  </si>
  <si>
    <t>Protein farnesyltransferase/geranylgeranyltransferase type-1 subunit alpha</t>
  </si>
  <si>
    <t>Deoxyhypusine synthase</t>
  </si>
  <si>
    <t>T-complex protein 1 subunit gamma</t>
  </si>
  <si>
    <t>Isoform 1B of Beta-arrestin-1</t>
  </si>
  <si>
    <t>Elongation factor Tu, mitochondrial</t>
  </si>
  <si>
    <t>Isoform 2 of Alpha-aminoadipic semialdehyde dehydrogenase</t>
  </si>
  <si>
    <t>Ubiquitin-conjugating enzyme E2 R1</t>
  </si>
  <si>
    <t>Inositol polyphosphate 1-phosphatase</t>
  </si>
  <si>
    <t>Glutamate dehydrogenase 2, mitochondrial</t>
  </si>
  <si>
    <t>Signal recognition particle 9 kDa protein</t>
  </si>
  <si>
    <t>Ubiquitin-conjugating enzyme E2 A</t>
  </si>
  <si>
    <t>Alanine--tRNA ligase, cytoplasmic</t>
  </si>
  <si>
    <t>Isoform 3 of Cysteine--tRNA ligase, cytoplasmic</t>
  </si>
  <si>
    <t>Serine--tRNA ligase, cytoplasmic</t>
  </si>
  <si>
    <t>Alpha-tocopherol transfer protein</t>
  </si>
  <si>
    <t>Caspase-4</t>
  </si>
  <si>
    <t>Transcriptional repressor CTCF</t>
  </si>
  <si>
    <t>Proteasome subunit beta type-3</t>
  </si>
  <si>
    <t>Proteasome subunit beta type-2</t>
  </si>
  <si>
    <t>DNA replication licensing factor MCM2</t>
  </si>
  <si>
    <t>Very long-chain specific acyl-CoA dehydrogenase, mitochondrial</t>
  </si>
  <si>
    <t>Isoform 4 of YLP motif-containing protein 1</t>
  </si>
  <si>
    <t>RNA-binding protein 25</t>
  </si>
  <si>
    <t>Isoform 4 of Protein numb homolog</t>
  </si>
  <si>
    <t>Translation initiation factor eIF-2B subunit beta</t>
  </si>
  <si>
    <t>Histidine triad nucleotide-binding protein 1</t>
  </si>
  <si>
    <t>Bis(5-adenosyl)-triphosphatase</t>
  </si>
  <si>
    <t>Nuclear pore complex protein Nup153</t>
  </si>
  <si>
    <t>E3 SUMO-protein ligase RanBP2</t>
  </si>
  <si>
    <t>Isoform 2 of NADH dehydrogenase [ubiquinone] flavoprotein 1, mitochondrial</t>
  </si>
  <si>
    <t>Glycogen synthase kinase-3 alpha</t>
  </si>
  <si>
    <t>Estrogen sulfotransferase</t>
  </si>
  <si>
    <t>Cytosolic purine 5-nucleotidase</t>
  </si>
  <si>
    <t>Selenide, water dikinase 1</t>
  </si>
  <si>
    <t>5-formyltetrahydrofolate cyclo-ligase</t>
  </si>
  <si>
    <t>Double-strand break repair protein MRE11A</t>
  </si>
  <si>
    <t>Isoform C of Ketohexokinase</t>
  </si>
  <si>
    <t>Ketohexokinase</t>
  </si>
  <si>
    <t>Histamine N-methyltransferase</t>
  </si>
  <si>
    <t>Sulfotransferase 1A1</t>
  </si>
  <si>
    <t>Sulfotransferase 1A2</t>
  </si>
  <si>
    <t>Rab GDP dissociation inhibitor beta</t>
  </si>
  <si>
    <t>Emerin</t>
  </si>
  <si>
    <t>Glycine amidinotransferase, mitochondrial</t>
  </si>
  <si>
    <t>Serpin B8</t>
  </si>
  <si>
    <t>Serpin B9</t>
  </si>
  <si>
    <t>Serpin H1</t>
  </si>
  <si>
    <t>Hsc70-interacting protein</t>
  </si>
  <si>
    <t>Isoform 2 of Peroxisomal targeting signal 1 receptor</t>
  </si>
  <si>
    <t>Vasodilator-stimulated phosphoprotein</t>
  </si>
  <si>
    <t>Isoform 2 of Dynamin-2</t>
  </si>
  <si>
    <t>Bis(5-nucleosyl)-tetraphosphatase [asymmetrical]</t>
  </si>
  <si>
    <t>Biotin--protein ligase</t>
  </si>
  <si>
    <t>Cyclin-dependent kinase 9</t>
  </si>
  <si>
    <t>Palmitoyl-protein thioesterase 1</t>
  </si>
  <si>
    <t>T-complex protein 1 subunit theta</t>
  </si>
  <si>
    <t>T-complex protein 1 subunit delta</t>
  </si>
  <si>
    <t>Isoform 3 of Fragile X mental retardation syndrome-related protein 1</t>
  </si>
  <si>
    <t>Fragile X mental retardation syndrome-related protein 2</t>
  </si>
  <si>
    <t>Ras-related protein Rab-5C</t>
  </si>
  <si>
    <t>Ras-related protein Rab-7a</t>
  </si>
  <si>
    <t>Ras-related protein Rab-13</t>
  </si>
  <si>
    <t>1-phosphatidylinositol 4,5-bisphosphate phosphodiesterase delta-1</t>
  </si>
  <si>
    <t>Isoform 2 of 28S ribosomal protein S29, mitochondrial</t>
  </si>
  <si>
    <t>Dual specificity protein phosphatase 3</t>
  </si>
  <si>
    <t>Isocitrate dehydrogenase [NAD] subunit gamma, mitochondrial</t>
  </si>
  <si>
    <t>Galactokinase</t>
  </si>
  <si>
    <t>B-cell receptor-associated protein 31</t>
  </si>
  <si>
    <t>Thiopurine S-methyltransferase</t>
  </si>
  <si>
    <t>Methyl-CpG-binding protein 2</t>
  </si>
  <si>
    <t>Isoform 4 of Host cell factor 1</t>
  </si>
  <si>
    <t>Succinate-semialdehyde dehydrogenase, mitochondrial</t>
  </si>
  <si>
    <t>Peroxisomal multifunctional enzyme type 2</t>
  </si>
  <si>
    <t>26S proteasome non-ATPase regulatory subunit 7</t>
  </si>
  <si>
    <t>Sulfite oxidase, mitochondrial</t>
  </si>
  <si>
    <t>N-sulphoglucosamine sulphohydrolase</t>
  </si>
  <si>
    <t>Signal transducer and activator of transcription 5B</t>
  </si>
  <si>
    <t>3-oxo-5-beta-steroid 4-dehydrogenase</t>
  </si>
  <si>
    <t>Hepatoma-derived growth factor</t>
  </si>
  <si>
    <t>Heterogeneous nuclear ribonucleoprotein A3</t>
  </si>
  <si>
    <t>Isoform 2 of Heterogeneous nuclear ribonucleoprotein M</t>
  </si>
  <si>
    <t>Importin subunit alpha-2</t>
  </si>
  <si>
    <t>Importin subunit alpha-1</t>
  </si>
  <si>
    <t>Rap1 GTPase-GDP dissociation stimulator 1</t>
  </si>
  <si>
    <t>Isoform 2 of Arf-GAP domain and FG repeat-containing protein 1</t>
  </si>
  <si>
    <t>Heterogeneous nuclear ribonucleoprotein F</t>
  </si>
  <si>
    <t>Isoform 2 of Signal transducer and activator of transcription 2</t>
  </si>
  <si>
    <t>Kinesin-like protein KIF11</t>
  </si>
  <si>
    <t>Isoform 3 of Guanine nucleotide exchange factor VAV2</t>
  </si>
  <si>
    <t>Ribonuclease UK114</t>
  </si>
  <si>
    <t>Spermine synthase</t>
  </si>
  <si>
    <t>Hexokinase-3</t>
  </si>
  <si>
    <t>39S ribosomal protein L12, mitochondrial</t>
  </si>
  <si>
    <t>Thimet oligopeptidase</t>
  </si>
  <si>
    <t>F-actin-capping protein subunit alpha-1</t>
  </si>
  <si>
    <t>Cysteine-rich protein 2</t>
  </si>
  <si>
    <t>Biliverdin reductase A</t>
  </si>
  <si>
    <t>Arfaptin-1</t>
  </si>
  <si>
    <t>Nucleoside diphosphate-linked moiety X motif 6</t>
  </si>
  <si>
    <t>Isoform 2 of Cytosolic Fe-S cluster assembly factor NUBP1</t>
  </si>
  <si>
    <t>ATP-citrate synthase</t>
  </si>
  <si>
    <t>Succinyl-CoA ligase [ADP/GDP-forming] subunit alpha, mitochondrial</t>
  </si>
  <si>
    <t>Diphosphomevalonate decarboxylase</t>
  </si>
  <si>
    <t>Geranylgeranyl transferase type-1 subunit beta</t>
  </si>
  <si>
    <t>Geranylgeranyl transferase type-2 subunit beta</t>
  </si>
  <si>
    <t>Coatomer subunit alpha</t>
  </si>
  <si>
    <t>Dipeptidyl peptidase 1</t>
  </si>
  <si>
    <t>Isoform 2 of Clathrin heavy chain 2</t>
  </si>
  <si>
    <t>AP-2 complex subunit sigma</t>
  </si>
  <si>
    <t>Isoform 2 of IST1 homolog</t>
  </si>
  <si>
    <t>Activated RNA polymerase II transcriptional coactivator p15</t>
  </si>
  <si>
    <t>DNA polymerase subunit gamma-1</t>
  </si>
  <si>
    <t>Arginine--tRNA ligase, cytoplasmic</t>
  </si>
  <si>
    <t>Tyrosine--tRNA ligase, cytoplasmic</t>
  </si>
  <si>
    <t>Isoform 2 of Ubiquitin carboxyl-terminal hydrolase 14</t>
  </si>
  <si>
    <t>Isoform 2 of 5-AMP-activated protein kinase subunit gamma-1</t>
  </si>
  <si>
    <t>UV excision repair protein RAD23 homolog B</t>
  </si>
  <si>
    <t>Alpha-N-acetylglucosaminidase</t>
  </si>
  <si>
    <t>Isoform 5 of Adenylate kinase 2, mitochondrial</t>
  </si>
  <si>
    <t>Glycogen [starch] synthase, liver</t>
  </si>
  <si>
    <t>Hydroxymethylglutaryl-CoA synthase, mitochondrial</t>
  </si>
  <si>
    <t>Isoform Short of Delta-1-pyrroline-5-carboxylate synthase</t>
  </si>
  <si>
    <t>Alpha-soluble NSF attachment protein</t>
  </si>
  <si>
    <t>Allograft inflammatory factor 1</t>
  </si>
  <si>
    <t>Eukaryotic translation initiation factor 5</t>
  </si>
  <si>
    <t>26S proteasome non-ATPase regulatory subunit 4</t>
  </si>
  <si>
    <t>Developmentally-regulated GTP-binding protein 2</t>
  </si>
  <si>
    <t>Isoform 3 of Exportin-2</t>
  </si>
  <si>
    <t>Transitional endoplasmic reticulum ATPase</t>
  </si>
  <si>
    <t>Microfibrillar-associated protein 1</t>
  </si>
  <si>
    <t>Mesencephalic astrocyte-derived neurotrophic factor</t>
  </si>
  <si>
    <t>Microsomal triglyceride transfer protein large subunit</t>
  </si>
  <si>
    <t>Afadin</t>
  </si>
  <si>
    <t>Caspase-7</t>
  </si>
  <si>
    <t>Caspase-6</t>
  </si>
  <si>
    <t>Adenosine kinase</t>
  </si>
  <si>
    <t>Isoform 5 of Double-stranded RNA-specific adenosine deaminase</t>
  </si>
  <si>
    <t>Laminin subunit beta-2</t>
  </si>
  <si>
    <t>Protein SEC13 homolog</t>
  </si>
  <si>
    <t>NHP2-like protein 1</t>
  </si>
  <si>
    <t>Heterogeneous nuclear ribonucleoprotein H2</t>
  </si>
  <si>
    <t>Small ubiquitin-related modifier 3</t>
  </si>
  <si>
    <t>Eukaryotic translation initiation factor 3 subunit B</t>
  </si>
  <si>
    <t>Isoform 2 of NADH dehydrogenase [ubiquinone] flavoprotein 3, mitochondrial</t>
  </si>
  <si>
    <t>NADH dehydrogenase [ubiquinone] flavoprotein 3, mitochondrial</t>
  </si>
  <si>
    <t>Methionine--tRNA ligase, cytoplasmic</t>
  </si>
  <si>
    <t>Isoform ARPP-16 of cAMP-regulated phosphoprotein 19</t>
  </si>
  <si>
    <t>Cx9C motif-containing protein 4</t>
  </si>
  <si>
    <t>Galectin-4</t>
  </si>
  <si>
    <t>Eukaryotic translation initiation factor 6</t>
  </si>
  <si>
    <t>Synaptojanin-2-binding protein</t>
  </si>
  <si>
    <t>Nuclear pore complex protein Nup107</t>
  </si>
  <si>
    <t>Gasdermin-D</t>
  </si>
  <si>
    <t>Selenocysteine-specific elongation factor</t>
  </si>
  <si>
    <t>Myotrophin</t>
  </si>
  <si>
    <t>Neutrophil defensin 3</t>
  </si>
  <si>
    <t>Actin-related protein 2/3 complex subunit 4</t>
  </si>
  <si>
    <t>Isoform 2 of Triosephosphate isomerase</t>
  </si>
  <si>
    <t>Eukaryotic translation initiation factor 3 subunit E</t>
  </si>
  <si>
    <t>Protein transport protein Sec61 subunit beta</t>
  </si>
  <si>
    <t>Serine/threonine-protein phosphatase 4 catalytic subunit</t>
  </si>
  <si>
    <t>Eukaryotic initiation factor 4A-I</t>
  </si>
  <si>
    <t>40S ribosomal protein S20</t>
  </si>
  <si>
    <t>Ribose-phosphate pyrophosphokinase 1</t>
  </si>
  <si>
    <t>Proteasome subunit alpha type-6</t>
  </si>
  <si>
    <t>Cell division control protein 42 homolog</t>
  </si>
  <si>
    <t>Destrin</t>
  </si>
  <si>
    <t>Glia maturation factor beta</t>
  </si>
  <si>
    <t>Ras-related protein Rab-8A</t>
  </si>
  <si>
    <t>Isoform 2 of Signal recognition particle 54 kDa protein</t>
  </si>
  <si>
    <t>Ras-related protein Rab-2A</t>
  </si>
  <si>
    <t>Ras-related protein Rab-5B</t>
  </si>
  <si>
    <t>Ubiquitin-conjugating enzyme E2 D3</t>
  </si>
  <si>
    <t>NEDD8-conjugating enzyme Ubc12</t>
  </si>
  <si>
    <t>Ubiquitin-conjugating enzyme E2 K</t>
  </si>
  <si>
    <t>Ubiquitin-conjugating enzyme E2 N</t>
  </si>
  <si>
    <t>Ras-related protein Rab-14</t>
  </si>
  <si>
    <t>Actin-related protein 3</t>
  </si>
  <si>
    <t>Actin-related protein 2</t>
  </si>
  <si>
    <t>Alpha-centractin</t>
  </si>
  <si>
    <t>COP9 signalosome complex subunit 2</t>
  </si>
  <si>
    <t>ATP-binding cassette sub-family E member 1</t>
  </si>
  <si>
    <t>Isoform 3 of Ras-related protein Rap-1b</t>
  </si>
  <si>
    <t>40S ribosomal protein S3a</t>
  </si>
  <si>
    <t>Proteasome activator complex subunit 3</t>
  </si>
  <si>
    <t>Protein mago nashi homolog</t>
  </si>
  <si>
    <t>60S ribosomal protein L27</t>
  </si>
  <si>
    <t>Pterin-4-alpha-carbinolamine dehydratase</t>
  </si>
  <si>
    <t>Transforming protein RhoA</t>
  </si>
  <si>
    <t>10 kDa heat shock protein, mitochondrial</t>
  </si>
  <si>
    <t>Prefoldin subunit 3</t>
  </si>
  <si>
    <t>Coatomer subunit zeta-1</t>
  </si>
  <si>
    <t>Isoform 2 of Small ubiquitin-related modifier 2</t>
  </si>
  <si>
    <t>DDB1- and CUL4-associated factor 7</t>
  </si>
  <si>
    <t>AP-1 complex subunit sigma-1A</t>
  </si>
  <si>
    <t>Nuclear transport factor 2</t>
  </si>
  <si>
    <t>Isoform 3 of Heterogeneous nuclear ribonucleoprotein K</t>
  </si>
  <si>
    <t>14-3-3 protein gamma</t>
  </si>
  <si>
    <t>Ras-related protein R-Ras2</t>
  </si>
  <si>
    <t>Mitochondrial import inner membrane translocase subunit Tim10</t>
  </si>
  <si>
    <t>Serine/threonine-protein phosphatase PP1-alpha catalytic subunit</t>
  </si>
  <si>
    <t>Serine/threonine-protein phosphatase PP1-beta catalytic subunit</t>
  </si>
  <si>
    <t>Calmodulin</t>
  </si>
  <si>
    <t>26S protease regulatory subunit 4</t>
  </si>
  <si>
    <t>Isoform 2 of 26S protease regulatory subunit 8</t>
  </si>
  <si>
    <t>40S ribosomal protein S8</t>
  </si>
  <si>
    <t>14-3-3 protein epsilon</t>
  </si>
  <si>
    <t>40S ribosomal protein S14</t>
  </si>
  <si>
    <t>40S ribosomal protein S18</t>
  </si>
  <si>
    <t>40S ribosomal protein S13</t>
  </si>
  <si>
    <t>40S ribosomal protein S11</t>
  </si>
  <si>
    <t>Small nuclear ribonucleoprotein E</t>
  </si>
  <si>
    <t>U6 snRNA-associated Sm-like protein LSm3</t>
  </si>
  <si>
    <t>U6 snRNA-associated Sm-like protein LSm6</t>
  </si>
  <si>
    <t>Small nuclear ribonucleoprotein Sm D2</t>
  </si>
  <si>
    <t>Thymosin beta-4</t>
  </si>
  <si>
    <t>ADP-ribosylation factor 6</t>
  </si>
  <si>
    <t>26S protease regulatory subunit 10B</t>
  </si>
  <si>
    <t>Isoform 2 of Cellular nucleic acid-binding protein</t>
  </si>
  <si>
    <t>40S ribosomal protein S4, X isoform</t>
  </si>
  <si>
    <t>Serine/threonine-protein phosphatase 2A catalytic subunit beta isoform</t>
  </si>
  <si>
    <t>60S ribosomal protein L23a</t>
  </si>
  <si>
    <t>40S ribosomal protein S6</t>
  </si>
  <si>
    <t>Visinin-like protein 1</t>
  </si>
  <si>
    <t>Histone H4</t>
  </si>
  <si>
    <t>Ras-related protein Rab-1A</t>
  </si>
  <si>
    <t>GTP-binding nuclear protein Ran</t>
  </si>
  <si>
    <t>Ubiquitin-conjugating enzyme E2 D2</t>
  </si>
  <si>
    <t>40S ribosomal protein S25</t>
  </si>
  <si>
    <t>40S ribosomal protein S26</t>
  </si>
  <si>
    <t>40S ribosomal protein S28</t>
  </si>
  <si>
    <t>E3 ubiquitin-protein ligase RBX1</t>
  </si>
  <si>
    <t>60S ribosomal protein L10a</t>
  </si>
  <si>
    <t>Peptidyl-prolyl cis-trans isomerase FKBP1A</t>
  </si>
  <si>
    <t>Growth factor receptor-bound protein 2</t>
  </si>
  <si>
    <t>Isoform 3 of Transformer-2 protein homolog beta</t>
  </si>
  <si>
    <t>Ras-related C3 botulinum toxin substrate 1</t>
  </si>
  <si>
    <t>AP-2 complex subunit beta</t>
  </si>
  <si>
    <t>Guanine nucleotide-binding protein G(i) subunit alpha-1</t>
  </si>
  <si>
    <t>14-3-3 protein zeta/delta</t>
  </si>
  <si>
    <t>Serine/threonine-protein phosphatase 2A 55 kDa regulatory subunit B alpha isoform</t>
  </si>
  <si>
    <t>Guanine nucleotide-binding protein subunit beta-2-like 1</t>
  </si>
  <si>
    <t>Actin, cytoplasmic 2</t>
  </si>
  <si>
    <t>Selenoprotein W</t>
  </si>
  <si>
    <t>Thymosin beta-10</t>
  </si>
  <si>
    <t>Serine/threonine-protein phosphatase 2A catalytic subunit alpha isoform</t>
  </si>
  <si>
    <t>Nuclease-sensitive element-binding protein 1</t>
  </si>
  <si>
    <t>Casein kinase II subunit beta</t>
  </si>
  <si>
    <t>Tropomyosin alpha-4 chain</t>
  </si>
  <si>
    <t>Ubiquitin-conjugating enzyme E2 L3</t>
  </si>
  <si>
    <t>Actin, alpha skeletal muscle</t>
  </si>
  <si>
    <t>Tubulin alpha-1B chain</t>
  </si>
  <si>
    <t>Tubulin beta-4B chain</t>
  </si>
  <si>
    <t>Platelet-activating factor acetylhydrolase IB subunit beta</t>
  </si>
  <si>
    <t>SH3 domain-binding protein 2</t>
  </si>
  <si>
    <t>Immunoglobulin-binding protein 1</t>
  </si>
  <si>
    <t>Leukotriene-B(4) omega-hydroxylase 1</t>
  </si>
  <si>
    <t>Isoform 2 of General transcription factor II-I</t>
  </si>
  <si>
    <t>T-complex protein 1 subunit beta</t>
  </si>
  <si>
    <t>Glutathione S-transferase omega-1</t>
  </si>
  <si>
    <t>Suppression of tumorigenicity 5 protein</t>
  </si>
  <si>
    <t>DNA-dependent protein kinase catalytic subunit</t>
  </si>
  <si>
    <t>Death domain-containing protein CRADD</t>
  </si>
  <si>
    <t>Interferon-induced 35 kDa protein</t>
  </si>
  <si>
    <t>Metallothionein-1H</t>
  </si>
  <si>
    <t>Metallothionein-1X</t>
  </si>
  <si>
    <t>Isoform 2 of Nucleobindin-2</t>
  </si>
  <si>
    <t>4-aminobutyrate aminotransferase, mitochondrial</t>
  </si>
  <si>
    <t>Brain acid soluble protein 1</t>
  </si>
  <si>
    <t>TATA element modulatory factor</t>
  </si>
  <si>
    <t>Isoform 2 of 28S ribosomal protein S35, mitochondrial</t>
  </si>
  <si>
    <t>28S ribosomal protein S5, mitochondrial</t>
  </si>
  <si>
    <t>28S ribosomal protein S36, mitochondrial</t>
  </si>
  <si>
    <t>28S ribosomal protein S15, mitochondrial</t>
  </si>
  <si>
    <t>28S ribosomal protein S34, mitochondrial</t>
  </si>
  <si>
    <t>SAP domain-containing ribonucleoprotein</t>
  </si>
  <si>
    <t>Retinol-binding protein 5</t>
  </si>
  <si>
    <t>Serine beta-lactamase-like protein LACTB, mitochondrial</t>
  </si>
  <si>
    <t>ADP-ribosylation factor 1</t>
  </si>
  <si>
    <t>Enhancer of rudimentary homolog</t>
  </si>
  <si>
    <t>Isoform 4 of Small EDRK-rich factor 2</t>
  </si>
  <si>
    <t>Forkhead box protein K1</t>
  </si>
  <si>
    <t>Basement membrane-specific heparan sulfate proteoglycan core protein</t>
  </si>
  <si>
    <t>E3 ubiquitin-protein ligase XIAP</t>
  </si>
  <si>
    <t>Putative RNA-binding protein 3</t>
  </si>
  <si>
    <t>Transcription factor A, mitochondrial</t>
  </si>
  <si>
    <t>Phosphatidylinositol transfer protein alpha isoform</t>
  </si>
  <si>
    <t>S-adenosylmethionine synthase isoform type-1</t>
  </si>
  <si>
    <t>Vigilin</t>
  </si>
  <si>
    <t>Transcription initiation factor IIB</t>
  </si>
  <si>
    <t>Cyclin-dependent kinase 6</t>
  </si>
  <si>
    <t>Transcriptional activator protein Pur-alpha</t>
  </si>
  <si>
    <t>Isoform 2 of Clathrin heavy chain 1</t>
  </si>
  <si>
    <t>Nuclear factor NF-kappa-B p100 subunit</t>
  </si>
  <si>
    <t>Peptidyl-prolyl cis-trans isomerase FKBP3</t>
  </si>
  <si>
    <t>Receptor expression-enhancing protein 5</t>
  </si>
  <si>
    <t>Sorbitol dehydrogenase</t>
  </si>
  <si>
    <t>Heterogeneous nuclear ribonucleoprotein U</t>
  </si>
  <si>
    <t>Splicing factor U2AF 35 kDa subunit</t>
  </si>
  <si>
    <t>Isoform 2 of Spectrin beta chain, non-erythrocytic 1</t>
  </si>
  <si>
    <t>Spectrin beta chain, non-erythrocytic 1</t>
  </si>
  <si>
    <t>Isoform 2 of Nucleolysin TIAR</t>
  </si>
  <si>
    <t>Protein SET</t>
  </si>
  <si>
    <t>N-acetylgalactosamine kinase</t>
  </si>
  <si>
    <t>Isoform Ex1A-2-3 of AMP deaminase 2</t>
  </si>
  <si>
    <t>Di-N-acetylchitobiase</t>
  </si>
  <si>
    <t>Fatty acid-binding protein, epidermal</t>
  </si>
  <si>
    <t>Isoform 2 of Adenylyl cyclase-associated protein 1</t>
  </si>
  <si>
    <t>Hydroxymethylglutaryl-CoA synthase, cytoplasmic</t>
  </si>
  <si>
    <t>Protein Dr1</t>
  </si>
  <si>
    <t>OTU domain-containing protein 4</t>
  </si>
  <si>
    <t>Isoform 6 of RNA-binding protein EWS</t>
  </si>
  <si>
    <t>Transgelin</t>
  </si>
  <si>
    <t>Isoform 2 of N-acylethanolamine-hydrolyzing acid amidase</t>
  </si>
  <si>
    <t>Isoform 3 of Centromere-associated protein E</t>
  </si>
  <si>
    <t>Methylmalonate-semialdehyde dehydrogenase [acylating], mitochondrial</t>
  </si>
  <si>
    <t>Sterol 26-hydroxylase, mitochondrial</t>
  </si>
  <si>
    <t>Plasminogen-like protein B</t>
  </si>
  <si>
    <t>Amyloid beta A4 precursor protein-binding family A member 1</t>
  </si>
  <si>
    <t>Desmoglein-1</t>
  </si>
  <si>
    <t>Dual specificity mitogen-activated protein kinase kinase 1</t>
  </si>
  <si>
    <t>Peptidyl-prolyl cis-trans isomerase FKBP4</t>
  </si>
  <si>
    <t>Nucleobindin-1</t>
  </si>
  <si>
    <t>Cytochrome P450 4A11</t>
  </si>
  <si>
    <t>Isoform 2 of Dystonin</t>
  </si>
  <si>
    <t>Isoform 2 of Glutathione S-transferase Mu 4</t>
  </si>
  <si>
    <t>Aminoacylase-1</t>
  </si>
  <si>
    <t>Lamin-B2</t>
  </si>
  <si>
    <t>6-pyruvoyl tetrahydrobiopterin synthase</t>
  </si>
  <si>
    <t>1,4-alpha-glucan-branching enzyme</t>
  </si>
  <si>
    <t>Isoform D of Eukaryotic translation initiation factor 4 gamma 1</t>
  </si>
  <si>
    <t>Keratin, type I cytoskeletal 17</t>
  </si>
  <si>
    <t>Lactoylglutathione lyase</t>
  </si>
  <si>
    <t>Aldo-keto reductase family 1 member C1</t>
  </si>
  <si>
    <t>Single-stranded DNA-binding protein, mitochondrial</t>
  </si>
  <si>
    <t>14-3-3 protein eta</t>
  </si>
  <si>
    <t>Cleavage stimulation factor subunit 1</t>
  </si>
  <si>
    <t>Isoform I of Ubiquitin-protein ligase E3A</t>
  </si>
  <si>
    <t>Isoform 5 of Caldesmon</t>
  </si>
  <si>
    <t>Isoform 2 of Inter-alpha-trypsin inhibitor heavy chain H3</t>
  </si>
  <si>
    <t>Isoform 2 of Tyrosine-protein phosphatase non-receptor type 11</t>
  </si>
  <si>
    <t>Amidophosphoribosyltransferase</t>
  </si>
  <si>
    <t>Isoform 2 of Glutamine--fructose-6-phosphate aminotransferase [isomerizing] 1</t>
  </si>
  <si>
    <t>Aldehyde oxidase</t>
  </si>
  <si>
    <t>Proteasome activator complex subunit 1</t>
  </si>
  <si>
    <t>Bile salt sulfotransferase</t>
  </si>
  <si>
    <t>Isoform 8 of Fragile X mental retardation protein 1</t>
  </si>
  <si>
    <t>Complement component 1 Q subcomponent-binding protein, mitochondrial</t>
  </si>
  <si>
    <t>Cytoskeleton-associated protein 4</t>
  </si>
  <si>
    <t>Glutamyl aminopeptidase</t>
  </si>
  <si>
    <t>Tight junction protein ZO-1</t>
  </si>
  <si>
    <t>Trichohyalin</t>
  </si>
  <si>
    <t>KH domain-containing, RNA-binding, signal transduction-associated protein 1</t>
  </si>
  <si>
    <t>Isoform Epsilon of Apoptosis regulator BAX</t>
  </si>
  <si>
    <t>Isoform 2 of Induced myeloid leukemia cell differentiation protein Mcl-1</t>
  </si>
  <si>
    <t>Prolow-density lipoprotein receptor-related protein 1</t>
  </si>
  <si>
    <t>Serine/arginine-rich splicing factor 1</t>
  </si>
  <si>
    <t>Rho GTPase-activating protein 1</t>
  </si>
  <si>
    <t>Serine/arginine-rich splicing factor 4</t>
  </si>
  <si>
    <t>Isoform 2 of Serine/threonine-protein phosphatase 2B catalytic subunit alpha isoform</t>
  </si>
  <si>
    <t>ATP-dependent RNA helicase A</t>
  </si>
  <si>
    <t>Quinone oxidoreductase</t>
  </si>
  <si>
    <t>Golgin subfamily A member 3</t>
  </si>
  <si>
    <t>Golgin subfamily A member 2</t>
  </si>
  <si>
    <t>Galectin-3-binding protein</t>
  </si>
  <si>
    <t>Isoform 2 of Peroxisomal bifunctional enzyme</t>
  </si>
  <si>
    <t>Peroxisomal bifunctional enzyme</t>
  </si>
  <si>
    <t>Isoform 1B of Desmocollin-1</t>
  </si>
  <si>
    <t>Peptidyl-prolyl cis-trans isomerase D</t>
  </si>
  <si>
    <t>Fibrinogen-like protein 1</t>
  </si>
  <si>
    <t>Mitotic-spindle organizing protein 1</t>
  </si>
  <si>
    <t>Acyl-coenzyme A synthetase ACSM2A, mitochondrial</t>
  </si>
  <si>
    <t>Protein VAC14 homolog</t>
  </si>
  <si>
    <t>Isoform 2 of tRNA (cytosine(34)-C(5))-methyltransferase</t>
  </si>
  <si>
    <t>Isoform 3 of Histone-binding protein RBBP4</t>
  </si>
  <si>
    <t>Nuclear cap-binding protein subunit 1</t>
  </si>
  <si>
    <t>Histone acetyltransferase p300</t>
  </si>
  <si>
    <t>Neuroblast differentiation-associated protein AHNAK</t>
  </si>
  <si>
    <t>FCH domain only protein 2</t>
  </si>
  <si>
    <t>Elongator complex protein 6</t>
  </si>
  <si>
    <t>Isoform 2 of Secernin-3</t>
  </si>
  <si>
    <t>Cingulin-like protein 1</t>
  </si>
  <si>
    <t>Isoform B of AP-1 complex subunit beta-1</t>
  </si>
  <si>
    <t>Isoform C of AP-1 complex subunit beta-1</t>
  </si>
  <si>
    <t>Mitochondrial-processing peptidase subunit alpha</t>
  </si>
  <si>
    <t>Rho guanine nucleotide exchange factor 5</t>
  </si>
  <si>
    <t>Twinfilin-1</t>
  </si>
  <si>
    <t>Isoform 3 of A-kinase anchor protein 13</t>
  </si>
  <si>
    <t>Isoform 2 of G-rich sequence factor 1</t>
  </si>
  <si>
    <t>Splicing factor 3A subunit 3</t>
  </si>
  <si>
    <t>Dihydropyrimidine dehydrogenase [NADP(+)]</t>
  </si>
  <si>
    <t>Tripartite motif-containing protein 26</t>
  </si>
  <si>
    <t>Aminoacyl tRNA synthase complex-interacting multifunctional protein 1</t>
  </si>
  <si>
    <t>Interleukin enhancer-binding factor 2</t>
  </si>
  <si>
    <t>Isoform 4 of Interleukin enhancer-binding factor 3</t>
  </si>
  <si>
    <t>Epidermal growth factor receptor kinase substrate 8</t>
  </si>
  <si>
    <t>Isoform 5 of Disks large homolog 1</t>
  </si>
  <si>
    <t>Unconventional myosin-Ie</t>
  </si>
  <si>
    <t>Nuclear inhibitor of protein phosphatase 1</t>
  </si>
  <si>
    <t>Isoform 2 of Transcriptional repressor NF-X1</t>
  </si>
  <si>
    <t>Cleavage stimulation factor subunit 3</t>
  </si>
  <si>
    <t>Delta(3,5)-Delta(2,4)-dienoyl-CoA isomerase, mitochondrial</t>
  </si>
  <si>
    <t>Isoform 2 of Rho GTPase-activating protein 5</t>
  </si>
  <si>
    <t>Isoform Alpha of Striatin-3</t>
  </si>
  <si>
    <t>Isoform 3 of Cell division cycle protein 16 homolog</t>
  </si>
  <si>
    <t>Isoform 2 of Protein flightless-1 homolog</t>
  </si>
  <si>
    <t>Protein flightless-1 homolog</t>
  </si>
  <si>
    <t>Bifunctional coenzyme A synthase</t>
  </si>
  <si>
    <t>Isoform 3 of Acetyl-CoA carboxylase 1</t>
  </si>
  <si>
    <t>Protein Red</t>
  </si>
  <si>
    <t>S-methyl-5-thioadenosine phosphorylase</t>
  </si>
  <si>
    <t>Isoform 2 of 5-AMP-activated protein kinase catalytic subunit alpha-1</t>
  </si>
  <si>
    <t>Isoform 2 of Liprin-alpha-1</t>
  </si>
  <si>
    <t>TAR DNA-binding protein 43</t>
  </si>
  <si>
    <t>Heterogeneous nuclear ribonucleoprotein A0</t>
  </si>
  <si>
    <t>Serine/threonine-protein kinase PAK 1</t>
  </si>
  <si>
    <t>Aminoacyl tRNA synthase complex-interacting multifunctional protein 2</t>
  </si>
  <si>
    <t>Peroxiredoxin-4</t>
  </si>
  <si>
    <t>Serine/threonine-protein kinase PAK 2</t>
  </si>
  <si>
    <t>Chromobox protein homolog 3</t>
  </si>
  <si>
    <t>Serine/threonine-protein kinase 3</t>
  </si>
  <si>
    <t>26S proteasome non-ATPase regulatory subunit 2</t>
  </si>
  <si>
    <t>DnaJ homolog subfamily C member 3</t>
  </si>
  <si>
    <t>Selenium-binding protein 1</t>
  </si>
  <si>
    <t>Nucleoside diphosphate kinase 3</t>
  </si>
  <si>
    <t>Isoform SRP40-4 of Serine/arginine-rich splicing factor 5</t>
  </si>
  <si>
    <t>Isoform SRP55-3 of Serine/arginine-rich splicing factor 6</t>
  </si>
  <si>
    <t>Mitotic spindle assembly checkpoint protein MAD2A</t>
  </si>
  <si>
    <t>Transcription intermediary factor 1-beta</t>
  </si>
  <si>
    <t>Ras GTPase-activating protein-binding protein 1</t>
  </si>
  <si>
    <t>N-myc-interactor</t>
  </si>
  <si>
    <t>Isoform 3 of Polyadenylate-binding protein 4</t>
  </si>
  <si>
    <t>Polyadenylate-binding protein 4</t>
  </si>
  <si>
    <t>Serine-protein kinase ATM</t>
  </si>
  <si>
    <t>Interferon-induced protein with tetratricopeptide repeats 5</t>
  </si>
  <si>
    <t>Isoform 3 of Metastasis-associated protein MTA1</t>
  </si>
  <si>
    <t>Eukaryotic translation initiation factor 3 subunit I</t>
  </si>
  <si>
    <t>Isoform Gamma-1 of Serine/threonine-protein phosphatase 2A 56 kDa regulatory subunit gamma isoform</t>
  </si>
  <si>
    <t>Isoform 2 of C-terminal-binding protein 1</t>
  </si>
  <si>
    <t>Probable methyltransferase TARBP1</t>
  </si>
  <si>
    <t>Ubiquitin-conjugating enzyme E2 variant 1</t>
  </si>
  <si>
    <t>Isoform 2F of Cytoplasmic dynein 1 intermediate chain 2</t>
  </si>
  <si>
    <t>Integrin-linked protein kinase</t>
  </si>
  <si>
    <t>NAD(P) transhydrogenase, mitochondrial</t>
  </si>
  <si>
    <t>Isoform 2 of DNA repair protein XRCC4</t>
  </si>
  <si>
    <t>Treacle protein</t>
  </si>
  <si>
    <t>Splicing factor 3B subunit 2</t>
  </si>
  <si>
    <t>28 kDa heat- and acid-stable phosphoprotein</t>
  </si>
  <si>
    <t>Peptidyl-prolyl cis-trans isomerase FKBP5</t>
  </si>
  <si>
    <t>Rho-associated protein kinase 1</t>
  </si>
  <si>
    <t>Isoform 3 of Phosphatidylinositol-binding clathrin assembly protein</t>
  </si>
  <si>
    <t>Myotubularin</t>
  </si>
  <si>
    <t>Isoform 2 of Sequestosome-1</t>
  </si>
  <si>
    <t>Protein phosphatase 1 regulatory subunit 1A</t>
  </si>
  <si>
    <t>Peptidyl-prolyl cis-trans isomerase NIMA-interacting 1</t>
  </si>
  <si>
    <t>Eukaryotic translation initiation factor 4E-binding protein 1</t>
  </si>
  <si>
    <t>Receptor-interacting serine/threonine-protein kinase 1</t>
  </si>
  <si>
    <t>Histone deacetylase 1</t>
  </si>
  <si>
    <t>Isoform Delta 6 of Calcium/calmodulin-dependent protein kinase type II subunit delta</t>
  </si>
  <si>
    <t>Dynactin subunit 2</t>
  </si>
  <si>
    <t>SNW domain-containing protein 1</t>
  </si>
  <si>
    <t>Ras GTPase-activating-like protein IQGAP2</t>
  </si>
  <si>
    <t>Sorting nexin-1</t>
  </si>
  <si>
    <t>Peroxisome assembly factor 2</t>
  </si>
  <si>
    <t>Periodic tryptophan protein 1 homolog</t>
  </si>
  <si>
    <t>Cullin-1</t>
  </si>
  <si>
    <t>Cullin-2</t>
  </si>
  <si>
    <t>Isoform 2 of Cullin-3</t>
  </si>
  <si>
    <t>Cullin-4A</t>
  </si>
  <si>
    <t>Isoform 2 of Cullin-4B</t>
  </si>
  <si>
    <t>GDP-L-fucose synthase</t>
  </si>
  <si>
    <t>Isoform 1 of Four and a half LIM domains protein 1</t>
  </si>
  <si>
    <t>Protein Shroom2</t>
  </si>
  <si>
    <t>Isoform 2 of Spectrin alpha chain, non-erythrocytic 1</t>
  </si>
  <si>
    <t>Spectrin alpha chain, non-erythrocytic 1</t>
  </si>
  <si>
    <t>Methylglutaconyl-CoA hydratase, mitochondrial</t>
  </si>
  <si>
    <t>Isoform 1 of Plakophilin-1</t>
  </si>
  <si>
    <t>Spliceosome RNA helicase DDX39B</t>
  </si>
  <si>
    <t>Bleomycin hydrolase</t>
  </si>
  <si>
    <t>Beta-1-syntrophin</t>
  </si>
  <si>
    <t>Tubulin beta-2A chain</t>
  </si>
  <si>
    <t>Isopentenyl-diphosphate Delta-isomerase 1</t>
  </si>
  <si>
    <t>Isoform 2 of Core-binding factor subunit beta</t>
  </si>
  <si>
    <t>Isoform 2 of Cytoskeleton-associated protein 5</t>
  </si>
  <si>
    <t>Calcium/calmodulin-dependent protein kinase type 1</t>
  </si>
  <si>
    <t>Coactosin-like protein</t>
  </si>
  <si>
    <t>Bile acid-CoA:amino acid N-acyltransferase</t>
  </si>
  <si>
    <t>Cytochrome c oxidase copper chaperone</t>
  </si>
  <si>
    <t>Isoform 3 of Heterogeneous nuclear ribonucleoprotein D0</t>
  </si>
  <si>
    <t>Isoform 2 of Interleukin-18</t>
  </si>
  <si>
    <t>Dihydropyrimidinase</t>
  </si>
  <si>
    <t>Dystroglycan</t>
  </si>
  <si>
    <t>Desmoglein-2</t>
  </si>
  <si>
    <t>Ubiquitin conjugation factor E4 A</t>
  </si>
  <si>
    <t>Isoform I of Septin-6</t>
  </si>
  <si>
    <t>Scaffold attachment factor B2</t>
  </si>
  <si>
    <t>Eukaryotic translation initiation factor 3 subunit A</t>
  </si>
  <si>
    <t>Ubiquitin-associated protein 2-like</t>
  </si>
  <si>
    <t>Isoform 2 of Protein scribble homolog</t>
  </si>
  <si>
    <t>Isoform 3 of ARF GTPase-activating protein GIT2</t>
  </si>
  <si>
    <t>Tubulin--tyrosine ligase-like protein 12</t>
  </si>
  <si>
    <t>Four and a half LIM domains protein 2</t>
  </si>
  <si>
    <t>Isoform 3 of Dynactin subunit 1</t>
  </si>
  <si>
    <t>Cytoplasmic dynein 1 heavy chain 1</t>
  </si>
  <si>
    <t>Translation initiation factor eIF-2B subunit alpha</t>
  </si>
  <si>
    <t>Eukaryotic initiation factor 4A-II</t>
  </si>
  <si>
    <t>Transcription elongation factor B polypeptide 3</t>
  </si>
  <si>
    <t>Isoform 3 of Ensconsin</t>
  </si>
  <si>
    <t>Isoform 3 of Src substrate cortactin</t>
  </si>
  <si>
    <t>Src substrate cortactin</t>
  </si>
  <si>
    <t>E3 ubiquitin/ISG15 ligase TRIM25</t>
  </si>
  <si>
    <t>Isoform 2 of Peptidyl-prolyl cis-trans isomerase FKBP8</t>
  </si>
  <si>
    <t>Protein FAM50A</t>
  </si>
  <si>
    <t>Guanidinoacetate N-methyltransferase</t>
  </si>
  <si>
    <t>UDP-glucose 4-epimerase</t>
  </si>
  <si>
    <t>Glucokinase regulatory protein</t>
  </si>
  <si>
    <t>Glycerol kinase 2</t>
  </si>
  <si>
    <t>Isoform 2 of Caprin-1</t>
  </si>
  <si>
    <t>Isoform 2 of RNA-binding protein 39</t>
  </si>
  <si>
    <t>Isoform 2 of Hyaluronan-binding protein 2</t>
  </si>
  <si>
    <t>Protein disulfide-isomerase A5</t>
  </si>
  <si>
    <t>Phosphoribosyl pyrophosphate synthase-associated protein 1</t>
  </si>
  <si>
    <t>DNA replication licensing factor MCM6</t>
  </si>
  <si>
    <t>Inter-alpha-trypsin inhibitor heavy chain H4</t>
  </si>
  <si>
    <t>Plastin-1</t>
  </si>
  <si>
    <t>Interferon regulatory factor 3</t>
  </si>
  <si>
    <t>L antigen family member 3</t>
  </si>
  <si>
    <t>E3 ubiquitin-protein ligase TRIP12</t>
  </si>
  <si>
    <t>Isoform 4 of Mediator of DNA damage checkpoint protein 1</t>
  </si>
  <si>
    <t>Clathrin interactor 1</t>
  </si>
  <si>
    <t>Isoform 2 of KN motif and ankyrin repeat domain-containing protein 1</t>
  </si>
  <si>
    <t>Structural maintenance of chromosomes protein 1A</t>
  </si>
  <si>
    <t>Ubiquitin carboxyl-terminal hydrolase 10</t>
  </si>
  <si>
    <t>LDLR chaperone MESD</t>
  </si>
  <si>
    <t>Neutral alpha-glucosidase AB</t>
  </si>
  <si>
    <t>Glycine N-methyltransferase</t>
  </si>
  <si>
    <t>Golgin subfamily B member 1</t>
  </si>
  <si>
    <t>Isoform 8 of Caspase-8</t>
  </si>
  <si>
    <t>LIM and SH3 domain protein 1</t>
  </si>
  <si>
    <t>Thiomorpholine-carboxylate dehydrogenase</t>
  </si>
  <si>
    <t>Isoform 2 of Prostaglandin reductase 1</t>
  </si>
  <si>
    <t>Zinc finger protein 638</t>
  </si>
  <si>
    <t>Importin subunit beta-1</t>
  </si>
  <si>
    <t>Nucleolar and coiled-body phosphoprotein 1</t>
  </si>
  <si>
    <t>Isoform 2 of Nuclear mitotic apparatus protein 1</t>
  </si>
  <si>
    <t>Proteasome activator complex subunit 4</t>
  </si>
  <si>
    <t>26S proteasome non-ATPase regulatory subunit 6</t>
  </si>
  <si>
    <t>BRISC complex subunit Abro1</t>
  </si>
  <si>
    <t>Squamous cell carcinoma antigen recognized by T-cells 3</t>
  </si>
  <si>
    <t>Exosome complex component RRP42</t>
  </si>
  <si>
    <t>Isoform 2 of 116 kDa U5 small nuclear ribonucleoprotein component</t>
  </si>
  <si>
    <t>Isoform 2 of Sorting nexin-17</t>
  </si>
  <si>
    <t>Lysine--tRNA ligase</t>
  </si>
  <si>
    <t>Isoform Short of Eukaryotic translation initiation factor 4H</t>
  </si>
  <si>
    <t>Arf-GAP with coiled-coil, ANK repeat and PH domain-containing protein 2</t>
  </si>
  <si>
    <t>Isoform 2 of Peroxisomal acyl-coenzyme A oxidase 1</t>
  </si>
  <si>
    <t>Early endosome antigen 1</t>
  </si>
  <si>
    <t>Platelet-activating factor acetylhydrolase IB subunit gamma</t>
  </si>
  <si>
    <t>[Pyruvate dehydrogenase [lipoamide]] kinase isozyme 2, mitochondrial</t>
  </si>
  <si>
    <t>[Pyruvate dehydrogenase [lipoamide]] kinase isozyme 3, mitochondrial</t>
  </si>
  <si>
    <t>Phosphomevalonate kinase</t>
  </si>
  <si>
    <t>Isoform 8 of Plectin</t>
  </si>
  <si>
    <t>Serine/threonine-protein phosphatase 2A 56 kDa regulatory subunit alpha isoform</t>
  </si>
  <si>
    <t>Inorganic pyrophosphatase</t>
  </si>
  <si>
    <t>Isoform 2 of Non-POU domain-containing octamer-binding protein</t>
  </si>
  <si>
    <t>Isoform 1 of Serine/threonine-protein phosphatase 2A activator</t>
  </si>
  <si>
    <t>Nicotinate-nucleotide pyrophosphorylase [carboxylating]</t>
  </si>
  <si>
    <t>Rab GTPase-binding effector protein 1</t>
  </si>
  <si>
    <t>Retinoblastoma-binding protein 5</t>
  </si>
  <si>
    <t>Reticulocalbin-1</t>
  </si>
  <si>
    <t>RalA-binding protein 1</t>
  </si>
  <si>
    <t>Leucine-rich repeat-containing protein 41</t>
  </si>
  <si>
    <t>Poly(rC)-binding protein 1</t>
  </si>
  <si>
    <t>GTP-binding protein Rheb</t>
  </si>
  <si>
    <t>Splicing factor 3B subunit 3</t>
  </si>
  <si>
    <t>Ras suppressor protein 1</t>
  </si>
  <si>
    <t>Calponin-3</t>
  </si>
  <si>
    <t>Scaffold attachment factor B1</t>
  </si>
  <si>
    <t>Splicing factor 3B subunit 4</t>
  </si>
  <si>
    <t>Splicing factor 3A subunit 2</t>
  </si>
  <si>
    <t>Protein phosphatase 1 regulatory subunit 7</t>
  </si>
  <si>
    <t>Protein transport protein Sec23B</t>
  </si>
  <si>
    <t>Splicing factor 3A subunit 1</t>
  </si>
  <si>
    <t>Helicase SKI2W</t>
  </si>
  <si>
    <t>Regucalcin</t>
  </si>
  <si>
    <t>Isoform 2 of Surfeit locus protein 1</t>
  </si>
  <si>
    <t>Isoform 4 of Microtubule-associated protein RP/EB family member 2</t>
  </si>
  <si>
    <t>Nuclear receptor coactivator 2</t>
  </si>
  <si>
    <t>Na(+)/H(+) exchange regulatory cofactor NHE-RF2</t>
  </si>
  <si>
    <t>Isoform 5 of Splicing factor 1</t>
  </si>
  <si>
    <t>Cdc42-interacting protein 4</t>
  </si>
  <si>
    <t>Thyroid receptor-interacting protein 11</t>
  </si>
  <si>
    <t>Thyroid receptor-interacting protein 6</t>
  </si>
  <si>
    <t>Microtubule-associated protein RP/EB family member 1</t>
  </si>
  <si>
    <t>Isoform 2 of TSC22 domain family protein 1</t>
  </si>
  <si>
    <t>ELAV-like protein 1</t>
  </si>
  <si>
    <t>Isoform Del-1790 of Myosin light chain kinase, smooth muscle</t>
  </si>
  <si>
    <t>Isoform 2 of TGF-beta-activated kinase 1 and MAP3K7-binding protein 1</t>
  </si>
  <si>
    <t>Mitochondrial import receptor subunit TOM34</t>
  </si>
  <si>
    <t>Isoform Short of Mothers against decapentaplegic homolog 2</t>
  </si>
  <si>
    <t>Tubulin-specific chaperone E</t>
  </si>
  <si>
    <t>Tubulin-specific chaperone C</t>
  </si>
  <si>
    <t>Ubiquitin-conjugating enzyme E2 variant 2</t>
  </si>
  <si>
    <t>Syntaxin-binding protein 2</t>
  </si>
  <si>
    <t>Adipogenesis regulatory factor</t>
  </si>
  <si>
    <t>Ras-related protein Rab-11B</t>
  </si>
  <si>
    <t>Zyxin</t>
  </si>
  <si>
    <t>Septin-7</t>
  </si>
  <si>
    <t>Proteasomal ubiquitin receptor ADRM1</t>
  </si>
  <si>
    <t>Coiled-coil domain-containing protein 6</t>
  </si>
  <si>
    <t>Isoform 3 of UDP-N-acetylhexosamine pyrophosphorylase</t>
  </si>
  <si>
    <t>Isoform 2 of 26S proteasome non-ATPase regulatory subunit 5</t>
  </si>
  <si>
    <t>DNA damage-binding protein 1</t>
  </si>
  <si>
    <t>Mitogen-activated protein kinase 14</t>
  </si>
  <si>
    <t>Hsp90 co-chaperone Cdc37</t>
  </si>
  <si>
    <t>Isoform 2 of Dihydropyrimidinase-related protein 2</t>
  </si>
  <si>
    <t>Histone-binding protein RBBP7</t>
  </si>
  <si>
    <t>Isoform 5 of Occludin</t>
  </si>
  <si>
    <t>Male-enhanced antigen 1</t>
  </si>
  <si>
    <t>Isoform 3 of Serine/arginine-rich splicing factor 7</t>
  </si>
  <si>
    <t>Isoform SMN-delta57 of Survival motor neuron protein</t>
  </si>
  <si>
    <t>Fascin</t>
  </si>
  <si>
    <t>Kynureninase</t>
  </si>
  <si>
    <t>Putative ATP-dependent Clp protease proteolytic subunit, mitochondrial</t>
  </si>
  <si>
    <t>Thiosulfate sulfurtransferase</t>
  </si>
  <si>
    <t>Kynurenine--oxoglutarate transaminase 1</t>
  </si>
  <si>
    <t>Hydroxyacylglutathione hydrolase, mitochondrial</t>
  </si>
  <si>
    <t>Isoform 4 of Laminin subunit alpha-3</t>
  </si>
  <si>
    <t>Phosphoenolpyruvate carboxykinase [GTP], mitochondrial</t>
  </si>
  <si>
    <t>Uridine phosphorylase 1</t>
  </si>
  <si>
    <t>Hydroxyacyl-coenzyme A dehydrogenase, mitochondrial</t>
  </si>
  <si>
    <t>Isoform 2 of UTP--glucose-1-phosphate uridylyltransferase</t>
  </si>
  <si>
    <t>UTP--glucose-1-phosphate uridylyltransferase</t>
  </si>
  <si>
    <t>Deoxyguanosine kinase, mitochondrial</t>
  </si>
  <si>
    <t>Isoform 5 of Putative deoxyribonuclease TATDN3</t>
  </si>
  <si>
    <t>Exocyst complex component 3-like protein 4</t>
  </si>
  <si>
    <t>Protein FAM110C</t>
  </si>
  <si>
    <t>Inverted formin-2</t>
  </si>
  <si>
    <t>Sister chromatid cohesion protein PDS5 homolog A</t>
  </si>
  <si>
    <t>Protein CLEC16A</t>
  </si>
  <si>
    <t>WASH complex subunit 7</t>
  </si>
  <si>
    <t>Isoform 3 of Ral GTPase-activating protein subunit alpha-2</t>
  </si>
  <si>
    <t>Peroxisomal leader peptide-processing protease</t>
  </si>
  <si>
    <t>Autophagy-related protein 2 homolog A</t>
  </si>
  <si>
    <t>Acid trehalase-like protein 1</t>
  </si>
  <si>
    <t>Isoform 2 of Leucine-rich repeat flightless-interacting protein 1</t>
  </si>
  <si>
    <t>Isoform 4 of Leucine-rich repeat flightless-interacting protein 1</t>
  </si>
  <si>
    <t>Echinoderm microtubule-associated protein-like 3</t>
  </si>
  <si>
    <t>Bifunctional ATP-dependent dihydroxyacetone kinase/FAD-AMP lyase (cyclizing)</t>
  </si>
  <si>
    <t>Protein LSM12 homolog</t>
  </si>
  <si>
    <t>Putative tRNA pseudouridine synthase Pus10</t>
  </si>
  <si>
    <t>Isoform 5 of Girdin</t>
  </si>
  <si>
    <t>Isoform 5 of Putative oxidoreductase GLYR1</t>
  </si>
  <si>
    <t>Cerebral dopamine neurotrophic factor</t>
  </si>
  <si>
    <t>Vacuolar protein sorting-associated protein 26B</t>
  </si>
  <si>
    <t>La-related protein 7</t>
  </si>
  <si>
    <t>NAD kinase domain-containing protein 1, mitochondrial</t>
  </si>
  <si>
    <t>Acyl-CoA synthetase family member 3, mitochondrial</t>
  </si>
  <si>
    <t>TBC1 domain family member 10B</t>
  </si>
  <si>
    <t>Isoform 3 of 1-phosphatidylinositol 4,5-bisphosphate phosphodiesterase eta-1</t>
  </si>
  <si>
    <t>GRIP1-associated protein 1</t>
  </si>
  <si>
    <t>Isoform 2 of PAB-dependent poly(A)-specific ribonuclease subunit 2</t>
  </si>
  <si>
    <t>Isoform 2 of Protein FAM98B</t>
  </si>
  <si>
    <t>Rho GTPase-activating protein 29</t>
  </si>
  <si>
    <t>Quinone oxidoreductase PIG3</t>
  </si>
  <si>
    <t>Acyl-coenzyme A synthetase ACSM3, mitochondrial</t>
  </si>
  <si>
    <t>Beta-lactamase-like protein 2</t>
  </si>
  <si>
    <t>Protein TSSC1</t>
  </si>
  <si>
    <t>Ankyrin repeat domain-containing protein SOWAHC</t>
  </si>
  <si>
    <t>BolA-like protein 3</t>
  </si>
  <si>
    <t>Isoform 4 of WD repeat-containing protein 81</t>
  </si>
  <si>
    <t>Putative heat shock protein HSP 90-beta 2</t>
  </si>
  <si>
    <t>Putative heat shock protein HSP 90-alpha A4</t>
  </si>
  <si>
    <t>Oxidoreductase-like domain-containing protein 1</t>
  </si>
  <si>
    <t>Filaggrin-2</t>
  </si>
  <si>
    <t>UMP-CMP kinase 2, mitochondrial</t>
  </si>
  <si>
    <t>Isoform 6 of Probable E3 ubiquitin-protein ligase HERC4</t>
  </si>
  <si>
    <t>Isoform 3 of SH3 domain-containing protein 19</t>
  </si>
  <si>
    <t>Presequence protease, mitochondrial</t>
  </si>
  <si>
    <t>NHL repeat-containing protein 3</t>
  </si>
  <si>
    <t>Isoform 2 of WD repeat-containing protein 44</t>
  </si>
  <si>
    <t>Isoform 1 of Protein PRRC2B</t>
  </si>
  <si>
    <t>Isoform 3 of Cytochrome c oxidase assembly factor 6 homolog</t>
  </si>
  <si>
    <t>Isoform 2 of Torsin-1A-interacting protein 1</t>
  </si>
  <si>
    <t>Alanine--tRNA ligase, mitochondrial</t>
  </si>
  <si>
    <t>WD repeat domain phosphoinositide-interacting protein 3</t>
  </si>
  <si>
    <t>Tubulin-specific chaperone cofactor E-like protein</t>
  </si>
  <si>
    <t>Tetratricopeptide repeat protein 38</t>
  </si>
  <si>
    <t>Uncharacterized protein C1orf173</t>
  </si>
  <si>
    <t>Exosome complex component MTR3</t>
  </si>
  <si>
    <t>Isoform 2 of Nucleoporin NUP188 homolog</t>
  </si>
  <si>
    <t>Isoform 2 of Phytanoyl-CoA dioxygenase domain-containing protein 1</t>
  </si>
  <si>
    <t>Heterochromatin protein 1-binding protein 3</t>
  </si>
  <si>
    <t>Valine--tRNA ligase, mitochondrial</t>
  </si>
  <si>
    <t>Isoform 2 of Centrosomal protein of 170 kDa</t>
  </si>
  <si>
    <t>DNL-type zinc finger protein</t>
  </si>
  <si>
    <t>Isoform 2 of NHS-like protein 1</t>
  </si>
  <si>
    <t>Isoform 3 of Formin-binding protein 1-like</t>
  </si>
  <si>
    <t>Probable arginine--tRNA ligase, mitochondrial</t>
  </si>
  <si>
    <t>FK506-binding protein 15</t>
  </si>
  <si>
    <t>UPF0668 protein C10orf76</t>
  </si>
  <si>
    <t>Na(+)/H(+) exchange regulatory cofactor NHE-RF3</t>
  </si>
  <si>
    <t>Putative transferase CAF17, mitochondrial</t>
  </si>
  <si>
    <t>E3 ubiquitin-protein ligase HECTD3</t>
  </si>
  <si>
    <t>Isoform 6 of Protrudin</t>
  </si>
  <si>
    <t>Isoform 3 of E3 ubiquitin-protein ligase UBR4</t>
  </si>
  <si>
    <t>Sickle tail protein homolog</t>
  </si>
  <si>
    <t>Ubiquitin-associated protein 2</t>
  </si>
  <si>
    <t>Probable gluconokinase</t>
  </si>
  <si>
    <t>UPF0553 protein C9orf64</t>
  </si>
  <si>
    <t>Keratinocyte proline-rich protein</t>
  </si>
  <si>
    <t>Isoform 2 of Acyl-CoA-binding domain-containing protein 5</t>
  </si>
  <si>
    <t>Acyl-CoA-binding domain-containing protein 5</t>
  </si>
  <si>
    <t>Isoform 2 of RNA-binding protein 26</t>
  </si>
  <si>
    <t>Glycolipid transfer protein domain-containing protein 1</t>
  </si>
  <si>
    <t>ATP synthase mitochondrial F1 complex assembly factor 1</t>
  </si>
  <si>
    <t>Isoform 4 of Membrane-associated guanylate kinase, WW and PDZ domain-containing protein 3</t>
  </si>
  <si>
    <t>Protein DDI1 homolog 2</t>
  </si>
  <si>
    <t>NADH dehydrogenase [ubiquinone] 1 alpha subcomplex assembly factor 5</t>
  </si>
  <si>
    <t>5-nucleotidase domain-containing protein 1</t>
  </si>
  <si>
    <t>Complex III assembly factor LYRM7</t>
  </si>
  <si>
    <t>Isoform 2 of Telomere-associated protein RIF1</t>
  </si>
  <si>
    <t>Isoform 4 of Vacuolar protein sorting-associated protein 53 homolog</t>
  </si>
  <si>
    <t>Striatin-interacting protein 1</t>
  </si>
  <si>
    <t>E3 ubiquitin-protein ligase RNF220</t>
  </si>
  <si>
    <t>Putative elongation factor 1-alpha-like 3</t>
  </si>
  <si>
    <t>E3 ubiquitin-protein ligase BRE1A</t>
  </si>
  <si>
    <t>Uncharacterized protein C1orf53</t>
  </si>
  <si>
    <t>BRO1 domain-containing protein BROX</t>
  </si>
  <si>
    <t>Muscular LMNA-interacting protein</t>
  </si>
  <si>
    <t>Lysophospholipase-like protein 1</t>
  </si>
  <si>
    <t>Proteasome-associated protein ECM29 homolog</t>
  </si>
  <si>
    <t>Isoform 6 of Terminal uridylyltransferase 7</t>
  </si>
  <si>
    <t>Isoform 2 of Renalase</t>
  </si>
  <si>
    <t>Isoform 4 of Zinc finger MYM-type protein 4</t>
  </si>
  <si>
    <t>Protein FAM160B1</t>
  </si>
  <si>
    <t>Kynurenine formamidase</t>
  </si>
  <si>
    <t>E3 ubiquitin-protein ligase RNF213</t>
  </si>
  <si>
    <t>Isoform 2 of Tensin-like C1 domain-containing phosphatase</t>
  </si>
  <si>
    <t>Isoform 3 of KN motif and ankyrin repeat domain-containing protein 2</t>
  </si>
  <si>
    <t>Isoform 2 of TBC1 domain family member 9B</t>
  </si>
  <si>
    <t>ADP-ribosylation factor-like protein 6-interacting protein 4</t>
  </si>
  <si>
    <t>Isoform 2 of Autophagy-related protein 16-1</t>
  </si>
  <si>
    <t>Acyl-coenzyme A synthetase ACSM2B, mitochondrial</t>
  </si>
  <si>
    <t>Tensin-3</t>
  </si>
  <si>
    <t>CWF19-like protein 1</t>
  </si>
  <si>
    <t>Isoform 4 of Protein virilizer homolog</t>
  </si>
  <si>
    <t>Isoform 2 of Cytospin-A</t>
  </si>
  <si>
    <t>Putative 3-phosphoinositide-dependent protein kinase 2</t>
  </si>
  <si>
    <t>Atlastin-3</t>
  </si>
  <si>
    <t>Isoform 2 of IQ motif and SEC7 domain-containing protein 1</t>
  </si>
  <si>
    <t>Vasorin</t>
  </si>
  <si>
    <t>Isoform 3 of Anamorsin</t>
  </si>
  <si>
    <t>Isoform 2 of AN1-type zinc finger protein 6</t>
  </si>
  <si>
    <t>SET and MYND domain-containing protein 5</t>
  </si>
  <si>
    <t>Putative peptidyl-tRNA hydrolase PTRHD1</t>
  </si>
  <si>
    <t>Isoform 2 of OTU domain-containing protein 7B</t>
  </si>
  <si>
    <t>Glutamine-dependent NAD(+) synthetase</t>
  </si>
  <si>
    <t>Isoform 4 of Elongator complex protein 2</t>
  </si>
  <si>
    <t>Glycine N-acyltransferase</t>
  </si>
  <si>
    <t>Twinfilin-2</t>
  </si>
  <si>
    <t>GRAM domain-containing protein 4</t>
  </si>
  <si>
    <t>Isoform 2 of Serine/threonine-protein phosphatase 4 regulatory subunit 3A</t>
  </si>
  <si>
    <t>LYR motif-containing protein 5</t>
  </si>
  <si>
    <t>Ras-related protein Rab-12</t>
  </si>
  <si>
    <t>Pleckstrin homology domain-containing family A member 7</t>
  </si>
  <si>
    <t>Acyl-CoA dehydrogenase family member 10</t>
  </si>
  <si>
    <t>Isoform 4 of Pyrin and HIN domain-containing protein 1</t>
  </si>
  <si>
    <t>Isoform 2 of Zinc finger protein 280D</t>
  </si>
  <si>
    <t>2-oxoglutarate and iron-dependent oxygenase domain-containing protein 2</t>
  </si>
  <si>
    <t>Acyl-coenzyme A synthetase ACSM5, mitochondrial</t>
  </si>
  <si>
    <t>Isoform 2 of Transmembrane protein 214</t>
  </si>
  <si>
    <t>3-hydroxyisobutyryl-CoA hydrolase, mitochondrial</t>
  </si>
  <si>
    <t>Phostensin</t>
  </si>
  <si>
    <t>Zinc finger CCHC domain-containing protein 8</t>
  </si>
  <si>
    <t>Isoform 2 of Coiled-coil and C2 domain-containing protein 1A</t>
  </si>
  <si>
    <t>Putative deoxyribonuclease TATDN1</t>
  </si>
  <si>
    <t>UPF0598 protein C8orf82</t>
  </si>
  <si>
    <t>Enhancer of mRNA-decapping protein 4</t>
  </si>
  <si>
    <t>Putative protein arginine N-methyltransferase 10</t>
  </si>
  <si>
    <t>Pre-mRNA-processing-splicing factor 8</t>
  </si>
  <si>
    <t>Phospholipase B-like 1</t>
  </si>
  <si>
    <t>Adrenodoxin-like protein, mitochondrial</t>
  </si>
  <si>
    <t>Isoform 3 of Nuclear factor related to kappa-B-binding protein</t>
  </si>
  <si>
    <t>Acylpyruvase FAHD1, mitochondrial</t>
  </si>
  <si>
    <t>Uncharacterized protein C8orf47</t>
  </si>
  <si>
    <t>Tetratricopeptide repeat protein 37</t>
  </si>
  <si>
    <t>Aspartate--tRNA ligase, mitochondrial</t>
  </si>
  <si>
    <t>Isoform 5 of Zinc finger CCCH domain-containing protein 14</t>
  </si>
  <si>
    <t>La-related protein 1</t>
  </si>
  <si>
    <t>Isoform 5 of Peroxisomal N(1)-acetyl-spermine/spermidine oxidase</t>
  </si>
  <si>
    <t>Methionine aminopeptidase 1D, mitochondrial</t>
  </si>
  <si>
    <t>Isoform 4 of Pre-mRNA 3-end-processing factor FIP1</t>
  </si>
  <si>
    <t>Isoform 3 of CREB-regulated transcription coactivator 1</t>
  </si>
  <si>
    <t>Dehydrogenase/reductase SDR family member 11</t>
  </si>
  <si>
    <t>Suprabasin</t>
  </si>
  <si>
    <t>Methyltransferase-like protein 7B</t>
  </si>
  <si>
    <t>Isoform 4 of Cysteine-rich with EGF-like domain protein 2</t>
  </si>
  <si>
    <t>WD repeat-containing protein 82</t>
  </si>
  <si>
    <t>Apolipoprotein O-like</t>
  </si>
  <si>
    <t>Nicotinate phosphoribosyltransferase</t>
  </si>
  <si>
    <t>Dynamin-binding protein</t>
  </si>
  <si>
    <t>Isoform 3 of PERQ amino acid-rich with GYF domain-containing protein 2</t>
  </si>
  <si>
    <t>Hydroxysteroid dehydrogenase-like protein 2</t>
  </si>
  <si>
    <t>Isoform 3 of Kynurenine--oxoglutarate transaminase 3</t>
  </si>
  <si>
    <t>Protein phosphatase 1 regulatory subunit 21</t>
  </si>
  <si>
    <t>E3 ubiquitin-protein ligase UBR3</t>
  </si>
  <si>
    <t>Phosphoinositide 3-kinase adapter protein 1</t>
  </si>
  <si>
    <t>Isoform 3 of Vacuolar protein sorting-associated protein 13C</t>
  </si>
  <si>
    <t>Acyl-CoA dehydrogenase family member 11</t>
  </si>
  <si>
    <t>Ras-associated and pleckstrin homology domains-containing protein 1</t>
  </si>
  <si>
    <t>Isoform 6 of La-related protein 4</t>
  </si>
  <si>
    <t>Isoform 2 of Tubulin alpha-1A chain</t>
  </si>
  <si>
    <t>MTSS1-like protein</t>
  </si>
  <si>
    <t>Transcription elongation factor SPT6</t>
  </si>
  <si>
    <t>Staphylococcal nuclease domain-containing protein 1</t>
  </si>
  <si>
    <t>Isoform 12 of Serine/threonine-protein kinase MARK2</t>
  </si>
  <si>
    <t>Probable ATP-dependent RNA helicase DDX46</t>
  </si>
  <si>
    <t>Isoform 4 of Protein RUFY3</t>
  </si>
  <si>
    <t>Mitochondrial ribonuclease P protein 1</t>
  </si>
  <si>
    <t>Basic leucine zipper and W2 domain-containing protein 1</t>
  </si>
  <si>
    <t>Leucine-rich repeat-containing protein 8D</t>
  </si>
  <si>
    <t>7SK snRNA methylphosphate capping enzyme</t>
  </si>
  <si>
    <t>Ras-related GTP-binding protein A</t>
  </si>
  <si>
    <t>Cytoplasmic FMR1-interacting protein 1</t>
  </si>
  <si>
    <t>Golgi to ER traffic protein 4 homolog</t>
  </si>
  <si>
    <t>Mitochondrial enolase superfamily member 1</t>
  </si>
  <si>
    <t>EPM2A-interacting protein 1</t>
  </si>
  <si>
    <t>FAST kinase domain-containing protein 5</t>
  </si>
  <si>
    <t>Charged multivesicular body protein 1b</t>
  </si>
  <si>
    <t>Ribonucleoside-diphosphate reductase subunit M2 B</t>
  </si>
  <si>
    <t>Protein-methionine sulfoxide oxidase MICAL3</t>
  </si>
  <si>
    <t>PHD finger-like domain-containing protein 5A</t>
  </si>
  <si>
    <t>Zinc finger CCCH-type antiviral protein 1</t>
  </si>
  <si>
    <t>Elongation factor Tu GTP-binding domain-containing protein 1</t>
  </si>
  <si>
    <t>Isoform 4 of Trafficking protein particle complex subunit 11</t>
  </si>
  <si>
    <t>UPF0505 protein C16orf62</t>
  </si>
  <si>
    <t>Zinc finger FYVE domain-containing protein 16</t>
  </si>
  <si>
    <t>Isoform 6 of Myosin-14</t>
  </si>
  <si>
    <t>Nuclear fragile X mental retardation-interacting protein 2</t>
  </si>
  <si>
    <t>Isoform 2 of SUZ domain-containing protein 1</t>
  </si>
  <si>
    <t>Mitochondrial antiviral-signaling protein</t>
  </si>
  <si>
    <t>Isoform 2 of CLIP-associating protein 1</t>
  </si>
  <si>
    <t>ATP-dependent RNA helicase DHX29</t>
  </si>
  <si>
    <t>COMM domain-containing protein 6</t>
  </si>
  <si>
    <t>Isoform 2 of tRNA (guanine(10)-N2)-methyltransferase homolog</t>
  </si>
  <si>
    <t>Isoform 3 of LIM and senescent cell antigen-like-containing domain protein 2</t>
  </si>
  <si>
    <t>HEAT repeat-containing protein 3</t>
  </si>
  <si>
    <t>Isoform 3 of Kinesin-like protein KIF21A</t>
  </si>
  <si>
    <t>Hepatoma-derived growth factor-related protein 2</t>
  </si>
  <si>
    <t>L-xylulose reductase</t>
  </si>
  <si>
    <t>Isoform 3 of Wings apart-like protein homolog</t>
  </si>
  <si>
    <t>Isoform 2 of Interferon regulatory factor 2-binding protein 2</t>
  </si>
  <si>
    <t>17-beta-hydroxysteroid dehydrogenase 13</t>
  </si>
  <si>
    <t>DNA polymerase nu</t>
  </si>
  <si>
    <t>Amyloid beta A4 precursor protein-binding family B member 1-interacting protein</t>
  </si>
  <si>
    <t>Rab9 effector protein with kelch motifs</t>
  </si>
  <si>
    <t>Isoform 2 of E3 ubiquitin-protein ligase HUWE1</t>
  </si>
  <si>
    <t>COX assembly mitochondrial protein homolog</t>
  </si>
  <si>
    <t>Isoform 3 of Centromere protein V</t>
  </si>
  <si>
    <t>Isoform 3 of Pleckstrin homology-like domain family B member 2</t>
  </si>
  <si>
    <t>Pleckstrin homology-like domain family B member 2</t>
  </si>
  <si>
    <t>Glutaredoxin-related protein 5, mitochondrial</t>
  </si>
  <si>
    <t>Isoform 2 of Trafficking protein particle complex subunit 6B</t>
  </si>
  <si>
    <t>Isoform 4 of Protein PAT1 homolog 1</t>
  </si>
  <si>
    <t>Dipeptidyl peptidase 9</t>
  </si>
  <si>
    <t>Protein prune homolog</t>
  </si>
  <si>
    <t>Histone-lysine N-methyltransferase setd3</t>
  </si>
  <si>
    <t>Acyl-coenzyme A thioesterase 1</t>
  </si>
  <si>
    <t>Serpin A11</t>
  </si>
  <si>
    <t>Iron-sulfur cluster assembly 2 homolog, mitochondrial</t>
  </si>
  <si>
    <t>Isoform 2 of Polyadenylate-binding protein 2</t>
  </si>
  <si>
    <t>N6-adenosine-methyltransferase 70 kDa subunit</t>
  </si>
  <si>
    <t>Pre-mRNA-processing factor 39</t>
  </si>
  <si>
    <t>Isoform 2 of Zinc finger protein 598</t>
  </si>
  <si>
    <t>Kinectin</t>
  </si>
  <si>
    <t>Isoform 2 of Fermitin family homolog 3</t>
  </si>
  <si>
    <t>Isoform 2 of 5-nucleotidase domain-containing protein 3</t>
  </si>
  <si>
    <t>Isoform 2 of Leucine zipper protein 1</t>
  </si>
  <si>
    <t>THO complex subunit 4</t>
  </si>
  <si>
    <t>Isoform 2 of Vacuolar protein-sorting-associated protein 36</t>
  </si>
  <si>
    <t>Cullin-associated NEDD8-dissociated protein 1</t>
  </si>
  <si>
    <t>Thioredoxin reductase 3</t>
  </si>
  <si>
    <t>Protein Hook homolog 3</t>
  </si>
  <si>
    <t>Isoform 2 of COMM domain-containing protein 7</t>
  </si>
  <si>
    <t>Isoform 4 of Liprin-beta-1</t>
  </si>
  <si>
    <t>Valacyclovir hydrolase</t>
  </si>
  <si>
    <t>Lon protease homolog 2, peroxisomal</t>
  </si>
  <si>
    <t>Coiled-coil domain-containing protein 25</t>
  </si>
  <si>
    <t>Proline and serine-rich protein 2</t>
  </si>
  <si>
    <t>Isoform 2 of Probable D-lactate dehydrogenase, mitochondrial</t>
  </si>
  <si>
    <t>Isoform 3 of Ral GTPase-activating protein subunit beta</t>
  </si>
  <si>
    <t>Ras-specific guanine nucleotide-releasing factor RalGPS2</t>
  </si>
  <si>
    <t>Isoform 1 of Histone-arginine methyltransferase CARM1</t>
  </si>
  <si>
    <t>Isoform 1 of Nitrilase homolog 1</t>
  </si>
  <si>
    <t>Probable 4-hydroxy-2-oxoglutarate aldolase, mitochondrial</t>
  </si>
  <si>
    <t>ATP-dependent RNA helicase DDX42</t>
  </si>
  <si>
    <t>Isoform 4 of Serine/threonine-protein kinase VRK2</t>
  </si>
  <si>
    <t>Syntaxin-12</t>
  </si>
  <si>
    <t>Enoyl-CoA hydratase domain-containing protein 2, mitochondrial</t>
  </si>
  <si>
    <t>Decaprenyl-diphosphate synthase subunit 2</t>
  </si>
  <si>
    <t>Isoform 4 of Threonine synthase-like 2</t>
  </si>
  <si>
    <t>Isoform 2 of Transcriptional repressor p66-alpha</t>
  </si>
  <si>
    <t>Hornerin</t>
  </si>
  <si>
    <t>Interferon regulatory factor 2-binding protein 1</t>
  </si>
  <si>
    <t>ELKS/Rab6-interacting/CAST family member 1</t>
  </si>
  <si>
    <t>Isoform 7 of Armadillo repeat-containing protein 8</t>
  </si>
  <si>
    <t>5-phosphohydroxy-L-lysine phospho-lyase</t>
  </si>
  <si>
    <t>Phospholipase D3</t>
  </si>
  <si>
    <t>Ankyrin repeat and MYND domain-containing protein 2</t>
  </si>
  <si>
    <t>LysM and putative peptidoglycan-binding domain-containing protein 2</t>
  </si>
  <si>
    <t>NudC domain-containing protein 3</t>
  </si>
  <si>
    <t>Isoform 3 of Protein AHNAK2</t>
  </si>
  <si>
    <t>Methylmalonic aciduria type A protein, mitochondrial</t>
  </si>
  <si>
    <t>Coiled-coil domain-containing protein 50</t>
  </si>
  <si>
    <t>Malonyl-CoA-acyl carrier protein transacylase, mitochondrial</t>
  </si>
  <si>
    <t>Glycerate kinase</t>
  </si>
  <si>
    <t>ATP-dependent (S)-NAD(P)H-hydrate dehydratase</t>
  </si>
  <si>
    <t>Testis-expressed sequence 2 protein</t>
  </si>
  <si>
    <t>Protein NOXP20</t>
  </si>
  <si>
    <t>GRIP and coiled-coil domain-containing protein 2</t>
  </si>
  <si>
    <t>Iron-sulfur cluster co-chaperone protein HscB, mitochondrial</t>
  </si>
  <si>
    <t>Serine/threonine-protein kinase LMTK2</t>
  </si>
  <si>
    <t>Isoform 4 of E3 ubiquitin-protein ligase UBR2</t>
  </si>
  <si>
    <t>Isoform 2 of Rho GTPase-activating protein 12</t>
  </si>
  <si>
    <t>Hydroxyacid-oxoacid transhydrogenase, mitochondrial</t>
  </si>
  <si>
    <t>Calcium homeostasis endoplasmic reticulum protein</t>
  </si>
  <si>
    <t>Ankyrin repeat and KH domain-containing protein 1</t>
  </si>
  <si>
    <t>SURP and G-patch domain-containing protein 1</t>
  </si>
  <si>
    <t>Zinc finger protein ZFPM1</t>
  </si>
  <si>
    <t>Isoform 2 of Cell division cycle and apoptosis regulator protein 1</t>
  </si>
  <si>
    <t>Isoform NELF-D of Negative elongation factor C/D</t>
  </si>
  <si>
    <t>Isoform 2 of NAD-dependent protein deacetylase sirtuin-2</t>
  </si>
  <si>
    <t>Uncharacterized protein KIAA1704</t>
  </si>
  <si>
    <t>Isoform 2 of Poly [ADP-ribose] polymerase 9</t>
  </si>
  <si>
    <t>Isoform 2 of Solute carrier family 35 member F3</t>
  </si>
  <si>
    <t>pre-rRNA processing protein FTSJ3</t>
  </si>
  <si>
    <t>Isoform 2 of Coiled-coil domain-containing protein 36</t>
  </si>
  <si>
    <t>Isoform 3 of Stromal membrane-associated protein 1</t>
  </si>
  <si>
    <t>DIS3-like exonuclease 2</t>
  </si>
  <si>
    <t>ATP-dependent RNA helicase SUPV3L1, mitochondrial</t>
  </si>
  <si>
    <t>Eukaryotic peptide chain release factor GTP-binding subunit ERF3B</t>
  </si>
  <si>
    <t>Exocyst complex component 8</t>
  </si>
  <si>
    <t>Threonine synthase-like 1</t>
  </si>
  <si>
    <t>Katanin p60 ATPase-containing subunit A-like 2</t>
  </si>
  <si>
    <t>Ras and EF-hand domain-containing protein</t>
  </si>
  <si>
    <t>tRNA (uracil-5-)-methyltransferase homolog A</t>
  </si>
  <si>
    <t>Aldehyde dehydrogenase family 16 member A1</t>
  </si>
  <si>
    <t>Isoform 10 of Abl interactor 1</t>
  </si>
  <si>
    <t>Retinol dehydrogenase 10</t>
  </si>
  <si>
    <t>Protein FAM185A</t>
  </si>
  <si>
    <t>L-fucose kinase</t>
  </si>
  <si>
    <t>Citrate lyase subunit beta-like protein, mitochondrial</t>
  </si>
  <si>
    <t>Spartin</t>
  </si>
  <si>
    <t>Protein canopy homolog 4</t>
  </si>
  <si>
    <t>Adenylosuccinate synthetase isozyme 1</t>
  </si>
  <si>
    <t>DBIRD complex subunit KIAA1967</t>
  </si>
  <si>
    <t>Vacuolar protein sorting-associated protein 52 homolog</t>
  </si>
  <si>
    <t>Nuclear pore complex protein Nup93</t>
  </si>
  <si>
    <t>Cap-specific mRNA (nucleoside-2-O-)-methyltransferase 1</t>
  </si>
  <si>
    <t>Leucine-rich repeat-containing protein 47</t>
  </si>
  <si>
    <t>Dedicator of cytokinesis protein 4</t>
  </si>
  <si>
    <t>Keratin, type II cytoskeletal 78</t>
  </si>
  <si>
    <t>Lysine-specific demethylase 8</t>
  </si>
  <si>
    <t>EH domain-binding protein 1-like protein 1</t>
  </si>
  <si>
    <t>Isoform 2 of Synaptopodin</t>
  </si>
  <si>
    <t>D-2-hydroxyglutarate dehydrogenase, mitochondrial</t>
  </si>
  <si>
    <t>Isoform 4 of Probable hydrolase PNKD</t>
  </si>
  <si>
    <t>Isoform 1 of Misshapen-like kinase 1</t>
  </si>
  <si>
    <t>UPF0586 protein C9orf41</t>
  </si>
  <si>
    <t>Guanosine-3,5-bis(diphosphate) 3-pyrophosphohydrolase MESH1</t>
  </si>
  <si>
    <t>Zinc-binding alcohol dehydrogenase domain-containing protein 2</t>
  </si>
  <si>
    <t>Mitochondrial intermembrane space import and assembly protein 40</t>
  </si>
  <si>
    <t>Carbonyl reductase family member 4</t>
  </si>
  <si>
    <t>Isoform 2 of Oxidation resistance protein 1</t>
  </si>
  <si>
    <t>Macoilin</t>
  </si>
  <si>
    <t>ATP synthase mitochondrial F1 complex assembly factor 2</t>
  </si>
  <si>
    <t>39S ribosomal protein L50, mitochondrial</t>
  </si>
  <si>
    <t>Ephexin-1</t>
  </si>
  <si>
    <t>Kynurenine/alpha-aminoadipate aminotransferase, mitochondrial</t>
  </si>
  <si>
    <t>FTS and Hook-interacting protein</t>
  </si>
  <si>
    <t>Isoform 2 of Cleavage and polyadenylation specificity factor subunit 7</t>
  </si>
  <si>
    <t>ADP-ribosylation factor GTPase-activating protein 2</t>
  </si>
  <si>
    <t>Prostaglandin reductase 2</t>
  </si>
  <si>
    <t>Protein enabled homolog</t>
  </si>
  <si>
    <t>Isoform 3 of Uncharacterized protein C12orf29</t>
  </si>
  <si>
    <t>Acyl-coenzyme A thioesterase 4</t>
  </si>
  <si>
    <t>Parkinson disease 7 domain-containing protein 1</t>
  </si>
  <si>
    <t>NHL repeat-containing protein 2</t>
  </si>
  <si>
    <t>Isoform 2 of Golgi membrane protein 1</t>
  </si>
  <si>
    <t>Sulfatase-modifying factor 2</t>
  </si>
  <si>
    <t>Saccharopine dehydrogenase-like oxidoreductase</t>
  </si>
  <si>
    <t>Isoform 4 of Plasminogen activator inhibitor 1 RNA-binding protein</t>
  </si>
  <si>
    <t>Adaptin ear-binding coat-associated protein 1</t>
  </si>
  <si>
    <t>Isoform 2 of Protein FAM98A</t>
  </si>
  <si>
    <t>Group XV phospholipase A2</t>
  </si>
  <si>
    <t>E3 ubiquitin-protein ligase RNF169</t>
  </si>
  <si>
    <t>Pyruvate dehydrogenase phosphatase regulatory subunit, mitochondrial</t>
  </si>
  <si>
    <t>NAD(P)H-hydrate epimerase</t>
  </si>
  <si>
    <t>RING finger protein 214</t>
  </si>
  <si>
    <t>Liprin-beta-2</t>
  </si>
  <si>
    <t>Isoform 3 of Cyclin-Y</t>
  </si>
  <si>
    <t>Isoform 2 of Probable aminopeptidase NPEPL1</t>
  </si>
  <si>
    <t>Isoform 3 of EH domain-binding protein 1</t>
  </si>
  <si>
    <t>Choline dehydrogenase, mitochondrial</t>
  </si>
  <si>
    <t>Isoform 2 of ATP-binding cassette sub-family F member 1</t>
  </si>
  <si>
    <t>Phosphatidylinositol 3-kinase catalytic subunit type 3</t>
  </si>
  <si>
    <t>F-box only protein 22</t>
  </si>
  <si>
    <t>Biorientation of chromosomes in cell division protein 1-like 1</t>
  </si>
  <si>
    <t>Isoform 2 of FAD synthase</t>
  </si>
  <si>
    <t>Nucleoporin Nup43</t>
  </si>
  <si>
    <t>Nucleoporin Nup37</t>
  </si>
  <si>
    <t>Isoform 4 of RalBP1-associated Eps domain-containing protein 2</t>
  </si>
  <si>
    <t>Cytosolic endo-beta-N-acetylglucosaminidase</t>
  </si>
  <si>
    <t>Torsin-1A-interacting protein 2</t>
  </si>
  <si>
    <t>Isoform 4 of Thiosulfate sulfurtransferase/rhodanese-like domain-containing protein 1</t>
  </si>
  <si>
    <t>Thiosulfate sulfurtransferase/rhodanese-like domain-containing protein 1</t>
  </si>
  <si>
    <t>Alpha/beta hydrolase domain-containing protein 11</t>
  </si>
  <si>
    <t>N-acylneuraminate cytidylyltransferase</t>
  </si>
  <si>
    <t>E3 ubiquitin-protein ligase ZNRF2</t>
  </si>
  <si>
    <t>Isoform 2 of Atlastin-2</t>
  </si>
  <si>
    <t>Putative trypsin-6</t>
  </si>
  <si>
    <t>Isoform 2 of Nuclear receptor coactivator 7</t>
  </si>
  <si>
    <t>THO complex subunit 2</t>
  </si>
  <si>
    <t>Chaperone activity of bc1 complex-like, mitochondrial</t>
  </si>
  <si>
    <t>Growth arrest and DNA damage-inducible proteins-interacting protein 1</t>
  </si>
  <si>
    <t>Isoform 2 of SWI/SNF complex subunit SMARCC2</t>
  </si>
  <si>
    <t>Nuclear protein localization protein 4 homolog</t>
  </si>
  <si>
    <t>Uncharacterized protein CXorf38</t>
  </si>
  <si>
    <t>Spermatogenesis-associated protein 20</t>
  </si>
  <si>
    <t>DEP domain-containing mTOR-interacting protein</t>
  </si>
  <si>
    <t>Isoform 2 of Golgin subfamily A member 5</t>
  </si>
  <si>
    <t>NEDD8-activating enzyme E1 catalytic subunit</t>
  </si>
  <si>
    <t>Zinc finger and SCAN domain-containing protein 18</t>
  </si>
  <si>
    <t>Isoform 2 of Ethanolamine-phosphate phospho-lyase</t>
  </si>
  <si>
    <t>Phosphatidylinositol 5-phosphate 4-kinase type-2 gamma</t>
  </si>
  <si>
    <t>Isoform 2 of TBC1 domain family member 15</t>
  </si>
  <si>
    <t>Retinol dehydrogenase 11</t>
  </si>
  <si>
    <t>5(3)-deoxyribonucleotidase, cytosolic type</t>
  </si>
  <si>
    <t>Isoform 2 of Protein FAM45A</t>
  </si>
  <si>
    <t>Polyribonucleotide nucleotidyltransferase 1, mitochondrial</t>
  </si>
  <si>
    <t>Protein bicaudal D homolog 2</t>
  </si>
  <si>
    <t>Serine/threonine-protein kinase Nek9</t>
  </si>
  <si>
    <t>Alanine aminotransferase 2</t>
  </si>
  <si>
    <t>E3 ubiquitin-protein ligase DTX3L</t>
  </si>
  <si>
    <t>ATP-dependent RNA helicase DDX54</t>
  </si>
  <si>
    <t>Isoform 2 of Biogenesis of lysosome-related organelles complex 1 subunit 5</t>
  </si>
  <si>
    <t>2-amino-3-carboxymuconate-6-semialdehyde decarboxylase</t>
  </si>
  <si>
    <t>Pantothenate kinase 1</t>
  </si>
  <si>
    <t>Protein phosphatase Slingshot homolog 3</t>
  </si>
  <si>
    <t>Putative methyltransferase NSUN6</t>
  </si>
  <si>
    <t>Isoform 2 of DDB1- and CUL4-associated factor 11</t>
  </si>
  <si>
    <t>DENN domain-containing protein 1A</t>
  </si>
  <si>
    <t>Gem-associated protein 5</t>
  </si>
  <si>
    <t>Isoform 4 of Rho guanine nucleotide exchange factor 40</t>
  </si>
  <si>
    <t>Isoform 5 of Partitioning defective 3 homolog</t>
  </si>
  <si>
    <t>Importin-4</t>
  </si>
  <si>
    <t>PDZ domain-containing protein GIPC2</t>
  </si>
  <si>
    <t>WAS/WASL-interacting protein family member 2</t>
  </si>
  <si>
    <t>Histone-lysine N-methyltransferase SETD7</t>
  </si>
  <si>
    <t>Isoform 3 of Marginal zone B- and B1-cell-specific protein</t>
  </si>
  <si>
    <t>Isoform 3 of Stromal membrane-associated protein 2</t>
  </si>
  <si>
    <t>Zinc finger CCCH domain-containing protein 15</t>
  </si>
  <si>
    <t>Peptidyl-prolyl cis-trans isomerase-like 4</t>
  </si>
  <si>
    <t>Programmed cell death 6-interacting protein</t>
  </si>
  <si>
    <t>UPF0235 protein C15orf40</t>
  </si>
  <si>
    <t>Protein BRICK1</t>
  </si>
  <si>
    <t>Charged multivesicular body protein 7</t>
  </si>
  <si>
    <t>B-cell linker protein</t>
  </si>
  <si>
    <t>Sorting nexin-33</t>
  </si>
  <si>
    <t>Nucleoside diphosphate-linked moiety X motif 8, mitochondrial</t>
  </si>
  <si>
    <t>Isoform 2 of AN1-type zinc finger protein 2B</t>
  </si>
  <si>
    <t>Hexosaminidase D</t>
  </si>
  <si>
    <t>RNA polymerase-associated protein LEO1</t>
  </si>
  <si>
    <t>NudC domain-containing protein 2</t>
  </si>
  <si>
    <t>Sec1 family domain-containing protein 1</t>
  </si>
  <si>
    <t>Tumor necrosis factor alpha-induced protein 8-like protein 1</t>
  </si>
  <si>
    <t>Trafficking protein particle complex subunit 12</t>
  </si>
  <si>
    <t>Ubiquitin-like domain-containing CTD phosphatase 1</t>
  </si>
  <si>
    <t>PEST proteolytic signal-containing nuclear protein</t>
  </si>
  <si>
    <t>SPRY domain-containing protein 4</t>
  </si>
  <si>
    <t>Ataxin-2-like protein</t>
  </si>
  <si>
    <t>Isoform 2 of Reticulon-4-interacting protein 1, mitochondrial</t>
  </si>
  <si>
    <t>Negative elongation factor B</t>
  </si>
  <si>
    <t>Caskin-2</t>
  </si>
  <si>
    <t>Paraspeckle component 1</t>
  </si>
  <si>
    <t>Nesprin-2</t>
  </si>
  <si>
    <t>DnaJ homolog subfamily C member 9</t>
  </si>
  <si>
    <t>Isoform 2 of THAP domain-containing protein 4</t>
  </si>
  <si>
    <t>Acyl-coenzyme A thioesterase 12</t>
  </si>
  <si>
    <t>Protein ELYS</t>
  </si>
  <si>
    <t>Isoform 5 of Titin</t>
  </si>
  <si>
    <t>Ovarian cancer-associated gene 2 protein</t>
  </si>
  <si>
    <t>Protein LZIC</t>
  </si>
  <si>
    <t>Immunity-related GTPase family Q protein</t>
  </si>
  <si>
    <t>ATP-dependent RNA helicase DDX1</t>
  </si>
  <si>
    <t>Estradiol 17-beta-dehydrogenase 8</t>
  </si>
  <si>
    <t>T-complex protein 1 subunit zeta-2</t>
  </si>
  <si>
    <t>Golgi-specific brefeldin A-resistance guanine nucleotide exchange factor 1</t>
  </si>
  <si>
    <t>RNA polymerase-associated protein RTF1 homolog</t>
  </si>
  <si>
    <t>28S ribosomal protein S27, mitochondrial</t>
  </si>
  <si>
    <t>Engulfment and cell motility protein 1</t>
  </si>
  <si>
    <t>AP-3 complex subunit sigma-1</t>
  </si>
  <si>
    <t>UBX domain-containing protein 4</t>
  </si>
  <si>
    <t>Isoform 2 of PHD finger protein 3</t>
  </si>
  <si>
    <t>Protein NDRG1</t>
  </si>
  <si>
    <t>Isoform Beta of Heat shock protein 105 kDa</t>
  </si>
  <si>
    <t>Isoform 2 of Septin-8</t>
  </si>
  <si>
    <t>Cell differentiation protein RCD1 homolog</t>
  </si>
  <si>
    <t>TBC1 domain family member 5</t>
  </si>
  <si>
    <t>Isoform 4 of Unconventional myosin-XVIIIa</t>
  </si>
  <si>
    <t>La-related protein 4B</t>
  </si>
  <si>
    <t>Translational activator GCN1</t>
  </si>
  <si>
    <t>Nuclear pore complex protein Nup205</t>
  </si>
  <si>
    <t>28S ribosomal protein S31, mitochondrial</t>
  </si>
  <si>
    <t>A-kinase anchor protein 1, mitochondrial</t>
  </si>
  <si>
    <t>Isoform 2 of Acidic leucine-rich nuclear phosphoprotein 32 family member B</t>
  </si>
  <si>
    <t>Geranylgeranyl transferase type-2 subunit alpha</t>
  </si>
  <si>
    <t>Isoform 2 of Protein TFG</t>
  </si>
  <si>
    <t>Actin-related protein 2/3 complex subunit 1A</t>
  </si>
  <si>
    <t>Isoform 3 of Ras-responsive element-binding protein 1</t>
  </si>
  <si>
    <t>Isoform 2 of Signal transducing adapter molecule 1</t>
  </si>
  <si>
    <t>CREB-binding protein</t>
  </si>
  <si>
    <t>Symplekin</t>
  </si>
  <si>
    <t>Golgin subfamily A member 1</t>
  </si>
  <si>
    <t>Gamma-glutamyl hydrolase</t>
  </si>
  <si>
    <t>Probable ATP-dependent RNA helicase DDX17</t>
  </si>
  <si>
    <t>DNA repair protein RAD50</t>
  </si>
  <si>
    <t>Isoform 5 of CUGBP Elav-like family member 1</t>
  </si>
  <si>
    <t>Osteoclast-stimulating factor 1</t>
  </si>
  <si>
    <t>Isoform 2 of Rho guanine nucleotide exchange factor 1</t>
  </si>
  <si>
    <t>Isoform 3 of Ubiquitin fusion degradation protein 1 homolog</t>
  </si>
  <si>
    <t>Isoform 2 of Regulator of nonsense transcripts 1</t>
  </si>
  <si>
    <t>COP9 signalosome complex subunit 5</t>
  </si>
  <si>
    <t>G patch domain and KOW motifs-containing protein</t>
  </si>
  <si>
    <t>Bcl2 antagonist of cell death</t>
  </si>
  <si>
    <t>Far upstream element-binding protein 2</t>
  </si>
  <si>
    <t>Glutaryl-CoA dehydrogenase, mitochondrial</t>
  </si>
  <si>
    <t>Isoform 2 of Transportin-1</t>
  </si>
  <si>
    <t>Isoform 2 of Probable ubiquitin carboxyl-terminal hydrolase FAF-X</t>
  </si>
  <si>
    <t>Cullin-5</t>
  </si>
  <si>
    <t>Lipoma-preferred partner</t>
  </si>
  <si>
    <t>Isoform 2 of Selenocysteine insertion sequence-binding protein 2-like</t>
  </si>
  <si>
    <t>Histone H2A type 1-C</t>
  </si>
  <si>
    <t>Betaine--homocysteine S-methyltransferase 1</t>
  </si>
  <si>
    <t>Protein tyrosine phosphatase type IVA 1</t>
  </si>
  <si>
    <t>Homogentisate 1,2-dioxygenase</t>
  </si>
  <si>
    <t>Isoform 4 of Phosphorylase b kinase regulatory subunit beta</t>
  </si>
  <si>
    <t>Transcription elongation factor A protein-like 3</t>
  </si>
  <si>
    <t>Riboflavin kinase</t>
  </si>
  <si>
    <t>UPF0556 protein C19orf10</t>
  </si>
  <si>
    <t>Glycine N-acyltransferase-like protein 1</t>
  </si>
  <si>
    <t>60S ribosomal protein L36a-like</t>
  </si>
  <si>
    <t>Isoform 2 of Ribosome-releasing factor 2, mitochondrial</t>
  </si>
  <si>
    <t>Protein TBRG4</t>
  </si>
  <si>
    <t>MOSC domain-containing protein 2, mitochondrial</t>
  </si>
  <si>
    <t>Synapse-associated protein 1</t>
  </si>
  <si>
    <t>Exocyst complex component 4</t>
  </si>
  <si>
    <t>Isochorismatase domain-containing protein 2, mitochondrial</t>
  </si>
  <si>
    <t>Fermitin family homolog 2</t>
  </si>
  <si>
    <t>Isoform 2 of Far upstream element-binding protein 1</t>
  </si>
  <si>
    <t>Leucine-rich repeat-containing protein 59</t>
  </si>
  <si>
    <t>Uncharacterized protein KIAA1143</t>
  </si>
  <si>
    <t>Proline-rich AKT1 substrate 1</t>
  </si>
  <si>
    <t>UPF0693 protein C10orf32</t>
  </si>
  <si>
    <t>Zinc finger protein 428</t>
  </si>
  <si>
    <t>SH3 domain-containing kinase-binding protein 1</t>
  </si>
  <si>
    <t>Protein FAM105B</t>
  </si>
  <si>
    <t>Coiled-coil-helix-coiled-coil-helix domain-containing protein 1</t>
  </si>
  <si>
    <t>Peptidylprolyl isomerase domain and WD repeat-containing protein 1</t>
  </si>
  <si>
    <t>Sel1 repeat-containing protein 1</t>
  </si>
  <si>
    <t>Isoform 2 of Phosphotriesterase-related protein</t>
  </si>
  <si>
    <t>Autophagy-related protein 2 homolog B</t>
  </si>
  <si>
    <t>Protein FAM136A</t>
  </si>
  <si>
    <t>FGGY carbohydrate kinase domain-containing protein</t>
  </si>
  <si>
    <t>EF-hand domain-containing protein D2</t>
  </si>
  <si>
    <t>Aldose 1-epimerase</t>
  </si>
  <si>
    <t>Synaptotagmin-like protein 4</t>
  </si>
  <si>
    <t>m7GpppX diphosphatase</t>
  </si>
  <si>
    <t>Charged multivesicular body protein 4c</t>
  </si>
  <si>
    <t>Isochorismatase domain-containing protein 1</t>
  </si>
  <si>
    <t>FLYWCH family member 2</t>
  </si>
  <si>
    <t>FAS-associated factor 2</t>
  </si>
  <si>
    <t>Coiled-coil domain-containing protein 124</t>
  </si>
  <si>
    <t>Optineurin</t>
  </si>
  <si>
    <t>Isoform 2 of AP-2 complex subunit mu</t>
  </si>
  <si>
    <t>Isoform 3 of Gamma-tubulin complex component 3</t>
  </si>
  <si>
    <t>BTB/POZ domain-containing protein KCTD12</t>
  </si>
  <si>
    <t>60S ribosomal export protein NMD3</t>
  </si>
  <si>
    <t>Isoform 2 of RalBP1-associated Eps domain-containing protein 1</t>
  </si>
  <si>
    <t>Enoyl-CoA hydratase domain-containing protein 3, mitochondrial</t>
  </si>
  <si>
    <t>U8 snoRNA-decapping enzyme</t>
  </si>
  <si>
    <t>Carboxymethylenebutenolidase homolog</t>
  </si>
  <si>
    <t>Rho guanine nucleotide exchange factor 26</t>
  </si>
  <si>
    <t>39S ribosomal protein L38, mitochondrial</t>
  </si>
  <si>
    <t>Isoform 3 of Ribosome-recycling factor, mitochondrial</t>
  </si>
  <si>
    <t>RNA binding motif protein, X-linked-like-1</t>
  </si>
  <si>
    <t>Elongator complex protein 4</t>
  </si>
  <si>
    <t>Isoform 2 of Protein Hook homolog 2</t>
  </si>
  <si>
    <t>Transcription elongation factor A protein-like 4</t>
  </si>
  <si>
    <t>Glucosamine 6-phosphate N-acetyltransferase</t>
  </si>
  <si>
    <t>Trans-L-3-hydroxyproline dehydratase</t>
  </si>
  <si>
    <t>Molybdenum cofactor sulfurase</t>
  </si>
  <si>
    <t>Isoform 2 of DAZ-associated protein 1</t>
  </si>
  <si>
    <t>RNA-binding protein 33</t>
  </si>
  <si>
    <t>Dysbindin</t>
  </si>
  <si>
    <t>Pentatricopeptide repeat domain-containing protein 3, mitochondrial</t>
  </si>
  <si>
    <t>Cob(I)yrinic acid a,c-diamide adenosyltransferase, mitochondrial</t>
  </si>
  <si>
    <t>Diamine acetyltransferase 2</t>
  </si>
  <si>
    <t>Isoform 2 of Nuclear receptor-binding factor 2</t>
  </si>
  <si>
    <t>Dynein light chain 2, cytoplasmic</t>
  </si>
  <si>
    <t>Secernin-2</t>
  </si>
  <si>
    <t>THO complex subunit 1</t>
  </si>
  <si>
    <t>Phosphoglucomutase-2</t>
  </si>
  <si>
    <t>tRNA-dihydrouridine(47) synthase [NAD(P)(+)]-like</t>
  </si>
  <si>
    <t>Serine dehydratase-like</t>
  </si>
  <si>
    <t>Pyridoxal phosphate phosphatase</t>
  </si>
  <si>
    <t>Calmodulin-like protein 4</t>
  </si>
  <si>
    <t>E3 ubiquitin-protein ligase RNF185</t>
  </si>
  <si>
    <t>DCN1-like protein 1</t>
  </si>
  <si>
    <t>Fumarylacetoacetate hydrolase domain-containing protein 2A</t>
  </si>
  <si>
    <t>Uncharacterized protein C17orf59</t>
  </si>
  <si>
    <t>Methionine--tRNA ligase, mitochondrial</t>
  </si>
  <si>
    <t>Methylthioribulose-1-phosphate dehydratase</t>
  </si>
  <si>
    <t>Vacuolar-sorting protein SNF8</t>
  </si>
  <si>
    <t>PDZ and LIM domain protein 5</t>
  </si>
  <si>
    <t>Aspartoacylase-2</t>
  </si>
  <si>
    <t>ERO1-like protein alpha</t>
  </si>
  <si>
    <t>Isoform 2 of UPF0562 protein C7orf55</t>
  </si>
  <si>
    <t>UPF0562 protein C7orf55</t>
  </si>
  <si>
    <t>Oxidoreductase NAD-binding domain-containing protein 1</t>
  </si>
  <si>
    <t>Isoform 2 of CDKN2AIP N-terminal-like protein</t>
  </si>
  <si>
    <t>Receptor expression-enhancing protein 6</t>
  </si>
  <si>
    <t>Serine/threonine-protein phosphatase PGAM5, mitochondrial</t>
  </si>
  <si>
    <t>Isoform 2 of DDRGK domain-containing protein 1</t>
  </si>
  <si>
    <t>Probable 2-oxoglutarate dehydrogenase E1 component DHKTD1, mitochondrial</t>
  </si>
  <si>
    <t>Selenocysteine lyase</t>
  </si>
  <si>
    <t>Protein preY, mitochondrial</t>
  </si>
  <si>
    <t>Far upstream element-binding protein 3</t>
  </si>
  <si>
    <t>Splicing factor 45</t>
  </si>
  <si>
    <t>Williams-Beuren syndrome chromosomal region 16 protein</t>
  </si>
  <si>
    <t>Probable asparagine--tRNA ligase, mitochondrial</t>
  </si>
  <si>
    <t>Succinyl-CoA ligase [GDP-forming] subunit beta, mitochondrial</t>
  </si>
  <si>
    <t>Mannose-1-phosphate guanyltransferase alpha</t>
  </si>
  <si>
    <t>Alpha/beta hydrolase domain-containing protein 14B</t>
  </si>
  <si>
    <t>Isoform 3 of Peptide-N(4)-(N-acetyl-beta-glucosaminyl)asparagine amidase</t>
  </si>
  <si>
    <t>PRKC apoptosis WT1 regulator protein</t>
  </si>
  <si>
    <t>Conserved oligomeric Golgi complex subunit 3</t>
  </si>
  <si>
    <t>Isoform 2 of CDK5 regulatory subunit-associated protein 3</t>
  </si>
  <si>
    <t>Protein transport protein Sec16B</t>
  </si>
  <si>
    <t>Isoform 3 of Coiled-coil domain-containing protein 132</t>
  </si>
  <si>
    <t>Deubiquitinating protein VCIP135</t>
  </si>
  <si>
    <t>Calmin</t>
  </si>
  <si>
    <t>PDZ and LIM domain protein 2</t>
  </si>
  <si>
    <t>DnaJ homolog subfamily C member 1</t>
  </si>
  <si>
    <t>Isoform 3 of N-terminal kinase-like protein</t>
  </si>
  <si>
    <t>Exocyst complex component 2</t>
  </si>
  <si>
    <t>Cytosolic non-specific dipeptidase</t>
  </si>
  <si>
    <t>Zinc finger RNA-binding protein</t>
  </si>
  <si>
    <t>Sorting nexin-27</t>
  </si>
  <si>
    <t>Sentrin-specific protease 8</t>
  </si>
  <si>
    <t>Dehydrogenase/reductase SDR family member 1</t>
  </si>
  <si>
    <t>Isoform 2 of Cyclic nucleotide-binding domain-containing protein 2</t>
  </si>
  <si>
    <t>Protein PRRC1</t>
  </si>
  <si>
    <t>Isoform 4 of F-box/LRR-repeat protein 18</t>
  </si>
  <si>
    <t>Protein HEXIM2</t>
  </si>
  <si>
    <t>Isoform 2 of YTH domain-containing protein 1</t>
  </si>
  <si>
    <t>Isoform 2 of WD repeat-containing protein 92</t>
  </si>
  <si>
    <t>Urocanate hydratase</t>
  </si>
  <si>
    <t>Rab-interacting lysosomal protein</t>
  </si>
  <si>
    <t>Zinc finger matrin-type protein 2</t>
  </si>
  <si>
    <t>Zinc finger protein 3 homolog</t>
  </si>
  <si>
    <t>Probable imidazolonepropionase</t>
  </si>
  <si>
    <t>Isoform 2 of Regulation of nuclear pre-mRNA domain-containing protein 1A</t>
  </si>
  <si>
    <t>Importin-9</t>
  </si>
  <si>
    <t>Methylmalonyl-CoA epimerase, mitochondrial</t>
  </si>
  <si>
    <t>RNA-binding protein 14</t>
  </si>
  <si>
    <t>Isoform 3 of RING finger and CHY zinc finger domain-containing protein 1</t>
  </si>
  <si>
    <t>Isoform 3 of Protein quaking</t>
  </si>
  <si>
    <t>Isoform 3 of Trafficking protein particle complex subunit 9</t>
  </si>
  <si>
    <t>Isoform 2 of Perilipin-4</t>
  </si>
  <si>
    <t>Isoform 2 of CCA tRNA nucleotidyltransferase 1, mitochondrial</t>
  </si>
  <si>
    <t>Serine/threonine-protein phosphatase 1 regulatory subunit 10</t>
  </si>
  <si>
    <t>Myotubularin-related protein 9</t>
  </si>
  <si>
    <t>Vacuolar protein sorting-associated protein 35</t>
  </si>
  <si>
    <t>Transcriptional activator protein Pur-beta</t>
  </si>
  <si>
    <t>Isoform 7 of Membrane-associated guanylate kinase, WW and PDZ domain-containing protein 1</t>
  </si>
  <si>
    <t>Nucleus accumbens-associated protein 1</t>
  </si>
  <si>
    <t>Isoform 2 of Sorting nexin-18</t>
  </si>
  <si>
    <t>Elongation factor G, mitochondrial</t>
  </si>
  <si>
    <t>Methylcrotonoyl-CoA carboxylase subunit alpha, mitochondrial</t>
  </si>
  <si>
    <t>Isoform 3 of NudC domain-containing protein 1</t>
  </si>
  <si>
    <t>Isoform 2 of Hemicentin-1</t>
  </si>
  <si>
    <t>UPF0585 protein C16orf13</t>
  </si>
  <si>
    <t>TP53-regulating kinase</t>
  </si>
  <si>
    <t>Isoform 4 of Chloride channel CLIC-like protein 1</t>
  </si>
  <si>
    <t>Isoform 2 of Protein IWS1 homolog</t>
  </si>
  <si>
    <t>Paired amphipathic helix protein Sin3a</t>
  </si>
  <si>
    <t>Isoform 7 of Oxysterol-binding protein-related protein 9</t>
  </si>
  <si>
    <t>2-aminoethanethiol dioxygenase</t>
  </si>
  <si>
    <t>Isoform 2 of Putative RNA-binding protein 15</t>
  </si>
  <si>
    <t>RUN and FYVE domain-containing protein 1</t>
  </si>
  <si>
    <t>Msx2-interacting protein</t>
  </si>
  <si>
    <t>MMS19 nucleotide excision repair protein homolog</t>
  </si>
  <si>
    <t>C-Myc-binding protein</t>
  </si>
  <si>
    <t>Peroxisomal acyl-coenzyme A oxidase 2</t>
  </si>
  <si>
    <t>Tubulin-folding cofactor B</t>
  </si>
  <si>
    <t>Proteasome subunit beta type-7</t>
  </si>
  <si>
    <t>Isoform 3 of Ethanolamine-phosphate cytidylyltransferase</t>
  </si>
  <si>
    <t>Cell division cycle 5-like protein</t>
  </si>
  <si>
    <t>26S proteasome non-ATPase regulatory subunit 1</t>
  </si>
  <si>
    <t>Prefoldin subunit 5</t>
  </si>
  <si>
    <t>Platelet-activating factor acetylhydrolase 2, cytoplasmic</t>
  </si>
  <si>
    <t>D-aspartate oxidase</t>
  </si>
  <si>
    <t>Protein DJ-1</t>
  </si>
  <si>
    <t>Synaptic vesicle membrane protein VAT-1 homolog</t>
  </si>
  <si>
    <t>DnaJ homolog subfamily C member 2</t>
  </si>
  <si>
    <t>Nuclear pore complex protein Nup88</t>
  </si>
  <si>
    <t>Isoform 2 of Plakophilin-4</t>
  </si>
  <si>
    <t>Phosphoinositide 3-kinase regulatory subunit 4</t>
  </si>
  <si>
    <t>Ribonucleases P/MRP protein subunit POP1</t>
  </si>
  <si>
    <t>Protein S100-A13</t>
  </si>
  <si>
    <t>Isoform 2 of Protein SCAF11</t>
  </si>
  <si>
    <t>Translin-associated protein X</t>
  </si>
  <si>
    <t>Selenide, water dikinase 2</t>
  </si>
  <si>
    <t>Tetratricopeptide repeat protein 1</t>
  </si>
  <si>
    <t>DnaJ homolog subfamily C member 7</t>
  </si>
  <si>
    <t>Isoform 2 of COP9 signalosome complex subunit 8</t>
  </si>
  <si>
    <t>Monoglyceride lipase</t>
  </si>
  <si>
    <t>Methionine synthase</t>
  </si>
  <si>
    <t>3-hydroxyacyl-CoA dehydrogenase type-2</t>
  </si>
  <si>
    <t>Nucleosome assembly protein 1-like 4</t>
  </si>
  <si>
    <t>Thioredoxin, mitochondrial</t>
  </si>
  <si>
    <t>ATP synthase subunit s, mitochondrial</t>
  </si>
  <si>
    <t>Mitochondrial intermediate peptidase</t>
  </si>
  <si>
    <t>Aconitate hydratase, mitochondrial</t>
  </si>
  <si>
    <t>Isoform 2 of Ubiquinone biosynthesis protein COQ7 homolog</t>
  </si>
  <si>
    <t>T-complex protein 1 subunit eta</t>
  </si>
  <si>
    <t>Myeloid differentiation primary response protein MyD88</t>
  </si>
  <si>
    <t>Histone H2B type 1-L</t>
  </si>
  <si>
    <t>Isoform 4 of BAG family molecular chaperone regulator 1</t>
  </si>
  <si>
    <t>E3 ubiquitin-protein ligase RNF5</t>
  </si>
  <si>
    <t>Tyrosine-protein phosphatase non-receptor type 18</t>
  </si>
  <si>
    <t>Isoform 1 of Plakophilin-2</t>
  </si>
  <si>
    <t>Endophilin-A2</t>
  </si>
  <si>
    <t>Retinoic acid receptor responder protein 2</t>
  </si>
  <si>
    <t>Isoform 5 of A-kinase anchor protein 9</t>
  </si>
  <si>
    <t>Protein NipSnap homolog 1</t>
  </si>
  <si>
    <t>Actin-related protein 2/3 complex subunit 5-like protein</t>
  </si>
  <si>
    <t>Zinc phosphodiesterase ELAC protein 2</t>
  </si>
  <si>
    <t>Uncharacterized protein C19orf43</t>
  </si>
  <si>
    <t>O-acetyl-ADP-ribose deacetylase MACROD1</t>
  </si>
  <si>
    <t>Tubulin alpha-1C chain</t>
  </si>
  <si>
    <t>Apolipoprotein L2</t>
  </si>
  <si>
    <t>Myb-binding protein 1A</t>
  </si>
  <si>
    <t>Peroxisomal NADH pyrophosphatase NUDT12</t>
  </si>
  <si>
    <t>Phosphatidate phosphatase LPIN3</t>
  </si>
  <si>
    <t>FYVE and coiled-coil domain-containing protein 1</t>
  </si>
  <si>
    <t>Acyl-CoA-binding domain-containing protein 6</t>
  </si>
  <si>
    <t>Coronin-1B</t>
  </si>
  <si>
    <t>Thioredoxin domain-containing protein 17</t>
  </si>
  <si>
    <t>Calcineurin-like phosphoesterase domain-containing protein 1</t>
  </si>
  <si>
    <t>Vacuolar protein-sorting-associated protein 25</t>
  </si>
  <si>
    <t>45 kDa calcium-binding protein</t>
  </si>
  <si>
    <t>Proteasomal ATPase-associated factor 1</t>
  </si>
  <si>
    <t>Isoform 2 of Partner of Y14 and mago</t>
  </si>
  <si>
    <t>Migration and invasion enhancer 1</t>
  </si>
  <si>
    <t>Protein pelota homolog</t>
  </si>
  <si>
    <t>E3 ubiquitin-protein ligase TRIM56</t>
  </si>
  <si>
    <t>Endoplasmic reticulum resident protein 44</t>
  </si>
  <si>
    <t>Agmatinase, mitochondrial</t>
  </si>
  <si>
    <t>Translational activator of cytochrome c oxidase 1</t>
  </si>
  <si>
    <t>Haloacid dehalogenase-like hydrolase domain-containing protein 3</t>
  </si>
  <si>
    <t>Isoform 3 of Uncharacterized protein C17orf80</t>
  </si>
  <si>
    <t>Extended synaptotagmin-1</t>
  </si>
  <si>
    <t>Isoform 3 of Rhotekin</t>
  </si>
  <si>
    <t>Coiled-coil-helix-coiled-coil-helix domain-containing protein 5</t>
  </si>
  <si>
    <t>Protein canopy homolog 3</t>
  </si>
  <si>
    <t>Alpha-ketoglutarate-dependent dioxygenase alkB homolog 7</t>
  </si>
  <si>
    <t>Proteasome assembly chaperone 3</t>
  </si>
  <si>
    <t>COP9 signalosome complex subunit 4</t>
  </si>
  <si>
    <t>Death-inducer obliterator 1</t>
  </si>
  <si>
    <t>Isoform 2 of Mini-chromosome maintenance complex-binding protein</t>
  </si>
  <si>
    <t>Alanyl-tRNA editing protein Aarsd1</t>
  </si>
  <si>
    <t>RNMT-activating mini protein</t>
  </si>
  <si>
    <t>Isoform 3 of Acidic leucine-rich nuclear phosphoprotein 32 family member E</t>
  </si>
  <si>
    <t>Tubulin-specific chaperone D</t>
  </si>
  <si>
    <t>Alpha-tocopherol transfer protein-like</t>
  </si>
  <si>
    <t>Plasma alpha-L-fucosidase</t>
  </si>
  <si>
    <t>Protein FAM203A</t>
  </si>
  <si>
    <t>Dehydrogenase/reductase SDR family member 4</t>
  </si>
  <si>
    <t>Deoxyhypusine hydroxylase</t>
  </si>
  <si>
    <t>Iron-sulfur cluster assembly 1 homolog, mitochondrial</t>
  </si>
  <si>
    <t>Uncharacterized protein C9orf142</t>
  </si>
  <si>
    <t>Isoform 2 of Heterogeneous nuclear ribonucleoprotein U-like protein 1</t>
  </si>
  <si>
    <t>EF-hand domain-containing protein D1</t>
  </si>
  <si>
    <t>Probable ATP-dependent RNA helicase DDX23</t>
  </si>
  <si>
    <t>3-hydroxybutyrate dehydrogenase type 2</t>
  </si>
  <si>
    <t>Protein FAM195A</t>
  </si>
  <si>
    <t>Uncharacterized protein C1orf50</t>
  </si>
  <si>
    <t>Methylthioribose-1-phosphate isomerase</t>
  </si>
  <si>
    <t>THUMP domain-containing protein 3</t>
  </si>
  <si>
    <t>1,2-dihydroxy-3-keto-5-methylthiopentene dioxygenase</t>
  </si>
  <si>
    <t>Trans-2-enoyl-CoA reductase, mitochondrial</t>
  </si>
  <si>
    <t>N-terminal Xaa-Pro-Lys N-methyltransferase 1</t>
  </si>
  <si>
    <t>Protein PBDC1</t>
  </si>
  <si>
    <t>Dual specificity protein phosphatase 23</t>
  </si>
  <si>
    <t>Selenoprotein O</t>
  </si>
  <si>
    <t>Gamma-glutamylaminecyclotransferase</t>
  </si>
  <si>
    <t>tRNA (adenine(58)-N(1))-methyltransferase, mitochondrial</t>
  </si>
  <si>
    <t>DET1- and DDB1-associated protein 1</t>
  </si>
  <si>
    <t>Isoform 2 of HIRA-interacting protein 3</t>
  </si>
  <si>
    <t>Intraflagellar transport protein 27 homolog</t>
  </si>
  <si>
    <t>Coiled-coil domain-containing protein 94</t>
  </si>
  <si>
    <t>Isoform 2 of ADP-ribose pyrophosphatase, mitochondrial</t>
  </si>
  <si>
    <t>Threonine--tRNA ligase, mitochondrial</t>
  </si>
  <si>
    <t>Acetyl-CoA acetyltransferase, cytosolic</t>
  </si>
  <si>
    <t>Replication initiator 1</t>
  </si>
  <si>
    <t>Isoform 4 of RNA-binding protein 4</t>
  </si>
  <si>
    <t>Kanadaptin</t>
  </si>
  <si>
    <t>Isoform 9 of Sorbin and SH3 domain-containing protein 1</t>
  </si>
  <si>
    <t>Histidine triad nucleotide-binding protein 2, mitochondrial</t>
  </si>
  <si>
    <t>TBC1 domain family member 10A</t>
  </si>
  <si>
    <t>N-alpha-acetyltransferase 15, NatA auxiliary subunit</t>
  </si>
  <si>
    <t>Bcl-2-like protein 13</t>
  </si>
  <si>
    <t>Isoform 5 of Serrate RNA effector molecule homolog</t>
  </si>
  <si>
    <t>Queuine tRNA-ribosyltransferase</t>
  </si>
  <si>
    <t>Isoform 7 of Nucleolar and spindle-associated protein 1</t>
  </si>
  <si>
    <t>Isoform 3 of Serine/threonine-protein kinase 31</t>
  </si>
  <si>
    <t>Uncharacterized protein C14orf142</t>
  </si>
  <si>
    <t>Isoform 1 of Cat eye syndrome critical region protein 5</t>
  </si>
  <si>
    <t>Inosine triphosphate pyrophosphatase</t>
  </si>
  <si>
    <t>Protein RTF2 homolog</t>
  </si>
  <si>
    <t>Charged multivesicular body protein 4a</t>
  </si>
  <si>
    <t>Peroxisomal trans-2-enoyl-CoA reductase</t>
  </si>
  <si>
    <t>Uncharacterized protein KIAA1671</t>
  </si>
  <si>
    <t>39S ribosomal protein L1, mitochondrial</t>
  </si>
  <si>
    <t>28S ribosomal protein S26, mitochondrial</t>
  </si>
  <si>
    <t>Neurolysin, mitochondrial</t>
  </si>
  <si>
    <t>Alanine--glyoxylate aminotransferase 2, mitochondrial</t>
  </si>
  <si>
    <t>Isoform 4 of Beta,beta-carotene 9,10-oxygenase</t>
  </si>
  <si>
    <t>Isoform 2 of Pantothenate kinase 2, mitochondrial</t>
  </si>
  <si>
    <t>tRNA pseudouridine(38/39) synthase</t>
  </si>
  <si>
    <t>Tether containing UBX domain for GLUT4</t>
  </si>
  <si>
    <t>Isoform 3 of Diphthamide biosynthesis protein 1</t>
  </si>
  <si>
    <t>WD repeat-containing protein 11</t>
  </si>
  <si>
    <t>Isoform 2 of Regulator of nonsense transcripts 3B</t>
  </si>
  <si>
    <t>F-box-like/WD repeat-containing protein TBL1XR1</t>
  </si>
  <si>
    <t>Ubiquitin-like protein 5</t>
  </si>
  <si>
    <t>Protein phosphatase 1 regulatory subunit 12C</t>
  </si>
  <si>
    <t>Isoform 2 of Apoptosis inhibitor 5</t>
  </si>
  <si>
    <t>Protein dpy-30 homolog</t>
  </si>
  <si>
    <t>Tripartite motif-containing protein 2</t>
  </si>
  <si>
    <t>RING finger protein unkempt homolog</t>
  </si>
  <si>
    <t>Alpha-ketoglutarate-dependent dioxygenase FTO</t>
  </si>
  <si>
    <t>Isoform 2 of Palmitoyltransferase ZDHHC5</t>
  </si>
  <si>
    <t>182 kDa tankyrase-1-binding protein</t>
  </si>
  <si>
    <t>Ubiquitin-conjugating enzyme E2 O</t>
  </si>
  <si>
    <t>Isoform 4 of SRC kinase signaling inhibitor 1</t>
  </si>
  <si>
    <t>Myotubularin-related protein 12</t>
  </si>
  <si>
    <t>pre-mRNA 3 end processing protein WDR33</t>
  </si>
  <si>
    <t>PITH domain-containing protein 1</t>
  </si>
  <si>
    <t>COMM domain-containing protein 5</t>
  </si>
  <si>
    <t>Isoform 2 of SRA stem-loop-interacting RNA-binding protein, mitochondrial</t>
  </si>
  <si>
    <t>Isoform 2 of NIF3-like protein 1</t>
  </si>
  <si>
    <t>Isoform 2 of Egl nine homolog 1</t>
  </si>
  <si>
    <t>Protein FAM192A</t>
  </si>
  <si>
    <t>Ubiquitin-like modifier-activating enzyme 5</t>
  </si>
  <si>
    <t>Phospholysine phosphohistidine inorganic pyrophosphate phosphatase</t>
  </si>
  <si>
    <t>Polyadenylate-binding protein-interacting protein 1</t>
  </si>
  <si>
    <t>Protein FAM107B</t>
  </si>
  <si>
    <t>Integrin-linked kinase-associated serine/threonine phosphatase 2C</t>
  </si>
  <si>
    <t>5-3 exoribonuclease 2</t>
  </si>
  <si>
    <t>Toll-interacting protein</t>
  </si>
  <si>
    <t>Sharpin</t>
  </si>
  <si>
    <t>Nuclear speckle splicing regulatory protein 1</t>
  </si>
  <si>
    <t>Cleavage stimulation factor subunit 2 tau variant</t>
  </si>
  <si>
    <t>Isoform 1 of Cytosolic 5-nucleotidase 3A</t>
  </si>
  <si>
    <t>Glutamyl-tRNA(Gln) amidotransferase subunit A, mitochondrial</t>
  </si>
  <si>
    <t>Ras-related protein Rab-1B</t>
  </si>
  <si>
    <t>Ester hydrolase C11orf54</t>
  </si>
  <si>
    <t>Nuclear ubiquitous casein and cyclin-dependent kinase substrate 1</t>
  </si>
  <si>
    <t>Isoform 3 of Kinesin-like protein KIF13A</t>
  </si>
  <si>
    <t>Isoform 2 of Regulator of nonsense transcripts 3A</t>
  </si>
  <si>
    <t>Rabenosyn-5</t>
  </si>
  <si>
    <t>Iron-sulfur cluster assembly enzyme ISCU, mitochondrial</t>
  </si>
  <si>
    <t>Isoform 2 of Oxysterol-binding protein-related protein 2</t>
  </si>
  <si>
    <t>Autophagy protein 5</t>
  </si>
  <si>
    <t>WD repeat-containing protein 13</t>
  </si>
  <si>
    <t>Cytosolic beta-glucosidase</t>
  </si>
  <si>
    <t>Vacuolar protein sorting-associated protein 33B</t>
  </si>
  <si>
    <t>Aldehyde dehydrogenase family 8 member A1</t>
  </si>
  <si>
    <t>Isoform 1 of TRIO and F-actin-binding protein</t>
  </si>
  <si>
    <t>Isoform 2 of STE20-like serine/threonine-protein kinase</t>
  </si>
  <si>
    <t>Peptidyl-prolyl cis-trans isomerase-like 3</t>
  </si>
  <si>
    <t>S-methylmethionine--homocysteine S-methyltransferase BHMT2</t>
  </si>
  <si>
    <t>Rab3 GTPase-activating protein non-catalytic subunit</t>
  </si>
  <si>
    <t>Activity-dependent neuroprotector homeobox protein</t>
  </si>
  <si>
    <t>Isoform 3 of Probable ATP-dependent RNA helicase DHX36</t>
  </si>
  <si>
    <t>Inorganic pyrophosphatase 2, mitochondrial</t>
  </si>
  <si>
    <t>39S ribosomal protein L46, mitochondrial</t>
  </si>
  <si>
    <t>Pinin</t>
  </si>
  <si>
    <t>Probable serine carboxypeptidase CPVL</t>
  </si>
  <si>
    <t>UPF0696 protein C11orf68</t>
  </si>
  <si>
    <t>BolA-like protein 2</t>
  </si>
  <si>
    <t>Thioredoxin-related transmembrane protein 1</t>
  </si>
  <si>
    <t>Negative elongation factor A</t>
  </si>
  <si>
    <t>Golgi resident protein GCP60</t>
  </si>
  <si>
    <t>Tyrosine-protein phosphatase non-receptor type 23</t>
  </si>
  <si>
    <t>Isoform 2 of Protein unc-45 homolog A</t>
  </si>
  <si>
    <t>Pancreatic progenitor cell differentiation and proliferation factor</t>
  </si>
  <si>
    <t>Isoform 2 of Lck-interacting transmembrane adapter 1</t>
  </si>
  <si>
    <t>Charged multivesicular body protein 4b</t>
  </si>
  <si>
    <t>Fructosamine-3-kinase</t>
  </si>
  <si>
    <t>GDP-fucose protein O-fucosyltransferase 1</t>
  </si>
  <si>
    <t>Aminopeptidase B</t>
  </si>
  <si>
    <t>Probable tRNA threonylcarbamoyladenosine biosynthesis protein</t>
  </si>
  <si>
    <t>Zinc fingers and homeoboxes protein 3</t>
  </si>
  <si>
    <t>EH domain-containing protein 1</t>
  </si>
  <si>
    <t>Rab GTPase-binding effector protein 2</t>
  </si>
  <si>
    <t>Dimethyladenosine transferase 2, mitochondrial</t>
  </si>
  <si>
    <t>MIP18 family protein FAM96A</t>
  </si>
  <si>
    <t>Isoform 3 of Cytosolic Fe-S cluster assembly factor NARFL</t>
  </si>
  <si>
    <t>Acyl-CoA synthetase short-chain family member 3, mitochondrial</t>
  </si>
  <si>
    <t>Epidermal growth factor receptor kinase substrate 8-like protein 2</t>
  </si>
  <si>
    <t>Isoform 2 of Epithelial splicing regulatory protein 2</t>
  </si>
  <si>
    <t>Isoform 6 of Breast carcinoma-amplified sequence 3</t>
  </si>
  <si>
    <t>dCTP pyrophosphatase 1</t>
  </si>
  <si>
    <t>SH2 domain-containing protein 4A</t>
  </si>
  <si>
    <t>Mth938 domain-containing protein</t>
  </si>
  <si>
    <t>Dedicator of cytokinesis protein 5</t>
  </si>
  <si>
    <t>Isoform 3 of Tudor domain-containing protein 3</t>
  </si>
  <si>
    <t>Splicing factor, arginine/serine-rich 19</t>
  </si>
  <si>
    <t>Histone acetyltransferase KAT8</t>
  </si>
  <si>
    <t>Prostaglandin E synthase 2</t>
  </si>
  <si>
    <t>Phosphorylated adapter RNA export protein</t>
  </si>
  <si>
    <t>Ubiquitin-conjugating enzyme E2 Z</t>
  </si>
  <si>
    <t>Acyl-CoA dehydrogenase family member 9, mitochondrial</t>
  </si>
  <si>
    <t>Protein FAM188A</t>
  </si>
  <si>
    <t>MOB kinase activator 1A</t>
  </si>
  <si>
    <t>AN1-type zinc finger protein 3</t>
  </si>
  <si>
    <t>Pleckstrin homology domain-containing family F member 2</t>
  </si>
  <si>
    <t>Golgi reassembly-stacking protein 2</t>
  </si>
  <si>
    <t>Queuine tRNA-ribosyltransferase subunit QTRTD1</t>
  </si>
  <si>
    <t>UPF0364 protein C6orf211</t>
  </si>
  <si>
    <t>Pantothenate kinase 3</t>
  </si>
  <si>
    <t>Isoform 2 of CCR4-NOT transcription complex subunit 10</t>
  </si>
  <si>
    <t>Leucine-rich repeat-containing protein 40</t>
  </si>
  <si>
    <t>Isoform 4 of Histone-lysine N-methyltransferase EHMT1</t>
  </si>
  <si>
    <t>Isoform 2 of Spermatogenesis-defective protein 39 homolog</t>
  </si>
  <si>
    <t>Conserved oligomeric Golgi complex subunit 4</t>
  </si>
  <si>
    <t>Isoform 2 of Protein argonaute-3</t>
  </si>
  <si>
    <t>39S ribosomal protein L44, mitochondrial</t>
  </si>
  <si>
    <t>Isoform 2 of COP9 signalosome complex subunit 7b</t>
  </si>
  <si>
    <t>Calcium-binding protein 39-like</t>
  </si>
  <si>
    <t>Isoform 2 of Elongator complex protein 3</t>
  </si>
  <si>
    <t>Ketosamine-3-kinase</t>
  </si>
  <si>
    <t>TBC1 domain family member 17</t>
  </si>
  <si>
    <t>Probable cysteine--tRNA ligase, mitochondrial</t>
  </si>
  <si>
    <t>Phosphopantothenate--cysteine ligase</t>
  </si>
  <si>
    <t>Isoform 4 of CaiB/baiF CoA-transferase family protein C7orf10</t>
  </si>
  <si>
    <t>Nicotinamide mononucleotide adenylyltransferase 1</t>
  </si>
  <si>
    <t>MLX-interacting protein</t>
  </si>
  <si>
    <t>Sialate O-acetylesterase</t>
  </si>
  <si>
    <t>Pleckstrin homology domain-containing family A member 5</t>
  </si>
  <si>
    <t>Regulator of nonsense transcripts 2</t>
  </si>
  <si>
    <t>GrpE protein homolog 1, mitochondrial</t>
  </si>
  <si>
    <t>UPF0160 protein MYG1, mitochondrial</t>
  </si>
  <si>
    <t>Calcyclin-binding protein</t>
  </si>
  <si>
    <t>Ras-related GTP-binding protein C</t>
  </si>
  <si>
    <t>Isoform 2 of Zinc finger FYVE domain-containing protein 1</t>
  </si>
  <si>
    <t>Peptide deformylase, mitochondrial</t>
  </si>
  <si>
    <t>Arsenite methyltransferase</t>
  </si>
  <si>
    <t>NmrA-like family domain-containing protein 1</t>
  </si>
  <si>
    <t>Echinoderm microtubule-associated protein-like 4</t>
  </si>
  <si>
    <t>Isoform 2 of Glyoxalase domain-containing protein 4</t>
  </si>
  <si>
    <t>Spondin-1</t>
  </si>
  <si>
    <t>Methylcrotonoyl-CoA carboxylase beta chain, mitochondrial</t>
  </si>
  <si>
    <t>Methyltransferase-like protein 14</t>
  </si>
  <si>
    <t>Isoform 3 of Rho guanine nucleotide exchange factor 10-like protein</t>
  </si>
  <si>
    <t>Isoform 3 of GPN-loop GTPase 1</t>
  </si>
  <si>
    <t>Stromal cell-derived factor 2-like protein 1</t>
  </si>
  <si>
    <t>Steroid receptor RNA activator 1</t>
  </si>
  <si>
    <t>Isoform 2 of Golgi-associated PDZ and coiled-coil motif-containing protein</t>
  </si>
  <si>
    <t>Isoform 2 of 39S ribosomal protein L47, mitochondrial</t>
  </si>
  <si>
    <t>O-phosphoseryl-tRNA(Sec) selenium transferase</t>
  </si>
  <si>
    <t>Charged multivesicular body protein 1a</t>
  </si>
  <si>
    <t>Resistin</t>
  </si>
  <si>
    <t>Junctophilin-1</t>
  </si>
  <si>
    <t>ADP-ribosylation factor GTPase-activating protein 3</t>
  </si>
  <si>
    <t>Isoform 4 of Carbohydrate-responsive element-binding protein</t>
  </si>
  <si>
    <t>Ras-related protein Rab-18</t>
  </si>
  <si>
    <t>Palmdelphin</t>
  </si>
  <si>
    <t>Vacuolar protein sorting-associated protein VTA1 homolog</t>
  </si>
  <si>
    <t>Dynein light chain roadblock-type 1</t>
  </si>
  <si>
    <t>Isoform 2 of Enhancer of yellow 2 transcription factor homolog</t>
  </si>
  <si>
    <t>Exosome complex component RRP41</t>
  </si>
  <si>
    <t>Lysophosphatidic acid phosphatase type 6</t>
  </si>
  <si>
    <t>Acyl-coenzyme A thioesterase 13</t>
  </si>
  <si>
    <t>Isoform 2 of Mediator of RNA polymerase II transcription subunit 4</t>
  </si>
  <si>
    <t>Isoform 2 of Synembryn-A</t>
  </si>
  <si>
    <t>Fructose-2,6-bisphosphatase TIGAR</t>
  </si>
  <si>
    <t>Isoform 2 of APOBEC1 complementation factor</t>
  </si>
  <si>
    <t>Regulation of nuclear pre-mRNA domain-containing protein 1B</t>
  </si>
  <si>
    <t>Isoform 2 of Probable Xaa-Pro aminopeptidase 3</t>
  </si>
  <si>
    <t>Prefoldin subunit 4</t>
  </si>
  <si>
    <t>Omega-amidase NIT2</t>
  </si>
  <si>
    <t>Cell death regulator Aven</t>
  </si>
  <si>
    <t>Kinesin-like protein KIF13B</t>
  </si>
  <si>
    <t>Isoform 3 of Xaa-Pro aminopeptidase 1</t>
  </si>
  <si>
    <t>Gephyrin</t>
  </si>
  <si>
    <t>Baculoviral IAP repeat-containing protein 6</t>
  </si>
  <si>
    <t>Acetyl-coenzyme A synthetase, cytoplasmic</t>
  </si>
  <si>
    <t>Isoform 2 of Diablo homolog, mitochondrial</t>
  </si>
  <si>
    <t>GTP-binding protein SAR1a</t>
  </si>
  <si>
    <t>DNA polymerase epsilon subunit 4</t>
  </si>
  <si>
    <t>Sialic acid synthase</t>
  </si>
  <si>
    <t>Endophilin-B2</t>
  </si>
  <si>
    <t>Translation initiation factor eIF-2B subunit gamma</t>
  </si>
  <si>
    <t>CTP synthase 2</t>
  </si>
  <si>
    <t>DNA polymerase epsilon subunit 3</t>
  </si>
  <si>
    <t>Isoform 2 of Epimerase family protein SDR39U1</t>
  </si>
  <si>
    <t>L-aminoadipate-semialdehyde dehydrogenase-phosphopantetheinyl transferase</t>
  </si>
  <si>
    <t>Ubiquilin-4</t>
  </si>
  <si>
    <t>Heme-binding protein 1</t>
  </si>
  <si>
    <t>14 kDa phosphohistidine phosphatase</t>
  </si>
  <si>
    <t>SOSS complex subunit C</t>
  </si>
  <si>
    <t>Rho GTPase-activating protein 35</t>
  </si>
  <si>
    <t>Protein FAM114A2</t>
  </si>
  <si>
    <t>Glutaredoxin-2, mitochondrial</t>
  </si>
  <si>
    <t>LanC-like protein 2</t>
  </si>
  <si>
    <t>Isoleucine--tRNA ligase, mitochondrial</t>
  </si>
  <si>
    <t>Kinesin light chain 4</t>
  </si>
  <si>
    <t>Nuclear receptor-binding protein 2</t>
  </si>
  <si>
    <t>Isoform 2 of BMP-2-inducible protein kinase</t>
  </si>
  <si>
    <t>StAR-related lipid transfer protein 5</t>
  </si>
  <si>
    <t>Ubiquitin-like-conjugating enzyme ATG3</t>
  </si>
  <si>
    <t>NAD-dependent protein deacetylase sirtuin-3, mitochondrial</t>
  </si>
  <si>
    <t>Isoform 3 of Alpha-mannosidase 2C1</t>
  </si>
  <si>
    <t>Isoform 2 of Obg-like ATPase 1</t>
  </si>
  <si>
    <t>Obg-like ATPase 1</t>
  </si>
  <si>
    <t>Isoform 6 of Ethylmalonyl-CoA decarboxylase</t>
  </si>
  <si>
    <t>RNA-binding protein 12</t>
  </si>
  <si>
    <t>LYR motif-containing protein 2</t>
  </si>
  <si>
    <t>Isoform 3 of Acetyl-coenzyme A synthetase 2-like, mitochondrial</t>
  </si>
  <si>
    <t>Peroxisomal 2,4-dienoyl-CoA reductase</t>
  </si>
  <si>
    <t>Mycophenolic acid acyl-glucuronide esterase, mitochondrial</t>
  </si>
  <si>
    <t>Isoform 4 of UPF0515 protein C19orf66</t>
  </si>
  <si>
    <t>Biogenesis of lysosome-related organelles complex 1 subunit 4</t>
  </si>
  <si>
    <t>Isoform 2 of Gamma-taxilin</t>
  </si>
  <si>
    <t>SPATS2-like protein</t>
  </si>
  <si>
    <t>Isoform 2 of ATP-binding cassette sub-family F member 3</t>
  </si>
  <si>
    <t>Protein FAM49B</t>
  </si>
  <si>
    <t>GTPase IMAP family member 4</t>
  </si>
  <si>
    <t>Isoform 2 of TBC1 domain family member 23</t>
  </si>
  <si>
    <t>Isoform 2 of Exocyst complex component 1</t>
  </si>
  <si>
    <t>Alpha-parvin</t>
  </si>
  <si>
    <t>Pantothenate kinase 4</t>
  </si>
  <si>
    <t>Ethanolamine kinase 2</t>
  </si>
  <si>
    <t>TBC1 domain family member 13</t>
  </si>
  <si>
    <t>Trimethyllysine dioxygenase, mitochondrial</t>
  </si>
  <si>
    <t>Pyridoxine-5-phosphate oxidase</t>
  </si>
  <si>
    <t>Armadillo repeat-containing protein 1</t>
  </si>
  <si>
    <t>Notchless protein homolog 1</t>
  </si>
  <si>
    <t>Adaptin ear-binding coat-associated protein 2</t>
  </si>
  <si>
    <t>Pre-mRNA-splicing factor RBM22</t>
  </si>
  <si>
    <t>Isoform 4 of BSD domain-containing protein 1</t>
  </si>
  <si>
    <t>WD repeat-containing protein 70</t>
  </si>
  <si>
    <t>Isoform 2 of Arginine and glutamate-rich protein 1</t>
  </si>
  <si>
    <t>SAFB-like transcription modulator</t>
  </si>
  <si>
    <t>Aurora kinase A-interacting protein</t>
  </si>
  <si>
    <t>3-oxoacyl-[acyl-carrier-protein] synthase, mitochondrial</t>
  </si>
  <si>
    <t>UPF0587 protein C1orf123</t>
  </si>
  <si>
    <t>Nicotinamide riboside kinase 1</t>
  </si>
  <si>
    <t>UPF0609 protein C4orf27</t>
  </si>
  <si>
    <t>Interleukin-1 receptor-associated kinase 4</t>
  </si>
  <si>
    <t>Protein FAM206A</t>
  </si>
  <si>
    <t>Poly(ADP-ribose) glycohydrolase ARH3</t>
  </si>
  <si>
    <t>Huntingtin-interacting protein K</t>
  </si>
  <si>
    <t>NAD-dependent protein deacylase sirtuin-5, mitochondrial</t>
  </si>
  <si>
    <t>Myotubularin-related protein 10</t>
  </si>
  <si>
    <t>THUMP domain-containing protein 1</t>
  </si>
  <si>
    <t>Isoform 2 of tRNA (guanine(26)-N(2))-dimethyltransferase</t>
  </si>
  <si>
    <t>Isoform 4 of BRCA1-A complex subunit BRE</t>
  </si>
  <si>
    <t>ADP-ribosylation factor-like protein 15</t>
  </si>
  <si>
    <t>CDKN2A-interacting protein</t>
  </si>
  <si>
    <t>DnaJ homolog subfamily B member 12</t>
  </si>
  <si>
    <t>Serine/threonine-protein phosphatase 4 regulatory subunit 2</t>
  </si>
  <si>
    <t>Isoform 4 of Dipeptidyl peptidase 3</t>
  </si>
  <si>
    <t>Isoform 2 of Bcl-2-associated transcription factor 1</t>
  </si>
  <si>
    <t>Cytochrome c oxidase assembly factor 4 homolog, mitochondrial</t>
  </si>
  <si>
    <t>Isoform 2 of Mitogen-activated protein kinase kinase kinase MLT</t>
  </si>
  <si>
    <t>Mitogen-activated protein kinase kinase kinase MLT</t>
  </si>
  <si>
    <t>Tropomodulin-3</t>
  </si>
  <si>
    <t>Hydroxyacid oxidase 2</t>
  </si>
  <si>
    <t>Isoform 2 of UDP-glucose:glycoprotein glucosyltransferase 1</t>
  </si>
  <si>
    <t>Isoform 2 of FAST kinase domain-containing protein 2</t>
  </si>
  <si>
    <t>Endoplasmic reticulum aminopeptidase 1</t>
  </si>
  <si>
    <t>Actin-related protein 10</t>
  </si>
  <si>
    <t>Uncharacterized protein C9orf78</t>
  </si>
  <si>
    <t>Constitutive coactivator of PPAR-gamma-like protein 1</t>
  </si>
  <si>
    <t>Isoform 6 of Molybdenum cofactor biosynthesis protein 1</t>
  </si>
  <si>
    <t>Hexaprenyldihydroxybenzoate methyltransferase, mitochondrial</t>
  </si>
  <si>
    <t>Diphosphoinositol polyphosphate phosphohydrolase 2</t>
  </si>
  <si>
    <t>Hsp70-binding protein 1</t>
  </si>
  <si>
    <t>Methionine adenosyltransferase 2 subunit beta</t>
  </si>
  <si>
    <t>Isoform 2 of Intersectin-2</t>
  </si>
  <si>
    <t>Isoform 2 of Rho guanine nucleotide exchange factor 12</t>
  </si>
  <si>
    <t>Isoform 4 of CCR4-NOT transcription complex subunit 2</t>
  </si>
  <si>
    <t>Isoform 3 of Aryl-hydrocarbon-interacting protein-like 1</t>
  </si>
  <si>
    <t>Complement C1r subcomponent-like protein</t>
  </si>
  <si>
    <t>Isoform 2 of Opioid growth factor receptor</t>
  </si>
  <si>
    <t>LIM and cysteine-rich domains protein 1</t>
  </si>
  <si>
    <t>Charged multivesicular body protein 5</t>
  </si>
  <si>
    <t>COMM domain-containing protein 9</t>
  </si>
  <si>
    <t>Spliceosome-associated protein CWC15 homolog</t>
  </si>
  <si>
    <t>Thymocyte nuclear protein 1</t>
  </si>
  <si>
    <t>NADH dehydrogenase [ubiquinone] 1 alpha subcomplex assembly factor 4</t>
  </si>
  <si>
    <t>[Pyruvate dehydrogenase [acetyl-transferring]]-phosphatase 1, mitochondrial</t>
  </si>
  <si>
    <t>Isoform 3 of Ankycorbin</t>
  </si>
  <si>
    <t>Vesicle-associated membrane protein-associated protein A</t>
  </si>
  <si>
    <t>Uncharacterized protein C6orf203</t>
  </si>
  <si>
    <t>GSK3-beta interaction protein</t>
  </si>
  <si>
    <t>Peroxisomal sarcosine oxidase</t>
  </si>
  <si>
    <t>Costars family protein ABRACL</t>
  </si>
  <si>
    <t>Calmodulin-regulated spectrin-associated protein 3</t>
  </si>
  <si>
    <t>Isoform 2 of Calcium-binding and coiled-coil domain-containing protein 1</t>
  </si>
  <si>
    <t>Isoform 2 of Uncharacterized protein KIAA1522</t>
  </si>
  <si>
    <t>Disco-interacting protein 2 homolog B</t>
  </si>
  <si>
    <t>Junctional protein associated with coronary artery disease</t>
  </si>
  <si>
    <t>SLAIN motif-containing protein 2</t>
  </si>
  <si>
    <t>BRCA2 and CDKN1A-interacting protein</t>
  </si>
  <si>
    <t>Coatomer subunit zeta-2</t>
  </si>
  <si>
    <t>Isoform 3 of HEAT repeat-containing protein 5B</t>
  </si>
  <si>
    <t>Isoform 1 of Ribosome-binding protein 1</t>
  </si>
  <si>
    <t>Ribosome-binding protein 1</t>
  </si>
  <si>
    <t>Cingulin</t>
  </si>
  <si>
    <t>RNA-binding protein 27</t>
  </si>
  <si>
    <t>Ankyrin repeat and FYVE domain-containing protein 1</t>
  </si>
  <si>
    <t>Protein IMPACT</t>
  </si>
  <si>
    <t>Ataxin-10</t>
  </si>
  <si>
    <t>Methyl-CpG-binding domain protein 2</t>
  </si>
  <si>
    <t>Isoform 3 of Epidermal growth factor receptor substrate 15-like 1</t>
  </si>
  <si>
    <t>SUMO-activating enzyme subunit 1</t>
  </si>
  <si>
    <t>Coatomer subunit gamma-2</t>
  </si>
  <si>
    <t>RING-box protein 2</t>
  </si>
  <si>
    <t>Isoform B of Methionine synthase reductase</t>
  </si>
  <si>
    <t>Isoform 2 of Set1/Ash2 histone methyltransferase complex subunit ASH2</t>
  </si>
  <si>
    <t>Histone deacetylase 6</t>
  </si>
  <si>
    <t>tRNA (guanine-N(7)-)-methyltransferase</t>
  </si>
  <si>
    <t>Vacuolar protein sorting-associated protein 29</t>
  </si>
  <si>
    <t>Glyoxylate reductase/hydroxypyruvate reductase</t>
  </si>
  <si>
    <t>Beta-ureidopropionase</t>
  </si>
  <si>
    <t>Cathepsin Z</t>
  </si>
  <si>
    <t>DnaJ homolog subfamily B member 11</t>
  </si>
  <si>
    <t>E3 ubiquitin-protein ligase RNF14</t>
  </si>
  <si>
    <t>SUMO-activating enzyme subunit 2</t>
  </si>
  <si>
    <t>Peflin</t>
  </si>
  <si>
    <t>COP9 signalosome complex subunit 7a</t>
  </si>
  <si>
    <t>Cathepsin F</t>
  </si>
  <si>
    <t>Alpha-aminoadipic semialdehyde synthase, mitochondrial</t>
  </si>
  <si>
    <t>Isoform 2 of SEC14-like protein 4</t>
  </si>
  <si>
    <t>Isoform C1 of Tight junction protein ZO-2</t>
  </si>
  <si>
    <t>Craniofacial development protein 1</t>
  </si>
  <si>
    <t>Vesicle transport through interaction with t-SNAREs homolog 1B</t>
  </si>
  <si>
    <t>Isoform 1 of Gamma-adducin</t>
  </si>
  <si>
    <t>Protein NipSnap homolog 3A</t>
  </si>
  <si>
    <t>CGG triplet repeat-binding protein 1</t>
  </si>
  <si>
    <t>Peptide chain release factor 1-like, mitochondrial</t>
  </si>
  <si>
    <t>Testin</t>
  </si>
  <si>
    <t>Isoform C of 5-AMP-activated protein kinase subunit gamma-2</t>
  </si>
  <si>
    <t>LIM domain-containing protein 1</t>
  </si>
  <si>
    <t>Switch-associated protein 70</t>
  </si>
  <si>
    <t>Ragulator complex protein LAMTOR3</t>
  </si>
  <si>
    <t>LIM domain and actin-binding protein 1</t>
  </si>
  <si>
    <t>Signal recognition particle subunit SRP68</t>
  </si>
  <si>
    <t>Cysteine and histidine-rich domain-containing protein 1</t>
  </si>
  <si>
    <t>Septin-9</t>
  </si>
  <si>
    <t>Ubiquilin-2</t>
  </si>
  <si>
    <t>Sedoheptulokinase</t>
  </si>
  <si>
    <t>Dipeptidyl peptidase 2</t>
  </si>
  <si>
    <t>DNA polymerase subunit gamma-2, mitochondrial</t>
  </si>
  <si>
    <t>Prefoldin subunit 2</t>
  </si>
  <si>
    <t>Isoform 4 of Poly(U)-binding-splicing factor PUF60</t>
  </si>
  <si>
    <t>Enolase-phosphatase E1</t>
  </si>
  <si>
    <t>Ena/VASP-like protein</t>
  </si>
  <si>
    <t>Isoform 3 of Translation initiation factor eIF-2B subunit delta</t>
  </si>
  <si>
    <t>Translation initiation factor eIF-2B subunit delta</t>
  </si>
  <si>
    <t>Isoform 2 of V-type proton ATPase subunit H</t>
  </si>
  <si>
    <t>Dimethylglycine dehydrogenase, mitochondrial</t>
  </si>
  <si>
    <t>Glutaminase liver isoform, mitochondrial</t>
  </si>
  <si>
    <t>Exportin-7</t>
  </si>
  <si>
    <t>Isoform 2 of Vacuolar protein sorting-associated protein 51 homolog</t>
  </si>
  <si>
    <t>ATPase inhibitor, mitochondrial</t>
  </si>
  <si>
    <t>GTP:AMP phosphotransferase AK3, mitochondrial</t>
  </si>
  <si>
    <t>Isoform 2 of CCR4-NOT transcription complex subunit 7</t>
  </si>
  <si>
    <t>Potassium voltage-gated channel subfamily G member 1</t>
  </si>
  <si>
    <t>Isoform 2 of Rab5 GDP/GTP exchange factor</t>
  </si>
  <si>
    <t>Isoform 5 of Mitochondrial peptide methionine sulfoxide reductase</t>
  </si>
  <si>
    <t>N-acetyl-D-glucosamine kinase</t>
  </si>
  <si>
    <t>Isoform 2 of tRNA (adenine(58)-N(1))-methyltransferase non-catalytic subunit TRM6</t>
  </si>
  <si>
    <t>SH3 domain-binding glutamic acid-rich-like protein 2</t>
  </si>
  <si>
    <t>ERBB receptor feedback inhibitor 1</t>
  </si>
  <si>
    <t>Hydroxyacid oxidase 1</t>
  </si>
  <si>
    <t>Drebrin-like protein</t>
  </si>
  <si>
    <t>Dynactin subunit 4</t>
  </si>
  <si>
    <t>Isoform 4 of ADP-ribosylation factor-binding protein GGA1</t>
  </si>
  <si>
    <t>F-box only protein 2</t>
  </si>
  <si>
    <t>Vacuolar protein sorting-associated protein 28 homolog</t>
  </si>
  <si>
    <t>Lariat debranching enzyme</t>
  </si>
  <si>
    <t>Isoform 2 of F-box only protein 3</t>
  </si>
  <si>
    <t>Isoform B of DnaJ homolog subfamily C member 12</t>
  </si>
  <si>
    <t>Isoform 8 of TRAF2 and NCK-interacting protein kinase</t>
  </si>
  <si>
    <t>DCC-interacting protein 13-alpha</t>
  </si>
  <si>
    <t>Peroxisomal carnitine O-octanoyltransferase</t>
  </si>
  <si>
    <t>G patch domain-containing protein 8</t>
  </si>
  <si>
    <t>ADP-sugar pyrophosphatase</t>
  </si>
  <si>
    <t>Phosphatidylcholine transfer protein</t>
  </si>
  <si>
    <t>Protein kinase C and casein kinase substrate in neurons protein 3</t>
  </si>
  <si>
    <t>F-box only protein 4</t>
  </si>
  <si>
    <t>Isobutyryl-CoA dehydrogenase, mitochondrial</t>
  </si>
  <si>
    <t>Protein argonaute-2</t>
  </si>
  <si>
    <t>Nuclear pore complex protein Nup50</t>
  </si>
  <si>
    <t>Protein CDV3 homolog</t>
  </si>
  <si>
    <t>Sarcosine dehydrogenase, mitochondrial</t>
  </si>
  <si>
    <t>Ras-related protein Rab-21</t>
  </si>
  <si>
    <t>Ras-related protein Rab-22A</t>
  </si>
  <si>
    <t>Paraneoplastic antigen Ma2</t>
  </si>
  <si>
    <t>Proteasome activator complex subunit 2</t>
  </si>
  <si>
    <t>Aspartyl aminopeptidase</t>
  </si>
  <si>
    <t>Malignant T-cell-amplified sequence 1</t>
  </si>
  <si>
    <t>Long-chain-fatty-acid--CoA ligase 5</t>
  </si>
  <si>
    <t>2-oxoglutarate dehydrogenase-like, mitochondrial</t>
  </si>
  <si>
    <t>Isoform 2 of Microtubule-associated tumor suppressor 1</t>
  </si>
  <si>
    <t>Isoform 4 of MKL/myocardin-like protein 2</t>
  </si>
  <si>
    <t>Isoform 2 of TBC1 domain family member 24</t>
  </si>
  <si>
    <t>E3 ubiquitin-protein ligase HECTD1</t>
  </si>
  <si>
    <t>Coronin-1C</t>
  </si>
  <si>
    <t>Isoform 2 of Mammalian ependymin-related protein 1</t>
  </si>
  <si>
    <t>Isoform 2 of ATP-dependent RNA helicase DDX19B</t>
  </si>
  <si>
    <t>Isoform 3 of NFU1 iron-sulfur cluster scaffold homolog, mitochondrial</t>
  </si>
  <si>
    <t>Pre-mRNA-processing factor 19</t>
  </si>
  <si>
    <t>Isoform 2 of Ubiquilin-1</t>
  </si>
  <si>
    <t>Neudesin</t>
  </si>
  <si>
    <t>Isoform 2 of Sorting nexin-12</t>
  </si>
  <si>
    <t>Isoform 5 of Synergin gamma</t>
  </si>
  <si>
    <t>Protein NDRG2</t>
  </si>
  <si>
    <t>Ras GTPase-activating protein-binding protein 2</t>
  </si>
  <si>
    <t>E3 ubiquitin-protein ligase CHIP</t>
  </si>
  <si>
    <t>Isoform 2 of Protein kinase C and casein kinase substrate in neurons protein 2</t>
  </si>
  <si>
    <t>Melanoma-associated antigen D2</t>
  </si>
  <si>
    <t>Sorting nexin-6</t>
  </si>
  <si>
    <t>26S proteasome non-ATPase regulatory subunit 13</t>
  </si>
  <si>
    <t>FAS-associated factor 1</t>
  </si>
  <si>
    <t>COP9 signalosome complex subunit 3</t>
  </si>
  <si>
    <t>NSFL1 cofactor p47</t>
  </si>
  <si>
    <t>Conserved oligomeric Golgi complex subunit 5</t>
  </si>
  <si>
    <t>Protein SCAF8</t>
  </si>
  <si>
    <t>Serine/threonine-protein phosphatase 6 regulatory subunit 1</t>
  </si>
  <si>
    <t>Isoform Beta of E3 ubiquitin-protein ligase TRIM33</t>
  </si>
  <si>
    <t>Isoform 2 of Trinucleotide repeat-containing gene 6B protein</t>
  </si>
  <si>
    <t>Isoform 2 of Exocyst complex component 7</t>
  </si>
  <si>
    <t>Ubiquitin carboxyl-terminal hydrolase 24</t>
  </si>
  <si>
    <t>Isoform 2 of TBC1 domain family member 2B</t>
  </si>
  <si>
    <t>Isoform 2 of Endoribonuclease Dicer</t>
  </si>
  <si>
    <t>Isoform 2 of Microtubule-associated protein RP/EB family member 3</t>
  </si>
  <si>
    <t>Serine/arginine repetitive matrix protein 2</t>
  </si>
  <si>
    <t>Proliferation-associated protein 2G4</t>
  </si>
  <si>
    <t>Isoform SV3 of Cyclin-dependent kinase 11A</t>
  </si>
  <si>
    <t>Isoform 5 of Brain-specific angiogenesis inhibitor 1-associated protein 2</t>
  </si>
  <si>
    <t>Structural maintenance of chromosomes protein 3</t>
  </si>
  <si>
    <t>Charged multivesicular body protein 2b</t>
  </si>
  <si>
    <t>Myotubularin-related protein 6</t>
  </si>
  <si>
    <t>Bifunctional UDP-N-acetylglucosamine 2-epimerase/N-acetylmannosamine kinase</t>
  </si>
  <si>
    <t>UPF0568 protein C14orf166</t>
  </si>
  <si>
    <t>RuvB-like 2</t>
  </si>
  <si>
    <t>Peptidyl-prolyl cis-trans isomerase NIMA-interacting 4</t>
  </si>
  <si>
    <t>Choline/ethanolamine kinase</t>
  </si>
  <si>
    <t>Isoform 2 of Eukaryotic translation initiation factor 3 subunit L</t>
  </si>
  <si>
    <t>Phospholipase A-2-activating protein</t>
  </si>
  <si>
    <t>RuvB-like 1</t>
  </si>
  <si>
    <t>Nuclear migration protein nudC</t>
  </si>
  <si>
    <t>Cofilin-2</t>
  </si>
  <si>
    <t>Developmentally-regulated GTP-binding protein 1</t>
  </si>
  <si>
    <t>Nck-associated protein 1</t>
  </si>
  <si>
    <t>Protein canopy homolog 2</t>
  </si>
  <si>
    <t>Exocyst complex component 6B</t>
  </si>
  <si>
    <t>Isoform 4 of A-kinase anchor protein 2</t>
  </si>
  <si>
    <t>Disco-interacting protein 2 homolog C</t>
  </si>
  <si>
    <t>Pleckstrin homology domain-containing family A member 6</t>
  </si>
  <si>
    <t>Isoform 4 of Nischarin</t>
  </si>
  <si>
    <t>Isoform 2 of Trafficking protein particle complex subunit 8</t>
  </si>
  <si>
    <t>Bile acyl-CoA synthetase</t>
  </si>
  <si>
    <t>Glutathione S-transferase kappa 1</t>
  </si>
  <si>
    <t>Ragulator complex protein LAMTOR2</t>
  </si>
  <si>
    <t>28S ribosomal protein S28, mitochondrial</t>
  </si>
  <si>
    <t>Lambda-crystallin homolog</t>
  </si>
  <si>
    <t>Translation machinery-associated protein 7</t>
  </si>
  <si>
    <t>Polymerase delta-interacting protein 2</t>
  </si>
  <si>
    <t>AP-3 complex subunit mu-1</t>
  </si>
  <si>
    <t>Isoform 3 of Guanine deaminase</t>
  </si>
  <si>
    <t>Calcium-regulated heat stable protein 1</t>
  </si>
  <si>
    <t>Isoform 2 of Conserved oligomeric Golgi complex subunit 6</t>
  </si>
  <si>
    <t>Thyroid hormone receptor-associated protein 3</t>
  </si>
  <si>
    <t>Suppressor of G2 allele of SKP1 homolog</t>
  </si>
  <si>
    <t>Isoform 5 of Protein MTO1 homolog, mitochondrial</t>
  </si>
  <si>
    <t>Tyrosine--tRNA ligase, mitochondrial</t>
  </si>
  <si>
    <t>Putative N-acetylglucosamine-6-phosphate deacetylase</t>
  </si>
  <si>
    <t>Acyl-coenzyme A thioesterase 9, mitochondrial</t>
  </si>
  <si>
    <t>Protein AAR2 homolog</t>
  </si>
  <si>
    <t>Nitric oxide synthase-interacting protein</t>
  </si>
  <si>
    <t>Putative deoxyribose-phosphate aldolase</t>
  </si>
  <si>
    <t>Protein MEMO1</t>
  </si>
  <si>
    <t>U6 snRNA-associated Sm-like protein LSm2</t>
  </si>
  <si>
    <t>Endophilin-B1</t>
  </si>
  <si>
    <t>Calcium-binding protein 39</t>
  </si>
  <si>
    <t>Putative RNA-binding protein Luc7-like 2</t>
  </si>
  <si>
    <t>Ubiquitin-conjugating enzyme E2 J1</t>
  </si>
  <si>
    <t>28S ribosomal protein S2, mitochondrial</t>
  </si>
  <si>
    <t>Ribosome maturation protein SBDS</t>
  </si>
  <si>
    <t>RRP15-like protein</t>
  </si>
  <si>
    <t>Nucleolar protein 16</t>
  </si>
  <si>
    <t>Isoform 2 of TP53RK-binding protein</t>
  </si>
  <si>
    <t>Peptidyl-prolyl cis-trans isomerase-like 1</t>
  </si>
  <si>
    <t>Ubiquitin-fold modifier-conjugating enzyme 1</t>
  </si>
  <si>
    <t>Mitotic spindle-associated MMXD complex subunit MIP18</t>
  </si>
  <si>
    <t>Methionine-R-sulfoxide reductase B2, mitochondrial</t>
  </si>
  <si>
    <t>28S ribosomal protein S16, mitochondrial</t>
  </si>
  <si>
    <t>Mitochondrial fission 1 protein</t>
  </si>
  <si>
    <t>BolA-like protein 1</t>
  </si>
  <si>
    <t>Serine-threonine kinase receptor-associated protein</t>
  </si>
  <si>
    <t>tRNA-splicing ligase RtcB homolog</t>
  </si>
  <si>
    <t>Isoform 3 of F-box only protein 7</t>
  </si>
  <si>
    <t>Ras-related protein Rap-2c</t>
  </si>
  <si>
    <t>Rab GTPase-activating protein 1</t>
  </si>
  <si>
    <t>Isoform 2 of Protein dopey-2</t>
  </si>
  <si>
    <t>Zinc finger protein 330</t>
  </si>
  <si>
    <t>Nucleolar complex protein 2 homolog</t>
  </si>
  <si>
    <t>Coiled-coil domain-containing protein 9</t>
  </si>
  <si>
    <t>Isoform 3 of Chromatin target of PRMT1 protein</t>
  </si>
  <si>
    <t>Isoform 4 of Deoxynucleoside triphosphate triphosphohydrolase SAMHD1</t>
  </si>
  <si>
    <t>Plakophilin-3</t>
  </si>
  <si>
    <t>5-AMP-activated protein kinase subunit beta-1</t>
  </si>
  <si>
    <t>Talin-1</t>
  </si>
  <si>
    <t>Isoform 3 of Protein VPRBP</t>
  </si>
  <si>
    <t>Isoform 2 of Protein FAM115A</t>
  </si>
  <si>
    <t>Ubiquitin carboxyl-terminal hydrolase 15</t>
  </si>
  <si>
    <t>FERM, RhoGEF and pleckstrin domain-containing protein 1</t>
  </si>
  <si>
    <t>Talin-2</t>
  </si>
  <si>
    <t>Insulin receptor substrate 2</t>
  </si>
  <si>
    <t>Absent in melanoma 1 protein</t>
  </si>
  <si>
    <t>TNF receptor-associated factor 6</t>
  </si>
  <si>
    <t>Isoform 3 of WD repeat domain phosphoinositide-interacting protein 2</t>
  </si>
  <si>
    <t>E3 ubiquitin-protein ligase ARIH1</t>
  </si>
  <si>
    <t>U6 snRNA-associated Sm-like protein LSm4</t>
  </si>
  <si>
    <t>Isoform 4 of Protein PRRC2C</t>
  </si>
  <si>
    <t>Protein phosphatase methylesterase 1</t>
  </si>
  <si>
    <t>Isoform 2 of NEDD8 ultimate buster 1</t>
  </si>
  <si>
    <t>Isoform 2 of YTH domain family protein 2</t>
  </si>
  <si>
    <t>RNA polymerase II subunit A C-terminal domain phosphatase</t>
  </si>
  <si>
    <t>Mitochondrial import inner membrane translocase subunit Tim9</t>
  </si>
  <si>
    <t>Mitochondrial import inner membrane translocase subunit Tim8 B</t>
  </si>
  <si>
    <t>Isoform 2 of Ubiquitin carboxyl-terminal hydrolase isozyme L5</t>
  </si>
  <si>
    <t>CD2-associated protein</t>
  </si>
  <si>
    <t>V-type proton ATPase subunit D</t>
  </si>
  <si>
    <t>Transportin-3</t>
  </si>
  <si>
    <t>Mitochondrial import inner membrane translocase subunit Tim13</t>
  </si>
  <si>
    <t>Isoform 2 of Collagen type IV alpha-3-binding protein</t>
  </si>
  <si>
    <t>Mannose-1-phosphate guanyltransferase beta</t>
  </si>
  <si>
    <t>Serine/threonine-protein kinase MRCK beta</t>
  </si>
  <si>
    <t>RNA-binding protein 8A</t>
  </si>
  <si>
    <t>Sorting nexin-9</t>
  </si>
  <si>
    <t>Sorting nexin-5</t>
  </si>
  <si>
    <t>Heme-binding protein 2</t>
  </si>
  <si>
    <t>Isoform 4 of Leucine-rich repeat flightless-interacting protein 2</t>
  </si>
  <si>
    <t>Phosphoserine aminotransferase</t>
  </si>
  <si>
    <t>Carboxypeptidase Q</t>
  </si>
  <si>
    <t>Coatomer subunit gamma-1</t>
  </si>
  <si>
    <t>Isoform 3 of Peptidyl-prolyl cis-trans isomerase FKBP7</t>
  </si>
  <si>
    <t>Chloride intracellular channel protein 4</t>
  </si>
  <si>
    <t>Isoform Cytoplasmic of Cysteine desulfurase, mitochondrial</t>
  </si>
  <si>
    <t>Brefeldin A-inhibited guanine nucleotide-exchange protein 2</t>
  </si>
  <si>
    <t>Brefeldin A-inhibited guanine nucleotide-exchange protein 1</t>
  </si>
  <si>
    <t>COMM domain-containing protein 10</t>
  </si>
  <si>
    <t>Cytoplasmic dynein 1 light intermediate chain 1</t>
  </si>
  <si>
    <t>Coiled-coil-helix-coiled-coil-helix domain-containing protein 2, mitochondrial</t>
  </si>
  <si>
    <t>Isoform 3 of Epsin-1</t>
  </si>
  <si>
    <t>Testis-expressed sequence 264 protein</t>
  </si>
  <si>
    <t>2-5-oligoadenylate synthase 3</t>
  </si>
  <si>
    <t>NF-kappa-B essential modulator</t>
  </si>
  <si>
    <t>Sulfide:quinone oxidoreductase, mitochondrial</t>
  </si>
  <si>
    <t>Isoform 2 of Protein piccolo</t>
  </si>
  <si>
    <t>Calpain-7</t>
  </si>
  <si>
    <t>Wiskott-Aldrich syndrome protein family member 2</t>
  </si>
  <si>
    <t>Zinc fingers and homeoboxes protein 2</t>
  </si>
  <si>
    <t>Centromere/kinetochore protein zw10 homolog</t>
  </si>
  <si>
    <t>Negative elongation factor E (Fragment)</t>
  </si>
  <si>
    <t>Exosome complex component RRP4</t>
  </si>
  <si>
    <t>RAB3GAP1 protein</t>
  </si>
  <si>
    <t>Proline-rich protein PRCC</t>
  </si>
  <si>
    <t>Hematological and neurological-expressed 1-like protein</t>
  </si>
  <si>
    <t>Zinc finger MYM-type protein 3</t>
  </si>
  <si>
    <t>Chromosome 1 open reading frame 41, isoform CRA_b</t>
  </si>
  <si>
    <t>Diaphanous homolog 2 (Drosophila), isoform CRA_c</t>
  </si>
  <si>
    <t>Down syndrome critical region protein 3</t>
  </si>
  <si>
    <t>NEDD8-activating enzyme E1 regulatory subunit</t>
  </si>
  <si>
    <t>Protein Hook homolog 1</t>
  </si>
  <si>
    <t>Tubulin alpha-4A chain</t>
  </si>
  <si>
    <t>Activating transcription factor 7-interacting protein 1 (Fragment)</t>
  </si>
  <si>
    <t>Geranylgeranyl diphosphate synthase 1, isoform CRA_b</t>
  </si>
  <si>
    <t>Serine/arginine repetitive matrix protein 1</t>
  </si>
  <si>
    <t>HLA-B associated transcript 3, isoform CRA_a</t>
  </si>
  <si>
    <t>Proteasome subunit beta type</t>
  </si>
  <si>
    <t>Capping protein (Actin filament) muscle Z-line, beta, isoform CRA_a</t>
  </si>
  <si>
    <t>Complement factor H-related protein 1</t>
  </si>
  <si>
    <t>Eukaryotic translation initiation factor 4E transporter</t>
  </si>
  <si>
    <t>Nuclear factor 1 A-type</t>
  </si>
  <si>
    <t>Astrocytic phosphoprotein PEA-15</t>
  </si>
  <si>
    <t>Hsp90 co-chaperone Cdc37-like 1</t>
  </si>
  <si>
    <t>Protein PALM2-AKAP2 (Fragment)</t>
  </si>
  <si>
    <t>TNF receptor-associated factor 2</t>
  </si>
  <si>
    <t>Guanylate kinase (Fragment)</t>
  </si>
  <si>
    <t>RAN binding protein 10, isoform CRA_b</t>
  </si>
  <si>
    <t>Leucine zipper transcription factor-like 1, isoform CRA_b</t>
  </si>
  <si>
    <t>PHD finger protein 23</t>
  </si>
  <si>
    <t>Probable ATP-dependent RNA helicase DDX58</t>
  </si>
  <si>
    <t>Retinoic acid receptor RXR-alpha</t>
  </si>
  <si>
    <t>RNA pseudouridylate synthase domain-containing protein 2</t>
  </si>
  <si>
    <t>Calponin-2</t>
  </si>
  <si>
    <t>Vacuolar fusion protein MON1 homolog B</t>
  </si>
  <si>
    <t>Beta-catenin-like protein 1</t>
  </si>
  <si>
    <t>Vesicle-fusing ATPase</t>
  </si>
  <si>
    <t>Checkpoint protein HUS1</t>
  </si>
  <si>
    <t>NADH dehydrogenase [ubiquinone] iron-sulfur protein 3, mitochondrial</t>
  </si>
  <si>
    <t>COMM domain-containing protein 1</t>
  </si>
  <si>
    <t>Catenin beta-1</t>
  </si>
  <si>
    <t>Phosphatidylinositol 5-phosphate 4-kinase type-2 alpha</t>
  </si>
  <si>
    <t>MAP1S light chain</t>
  </si>
  <si>
    <t>BCL2/adenovirus E1B 19 kDa protein-interacting protein 3</t>
  </si>
  <si>
    <t>Acyl-CoA synthetase family member 2, mitochondrial</t>
  </si>
  <si>
    <t>Protein-glutamine gamma-glutamyltransferase 2</t>
  </si>
  <si>
    <t>Glomulin</t>
  </si>
  <si>
    <t>Ras-related protein Rab-5A</t>
  </si>
  <si>
    <t>Small nuclear ribonucleoprotein Sm D3</t>
  </si>
  <si>
    <t>Citrate synthase</t>
  </si>
  <si>
    <t>Aldo-keto reductase family 1 member C2</t>
  </si>
  <si>
    <t>Protein zyg-11 homolog B</t>
  </si>
  <si>
    <t>Cartilage oligomeric matrix protein</t>
  </si>
  <si>
    <t>Lipolysis-stimulated lipoprotein receptor</t>
  </si>
  <si>
    <t>ATP synthase subunit gamma</t>
  </si>
  <si>
    <t>Protein CHURC1-FNTB</t>
  </si>
  <si>
    <t>Probable ATP-dependent RNA helicase DDX5</t>
  </si>
  <si>
    <t>Prostaglandin E synthase 3</t>
  </si>
  <si>
    <t>Methylosome protein 50</t>
  </si>
  <si>
    <t>Serine hydroxymethyltransferase</t>
  </si>
  <si>
    <t>Makorin, ring finger protein, 2, isoform CRA_b</t>
  </si>
  <si>
    <t>Golgi SNAP receptor complex member 1</t>
  </si>
  <si>
    <t>6-phosphogluconate dehydrogenase, decarboxylating</t>
  </si>
  <si>
    <t>Serine/threonine-protein kinase 24 12 kDa subunit</t>
  </si>
  <si>
    <t>Rab proteins geranylgeranyltransferase component A 1</t>
  </si>
  <si>
    <t>Tyrosine-protein phosphatase non-receptor type</t>
  </si>
  <si>
    <t>Annexin</t>
  </si>
  <si>
    <t>Protein LSM14 homolog A</t>
  </si>
  <si>
    <t>3(2),5-bisphosphate nucleotidase 1</t>
  </si>
  <si>
    <t>Ribokinase</t>
  </si>
  <si>
    <t>Pre-mRNA-splicing factor ATP-dependent RNA helicase PRP16</t>
  </si>
  <si>
    <t>Eukaryotic translation initiation factor 3 subunit D</t>
  </si>
  <si>
    <t>2-hydroxyacyl-CoA lyase 1</t>
  </si>
  <si>
    <t>DNA replication licensing factor MCM3</t>
  </si>
  <si>
    <t>Keratin, type II cytoskeletal 72</t>
  </si>
  <si>
    <t>Caseinolytic peptidase B protein homolog</t>
  </si>
  <si>
    <t>Regulator of microtubule dynamics protein 1</t>
  </si>
  <si>
    <t>Arginyl-tRNA--protein transferase 1</t>
  </si>
  <si>
    <t>Complement factor B</t>
  </si>
  <si>
    <t>Serine/arginine-rich-splicing factor 3</t>
  </si>
  <si>
    <t>3-ketoacyl-CoA thiolase</t>
  </si>
  <si>
    <t>Serine/threonine-protein kinase 38-like</t>
  </si>
  <si>
    <t>Adenosine deaminase CECR1</t>
  </si>
  <si>
    <t>Replication protein A 14 kDa subunit</t>
  </si>
  <si>
    <t>40S ribosomal protein S7</t>
  </si>
  <si>
    <t>Septin-2</t>
  </si>
  <si>
    <t>Membrane-associated progesterone receptor component 1</t>
  </si>
  <si>
    <t>V-type proton ATPase catalytic subunit A</t>
  </si>
  <si>
    <t>Cytohesin-1</t>
  </si>
  <si>
    <t>Beta-chimaerin</t>
  </si>
  <si>
    <t>Amine oxidase [flavin-containing] B</t>
  </si>
  <si>
    <t>Protein disulfide-isomerase A6</t>
  </si>
  <si>
    <t>Protein phosphatase 1F</t>
  </si>
  <si>
    <t>Lysosome-associated membrane glycoprotein 2</t>
  </si>
  <si>
    <t>Enolase</t>
  </si>
  <si>
    <t>Conserved oligomeric Golgi complex subunit 2</t>
  </si>
  <si>
    <t>Protein NDRG3</t>
  </si>
  <si>
    <t>Adenylyl cyclase-associated protein</t>
  </si>
  <si>
    <t>GRB2-associated-binding protein 1</t>
  </si>
  <si>
    <t>Delta-aminolevulinic acid dehydratase</t>
  </si>
  <si>
    <t>FYVE, RhoGEF and PH domain-containing protein 4</t>
  </si>
  <si>
    <t>Putative tRNA (cytidine(32)/guanosine(34)-2-O)-methyltransferase</t>
  </si>
  <si>
    <t>Deoxyribonuclease-2-alpha</t>
  </si>
  <si>
    <t>Dolichyl-diphosphooligosaccharide--protein glycosyltransferase subunit 1</t>
  </si>
  <si>
    <t>WW domain-binding protein 4</t>
  </si>
  <si>
    <t>Transport and Golgi organization 2 homolog</t>
  </si>
  <si>
    <t>2,4-dienoyl-CoA reductase, mitochondrial</t>
  </si>
  <si>
    <t>Cytosolic Fe-S cluster assembly factor NUBP2</t>
  </si>
  <si>
    <t>Acid sphingomyelinase-like phosphodiesterase 3a</t>
  </si>
  <si>
    <t>Ran-binding protein 3</t>
  </si>
  <si>
    <t>Growth factor receptor-bound protein 14</t>
  </si>
  <si>
    <t>Ubiquitin carboxyl-terminal hydrolase</t>
  </si>
  <si>
    <t>Protein NADK2</t>
  </si>
  <si>
    <t>Serine/threonine-protein kinase 25</t>
  </si>
  <si>
    <t>MAGUK p55 subfamily member 6</t>
  </si>
  <si>
    <t>Thymosin alpha-1</t>
  </si>
  <si>
    <t>Transcription elongation factor B (SIII), polypeptide 2 (18kDa, elongin B), isoform CRA_b</t>
  </si>
  <si>
    <t>PEX7 protein</t>
  </si>
  <si>
    <t>Transitional endoplasmic reticulum ATPase (Fragment)</t>
  </si>
  <si>
    <t>Protein CutA</t>
  </si>
  <si>
    <t>Choline-phosphate cytidylyltransferase A (Fragment)</t>
  </si>
  <si>
    <t>Sorcin</t>
  </si>
  <si>
    <t>ADP-ribosylation factor 5 (Fragment)</t>
  </si>
  <si>
    <t>NEDD8-conjugating enzyme UBE2F</t>
  </si>
  <si>
    <t>N-alpha-acetyltransferase 50</t>
  </si>
  <si>
    <t>RAD50-interacting protein 1 (Fragment)</t>
  </si>
  <si>
    <t>40S ribosomal protein SA (Fragment)</t>
  </si>
  <si>
    <t>Frataxin, mitochondrial</t>
  </si>
  <si>
    <t>Serotransferrin (Fragment)</t>
  </si>
  <si>
    <t>Phosphoserine phosphatase (Fragment)</t>
  </si>
  <si>
    <t>DNA-directed RNA polymerases I, II, and III subunit RPABC3</t>
  </si>
  <si>
    <t>28S ribosomal protein S33, mitochondrial</t>
  </si>
  <si>
    <t>Protein BUD31 homolog</t>
  </si>
  <si>
    <t>Eukaryotic translation initiation factor 4E type 2 (Fragment)</t>
  </si>
  <si>
    <t>COP9 signalosome complex subunit 1</t>
  </si>
  <si>
    <t>39S ribosomal protein L39, mitochondrial (Fragment)</t>
  </si>
  <si>
    <t>Angio-associated migratory cell protein</t>
  </si>
  <si>
    <t>Regulator of microtubule dynamics protein 2 (Fragment)</t>
  </si>
  <si>
    <t>Guanine nucleotide-binding protein G(I)/G(S)/G(T) subunit beta-2 (Fragment)</t>
  </si>
  <si>
    <t>WD repeat and FYVE domain-containing protein 1 (Fragment)</t>
  </si>
  <si>
    <t>Protein TSSC4 (Fragment)</t>
  </si>
  <si>
    <t>O-acetyl-ADP-ribose deacetylase 1 (Fragment)</t>
  </si>
  <si>
    <t>ADP-ribosylation factor 4 (Fragment)</t>
  </si>
  <si>
    <t>Coiled-coil domain-containing protein 58</t>
  </si>
  <si>
    <t>Peptidyl-prolyl cis-trans isomerase (Fragment)</t>
  </si>
  <si>
    <t>NADH dehydrogenase [ubiquinone] complex I, assembly factor 7 (Fragment)</t>
  </si>
  <si>
    <t>Probable histidine--tRNA ligase, mitochondrial</t>
  </si>
  <si>
    <t>DCN1, defective in cullin neddylation 1, domain containing 1 (S. cerevisiae), isoform CRA_a</t>
  </si>
  <si>
    <t>L-2-hydroxyglutarate dehydrogenase, mitochondrial</t>
  </si>
  <si>
    <t>Regulator of chromosome condensation (Fragment)</t>
  </si>
  <si>
    <t>UTP--glucose-1-phosphate uridylyltransferase (Fragment)</t>
  </si>
  <si>
    <t>Nucleoporin NUP53 (Fragment)</t>
  </si>
  <si>
    <t>60S ribosomal protein L24</t>
  </si>
  <si>
    <t>Lamin-B receptor (Fragment)</t>
  </si>
  <si>
    <t>Lipoma-preferred partner (Fragment)</t>
  </si>
  <si>
    <t>Aminoacylase-1 (Fragment)</t>
  </si>
  <si>
    <t>Dehydrogenase/reductase SDR family member 2 (Fragment)</t>
  </si>
  <si>
    <t>Ubiquitin-conjugating enzyme E2 H (Fragment)</t>
  </si>
  <si>
    <t>Interferon-induced protein with tetratricopeptide repeats 1</t>
  </si>
  <si>
    <t>CAR4/6</t>
  </si>
  <si>
    <t>Protein KRI1 homolog</t>
  </si>
  <si>
    <t>Exosome complex component RRP45 (Fragment)</t>
  </si>
  <si>
    <t>RWD domain-containing protein 4 (Fragment)</t>
  </si>
  <si>
    <t>Heterogeneous nuclear ribonucleoprotein A/B</t>
  </si>
  <si>
    <t>Alpha-methylacyl-CoA racemase</t>
  </si>
  <si>
    <t>OCIA domain-containing protein 1</t>
  </si>
  <si>
    <t>RNA-binding protein 47 (Fragment)</t>
  </si>
  <si>
    <t>LEM domain-containing protein 2</t>
  </si>
  <si>
    <t>Estradiol 17-beta-dehydrogenase 11</t>
  </si>
  <si>
    <t>40S ribosomal protein S23</t>
  </si>
  <si>
    <t>Methylcrotonoyl-CoA carboxylase beta chain, mitochondrial (Fragment)</t>
  </si>
  <si>
    <t>Butyrophilin subfamily 3 member A3 (Fragment)</t>
  </si>
  <si>
    <t>Septin 11, isoform CRA_b</t>
  </si>
  <si>
    <t>Ribonuclease T2 (Fragment)</t>
  </si>
  <si>
    <t>von Willebrand factor A domain-containing protein 8</t>
  </si>
  <si>
    <t>Protein C15orf38-AP3S2</t>
  </si>
  <si>
    <t>Zinc transporter ZIP14 (Fragment)</t>
  </si>
  <si>
    <t>39S ribosomal protein L15, mitochondrial (Fragment)</t>
  </si>
  <si>
    <t>Transcription elongation factor B polypeptide 1 (Fragment)</t>
  </si>
  <si>
    <t>Cytochrome b-c1 complex subunit 7</t>
  </si>
  <si>
    <t>Protein DMTN (Fragment)</t>
  </si>
  <si>
    <t>AP-3 complex subunit beta-1</t>
  </si>
  <si>
    <t>2,4-dienoyl-CoA reductase, mitochondrial (Fragment)</t>
  </si>
  <si>
    <t>S-phase kinase-associated protein 1</t>
  </si>
  <si>
    <t>Protein LYRIC</t>
  </si>
  <si>
    <t>Dynactin subunit 6</t>
  </si>
  <si>
    <t>COP9 signalosome complex subunit 6</t>
  </si>
  <si>
    <t>AP-3 complex subunit delta-1</t>
  </si>
  <si>
    <t>Acid ceramidase</t>
  </si>
  <si>
    <t>Methyltransferase-like protein 5</t>
  </si>
  <si>
    <t>Transforming acidic coiled-coil-containing protein 2</t>
  </si>
  <si>
    <t>Nesprin-1</t>
  </si>
  <si>
    <t>Protein transport protein Sec24C</t>
  </si>
  <si>
    <t>Target of Myb protein 1</t>
  </si>
  <si>
    <t>Pyridoxal-dependent decarboxylase domain-containing protein 1</t>
  </si>
  <si>
    <t>TRAF family member-associated NF-kappa-B activator</t>
  </si>
  <si>
    <t>WASH complex subunit strumpellin</t>
  </si>
  <si>
    <t>Apoptotic chromatin condensation inducer in the nucleus</t>
  </si>
  <si>
    <t>Protein FAM91A1</t>
  </si>
  <si>
    <t>Intersectin-1</t>
  </si>
  <si>
    <t>High mobility group protein B3 (Fragment)</t>
  </si>
  <si>
    <t>U2 snRNP-associated SURP motif-containing protein</t>
  </si>
  <si>
    <t>Methyl-CpG-binding domain protein 1</t>
  </si>
  <si>
    <t>Basic leucine zipper and W2 domain-containing protein 2 (Fragment)</t>
  </si>
  <si>
    <t>General transcription factor IIF subunit 1</t>
  </si>
  <si>
    <t>tRNA-dihydrouridine(20) synthase [NAD(P)+]-like</t>
  </si>
  <si>
    <t>U4/U6 small nuclear ribonucleoprotein Prp3</t>
  </si>
  <si>
    <t>Cytoplasmic FMR1-interacting protein 2</t>
  </si>
  <si>
    <t>Ribulose-phosphate 3-epimerase</t>
  </si>
  <si>
    <t>Septin-10</t>
  </si>
  <si>
    <t>Exocyst complex component 6</t>
  </si>
  <si>
    <t>Eukaryotic translation initiation factor 4 gamma 1</t>
  </si>
  <si>
    <t>Mitogen-activated protein kinase kinase kinase kinase 4</t>
  </si>
  <si>
    <t>HEAT repeat-containing protein 5A</t>
  </si>
  <si>
    <t>Pyruvate dehydrogenase protein X component, mitochondrial</t>
  </si>
  <si>
    <t>Conserved oligomeric Golgi complex subunit 1 (Fragment)</t>
  </si>
  <si>
    <t>Translation initiation factor eIF-2B subunit epsilon</t>
  </si>
  <si>
    <t>D-beta-hydroxybutyrate dehydrogenase, mitochondrial</t>
  </si>
  <si>
    <t>Putative E3 ubiquitin-protein ligase UBR7</t>
  </si>
  <si>
    <t>Heterogeneous nuclear ribonucleoprotein H</t>
  </si>
  <si>
    <t>Rho guanine nucleotide exchange factor 7</t>
  </si>
  <si>
    <t>Inhibitor of Bruton tyrosine kinase</t>
  </si>
  <si>
    <t>Androgen receptor</t>
  </si>
  <si>
    <t>Protein diaphanous homolog 1</t>
  </si>
  <si>
    <t>Suppressor of tumorigenicity 7 protein</t>
  </si>
  <si>
    <t>Centrosomal protein of 170 kDa protein B</t>
  </si>
  <si>
    <t>Epidermal growth factor receptor</t>
  </si>
  <si>
    <t>Nucleolar protein 14</t>
  </si>
  <si>
    <t>Serine/threonine-protein phosphatase 2A 56 kDa regulatory subunit delta isoform</t>
  </si>
  <si>
    <t>AP2-associated protein kinase 1</t>
  </si>
  <si>
    <t>Peptidyl-prolyl cis-trans isomerase G</t>
  </si>
  <si>
    <t>Tensin-1</t>
  </si>
  <si>
    <t>Bifunctional protein NCOAT</t>
  </si>
  <si>
    <t>Protein FAM13A</t>
  </si>
  <si>
    <t>Translin</t>
  </si>
  <si>
    <t>Mediator of RNA polymerase II transcription subunit 22 (Fragment)</t>
  </si>
  <si>
    <t>Thioredoxin-dependent peroxide reductase, mitochondrial</t>
  </si>
  <si>
    <t>Tetranectin</t>
  </si>
  <si>
    <t>Probable leucine--tRNA ligase, mitochondrial</t>
  </si>
  <si>
    <t>DNA-directed RNA polymerase II subunit RPB4</t>
  </si>
  <si>
    <t>Sperm-specific antigen 2</t>
  </si>
  <si>
    <t>Maestro heat-like repeat-containing protein family member 1</t>
  </si>
  <si>
    <t>Zinc finger protein GLI1 (Fragment)</t>
  </si>
  <si>
    <t>Syntaxin-17</t>
  </si>
  <si>
    <t>Thioredoxin reductase 1, cytoplasmic</t>
  </si>
  <si>
    <t>UBX domain-containing protein 1 (Fragment)</t>
  </si>
  <si>
    <t>Cysteine and histidine-rich protein 1</t>
  </si>
  <si>
    <t>MAP kinase-interacting serine/threonine-protein kinase 1 (Fragment)</t>
  </si>
  <si>
    <t>Elongation factor 1-delta (Fragment)</t>
  </si>
  <si>
    <t>Sorting nexin-15 (Fragment)</t>
  </si>
  <si>
    <t>Poly [ADP-ribose] polymerase 10</t>
  </si>
  <si>
    <t>Sterol O-acyltransferase 1 (Fragment)</t>
  </si>
  <si>
    <t>Protein arginine N-methyltransferase 1</t>
  </si>
  <si>
    <t>Hypoxia up-regulated protein 1</t>
  </si>
  <si>
    <t>Protein NEDD8-MDP1 (Fragment)</t>
  </si>
  <si>
    <t>Mitochondrial fission regulator 1-like</t>
  </si>
  <si>
    <t>Puromycin-sensitive aminopeptidase</t>
  </si>
  <si>
    <t>Methylosome subunit pICln</t>
  </si>
  <si>
    <t>LIM domain only protein 7</t>
  </si>
  <si>
    <t>ADP-ribosylation factor GTPase-activating protein 2 (Fragment)</t>
  </si>
  <si>
    <t>Tumor protein D53</t>
  </si>
  <si>
    <t>Syntaxin-5</t>
  </si>
  <si>
    <t>60S ribosomal protein L8</t>
  </si>
  <si>
    <t>Chitinase domain-containing protein 1 (Fragment)</t>
  </si>
  <si>
    <t>Zinc finger CCCH domain-containing protein 11A</t>
  </si>
  <si>
    <t>Myomegalin</t>
  </si>
  <si>
    <t>Non-receptor tyrosine-protein kinase TYK2 (Fragment)</t>
  </si>
  <si>
    <t>Serine/threonine-protein phosphatase 6 regulatory subunit 3</t>
  </si>
  <si>
    <t>Mitogen-activated protein kinase 3</t>
  </si>
  <si>
    <t>Lysosomal acid phosphatase</t>
  </si>
  <si>
    <t>Ribosomal protein S6 kinase</t>
  </si>
  <si>
    <t>NADH-cytochrome b5 reductase 2 (Fragment)</t>
  </si>
  <si>
    <t>Small acidic protein (Fragment)</t>
  </si>
  <si>
    <t>Gamma-tubulin complex component 2</t>
  </si>
  <si>
    <t>Constitutive coactivator of peroxisome proliferator-activated receptor gamma</t>
  </si>
  <si>
    <t>Copine-1 (Fragment)</t>
  </si>
  <si>
    <t>Exportin-4</t>
  </si>
  <si>
    <t>tRNA-splicing endonuclease subunit Sen15</t>
  </si>
  <si>
    <t>Adenosine deaminase</t>
  </si>
  <si>
    <t>WASH complex subunit CCDC53</t>
  </si>
  <si>
    <t>Serine/threonine-protein kinase WNK1</t>
  </si>
  <si>
    <t>Mothers against decapentaplegic homolog 5</t>
  </si>
  <si>
    <t>Chromodomain-helicase-DNA-binding protein 4</t>
  </si>
  <si>
    <t>tRNA methyltransferase 112 homolog</t>
  </si>
  <si>
    <t>Succinyl-CoA ligase [ADP-forming] subunit beta, mitochondrial</t>
  </si>
  <si>
    <t>Complement component C8 beta chain</t>
  </si>
  <si>
    <t>Ribosomal protein S6 kinase alpha-3</t>
  </si>
  <si>
    <t>Uncharacterized protein</t>
  </si>
  <si>
    <t>Striatin-4</t>
  </si>
  <si>
    <t>Ubiquitin thioesterase OTUB1</t>
  </si>
  <si>
    <t>Methylmalonyl-CoA epimerase, mitochondrial (Fragment)</t>
  </si>
  <si>
    <t>Paxillin</t>
  </si>
  <si>
    <t>Mediator of RNA polymerase II transcription subunit 15</t>
  </si>
  <si>
    <t>Scavenger receptor cysteine-rich type 1 protein M130</t>
  </si>
  <si>
    <t>E3 ubiquitin-protein ligase TRIM21</t>
  </si>
  <si>
    <t>Tumor protein D52</t>
  </si>
  <si>
    <t>SEC23-interacting protein</t>
  </si>
  <si>
    <t>Ras-related protein Rab-35 (Fragment)</t>
  </si>
  <si>
    <t>Thioredoxin reductase 2, mitochondrial</t>
  </si>
  <si>
    <t>Lipopolysaccharide-responsive and beige-like anchor protein</t>
  </si>
  <si>
    <t>PCTP-like protein (Fragment)</t>
  </si>
  <si>
    <t>Dimethylaniline monooxygenase [N-oxide-forming] 3</t>
  </si>
  <si>
    <t>Uveal autoantigen with coiled-coil domains and ankyrin repeats</t>
  </si>
  <si>
    <t>Protein lunapark</t>
  </si>
  <si>
    <t>Porphobilinogen deaminase</t>
  </si>
  <si>
    <t>Protein transport protein Sec23A</t>
  </si>
  <si>
    <t>Tumor susceptibility gene 101 protein</t>
  </si>
  <si>
    <t>Importin subunit alpha</t>
  </si>
  <si>
    <t>Peroxisomal membrane protein PEX14</t>
  </si>
  <si>
    <t>Nuclear pore complex protein Nup133</t>
  </si>
  <si>
    <t>Histone deacetylase 4</t>
  </si>
  <si>
    <t>CLIP-associating protein 2</t>
  </si>
  <si>
    <t>Leucine--tRNA ligase, cytoplasmic</t>
  </si>
  <si>
    <t>Axin interactor, dorsalization-associated protein</t>
  </si>
  <si>
    <t>WW domain-binding protein 11</t>
  </si>
  <si>
    <t>Transducin-like enhancer protein 3</t>
  </si>
  <si>
    <t>Microsomal glutathione S-transferase 1 (Fragment)</t>
  </si>
  <si>
    <t>2-oxoglutarate dehydrogenase, mitochondrial</t>
  </si>
  <si>
    <t>Heat shock protein 75 kDa, mitochondrial</t>
  </si>
  <si>
    <t>DNA repair protein XRCC1</t>
  </si>
  <si>
    <t>Mevalonate kinase</t>
  </si>
  <si>
    <t>Signal-induced proliferation-associated protein 1</t>
  </si>
  <si>
    <t>2,5-phosphodiesterase 12</t>
  </si>
  <si>
    <t>HCLS1-binding protein 3</t>
  </si>
  <si>
    <t>Nucleoside diphosphate kinase</t>
  </si>
  <si>
    <t>Ataxin-2</t>
  </si>
  <si>
    <t>Cysteine and glycine-rich protein 2</t>
  </si>
  <si>
    <t>Methyltransferase-like protein 7A (Fragment)</t>
  </si>
  <si>
    <t>60S acidic ribosomal protein P0</t>
  </si>
  <si>
    <t>Methionine aminopeptidase</t>
  </si>
  <si>
    <t>SCY1-like protein 2 (Fragment)</t>
  </si>
  <si>
    <t>Nuclear transcription factor Y subunit beta (Fragment)</t>
  </si>
  <si>
    <t>60S ribosomal protein L18 (Fragment)</t>
  </si>
  <si>
    <t>Density-regulated protein</t>
  </si>
  <si>
    <t>Phosphate carrier protein, mitochondrial</t>
  </si>
  <si>
    <t>Protein MON2 homolog</t>
  </si>
  <si>
    <t>ADP-ribosylation factor GTPase-activating protein 1</t>
  </si>
  <si>
    <t>2-5-oligoadenylate synthase 1</t>
  </si>
  <si>
    <t>Cyclin-dependent kinase 4 (Fragment)</t>
  </si>
  <si>
    <t>Nascent polypeptide-associated complex subunit alpha</t>
  </si>
  <si>
    <t>Chromatin complexes subunit BAP18</t>
  </si>
  <si>
    <t>Biotinidase</t>
  </si>
  <si>
    <t>Myosin light polypeptide 6</t>
  </si>
  <si>
    <t>Mitogen-activated protein kinase kinase kinase 2 (Fragment)</t>
  </si>
  <si>
    <t>GMP synthase [glutamine-hydrolyzing]</t>
  </si>
  <si>
    <t>Golgi integral membrane protein 4</t>
  </si>
  <si>
    <t>Nucleolysin TIA-1 isoform p40</t>
  </si>
  <si>
    <t>Actin-binding LIM protein 1</t>
  </si>
  <si>
    <t>Solute carrier family 2, facilitated glucose transporter member 2</t>
  </si>
  <si>
    <t>Reticulon-4</t>
  </si>
  <si>
    <t>GTPase-activating protein and VPS9 domain-containing protein 1</t>
  </si>
  <si>
    <t>Coiled-coil domain-containing protein 93</t>
  </si>
  <si>
    <t>NADH dehydrogenase [ubiquinone] 1 alpha subcomplex subunit 5</t>
  </si>
  <si>
    <t>Factor X light chain</t>
  </si>
  <si>
    <t>Thiamin pyrophosphokinase 1</t>
  </si>
  <si>
    <t>Disks large-associated protein 4</t>
  </si>
  <si>
    <t>Cleavage and polyadenylation-specificity factor subunit 6</t>
  </si>
  <si>
    <t>Poly(RC) binding protein 2, isoform CRA_f</t>
  </si>
  <si>
    <t>Lin-7 homolog C (C. elegans), isoform CRA_b</t>
  </si>
  <si>
    <t>Exosome complex exonuclease RRP44</t>
  </si>
  <si>
    <t>Loss of heterozygosity 12 chromosomal region 1 protein</t>
  </si>
  <si>
    <t>Septin 7, isoform CRA_a</t>
  </si>
  <si>
    <t>HCG23215, isoform CRA_a</t>
  </si>
  <si>
    <t>Protein NDRG2 (Fragment)</t>
  </si>
  <si>
    <t>Ribonuclease pancreatic</t>
  </si>
  <si>
    <t>Unconventional myosin-Va</t>
  </si>
  <si>
    <t>Spermatogenesis-associated protein 7</t>
  </si>
  <si>
    <t>DDB1- and CUL4-associated factor 8</t>
  </si>
  <si>
    <t>Ataxin-3 (Fragment)</t>
  </si>
  <si>
    <t>DDB1- and CUL4-associated factor 5</t>
  </si>
  <si>
    <t>AP-4 complex subunit sigma-1 (Fragment)</t>
  </si>
  <si>
    <t>Heterogeneous nuclear ribonucleoproteins C1/C2 (Fragment)</t>
  </si>
  <si>
    <t>AT rich interactive domain 1B (SWI1-like), isoform CRA_a</t>
  </si>
  <si>
    <t>Poly(A) polymerase alpha</t>
  </si>
  <si>
    <t>Complement factor I light chain</t>
  </si>
  <si>
    <t>28S ribosomal protein S22, mitochondrial</t>
  </si>
  <si>
    <t>WD repeat domain phosphoinositide-interacting protein 1</t>
  </si>
  <si>
    <t>Protein disulfide isomerase family A, member 3, isoform CRA_b</t>
  </si>
  <si>
    <t>Cordon-bleu protein-like 1</t>
  </si>
  <si>
    <t>tRNA pseudouridine synthase (Fragment)</t>
  </si>
  <si>
    <t>Melanoma inhibitory activity protein 3</t>
  </si>
  <si>
    <t>WD repeat domain phosphoinositide-interacting protein 4</t>
  </si>
  <si>
    <t>Multivesicular body subunit 12B</t>
  </si>
  <si>
    <t>60S ribosomal protein L35 (Fragment)</t>
  </si>
  <si>
    <t>Eukaryotic translation initiation factor 4 gamma 2</t>
  </si>
  <si>
    <t>Inosine-5-monophosphate dehydrogenase 2 (Fragment)</t>
  </si>
  <si>
    <t>Ubiquitin-fold modifier 1 (Fragment)</t>
  </si>
  <si>
    <t>Ras GTPase-activating protein nGAP (Fragment)</t>
  </si>
  <si>
    <t>ADP-ribosylation factor GTPase-activating protein 3 (Fragment)</t>
  </si>
  <si>
    <t>Pyrroline-5-carboxylate reductase 3 (Fragment)</t>
  </si>
  <si>
    <t>Golgin subfamily A member 4 (Fragment)</t>
  </si>
  <si>
    <t>Pterin-4-alpha-carbinolamine dehydratase 2 (Fragment)</t>
  </si>
  <si>
    <t>Epididymis-specific alpha-mannosidase (Fragment)</t>
  </si>
  <si>
    <t>Inositol monophosphatase 1 (Fragment)</t>
  </si>
  <si>
    <t>Mitochondrial fission regulator 1 (Fragment)</t>
  </si>
  <si>
    <t>Stromal interaction molecule 1 (Fragment)</t>
  </si>
  <si>
    <t>39S ribosomal protein L49, mitochondrial (Fragment)</t>
  </si>
  <si>
    <t>Serine/threonine-protein phosphatase (Fragment)</t>
  </si>
  <si>
    <t>Sjoegren syndrome/scleroderma autoantigen 1 (Fragment)</t>
  </si>
  <si>
    <t>Pumilio homolog 1 (Fragment)</t>
  </si>
  <si>
    <t>40S ribosomal protein S2 (Fragment)</t>
  </si>
  <si>
    <t>Sphingomyelin phosphodiesterase (Fragment)</t>
  </si>
  <si>
    <t>Protein FRG1B (Fragment)</t>
  </si>
  <si>
    <t>Uncharacterized protein C12orf43 (Fragment)</t>
  </si>
  <si>
    <t>Ragulator complex protein LAMTOR1 (Fragment)</t>
  </si>
  <si>
    <t>Protoporphyrinogen oxidase (Fragment)</t>
  </si>
  <si>
    <t>Oligoribonuclease, mitochondrial (Fragment)</t>
  </si>
  <si>
    <t>Rho GDP-dissociation inhibitor 2 (Fragment)</t>
  </si>
  <si>
    <t>Nucleosome assembly protein 1-like 1 (Fragment)</t>
  </si>
  <si>
    <t>Rab-3A-interacting protein (Fragment)</t>
  </si>
  <si>
    <t>Protein lin-7 homolog A (Fragment)</t>
  </si>
  <si>
    <t>R3H domain-containing protein 2 (Fragment)</t>
  </si>
  <si>
    <t>Small kinetochore-associated protein (Fragment)</t>
  </si>
  <si>
    <t>Isocitrate dehydrogenase [NAD] subunit alpha, mitochondrial</t>
  </si>
  <si>
    <t>Regulator of microtubule dynamics protein 3 (Fragment)</t>
  </si>
  <si>
    <t>GMP reductase 2</t>
  </si>
  <si>
    <t>Annexin (Fragment)</t>
  </si>
  <si>
    <t>Acidic leucine-rich nuclear phosphoprotein 32 family member A</t>
  </si>
  <si>
    <t>WD repeat-containing protein 61 (Fragment)</t>
  </si>
  <si>
    <t>Aflatoxin B1 aldehyde reductase member 2 (Fragment)</t>
  </si>
  <si>
    <t>Golgi apparatus protein 1</t>
  </si>
  <si>
    <t>Nucleolar protein 3 (Fragment)</t>
  </si>
  <si>
    <t>AKT-interacting protein (Fragment)</t>
  </si>
  <si>
    <t>Protein arginine N-methyltransferase 7</t>
  </si>
  <si>
    <t>Calcium-regulated heat stable protein 1 (Fragment)</t>
  </si>
  <si>
    <t>FtsJ methyltransferase domain-containing protein 1 (Fragment)</t>
  </si>
  <si>
    <t>Mannose-6-phosphate isomerase</t>
  </si>
  <si>
    <t>Microtubule-actin cross-linking factor 1, isoforms 1/2/3/5</t>
  </si>
  <si>
    <t>Trafficking protein particle complex subunit 2-like protein</t>
  </si>
  <si>
    <t>Fructose-bisphosphate aldolase A (Fragment)</t>
  </si>
  <si>
    <t>Codanin-1 (Fragment)</t>
  </si>
  <si>
    <t>Conserved oligomeric Golgi complex subunit 8</t>
  </si>
  <si>
    <t>HCG2044799</t>
  </si>
  <si>
    <t>Zinc finger FYVE domain-containing protein 19</t>
  </si>
  <si>
    <t>Ubiquitin domain-containing protein UBFD1</t>
  </si>
  <si>
    <t>Phosphopantothenoylcysteine decarboxylase</t>
  </si>
  <si>
    <t>4-aminobutyrate aminotransferase, mitochondrial (Fragment)</t>
  </si>
  <si>
    <t>Eukaryotic translation initiation factor 3 subunit C</t>
  </si>
  <si>
    <t>Beta-hexosaminidase</t>
  </si>
  <si>
    <t>Leucine-rich repeat-containing protein 57 (Fragment)</t>
  </si>
  <si>
    <t>Probable glutamate--tRNA ligase, mitochondrial</t>
  </si>
  <si>
    <t>[3-methyl-2-oxobutanoate dehydrogenase [lipoamide]] kinase, mitochondrial (Fragment)</t>
  </si>
  <si>
    <t>60S ribosomal protein L4 (Fragment)</t>
  </si>
  <si>
    <t>ADP-ribosylation factor-like protein 2-binding protein</t>
  </si>
  <si>
    <t>COMM domain-containing protein 4</t>
  </si>
  <si>
    <t>Taperin</t>
  </si>
  <si>
    <t>RNA-binding protein EWS (Fragment)</t>
  </si>
  <si>
    <t>E3 ubiquitin-protein ligase listerin</t>
  </si>
  <si>
    <t>Tropomyosin 1 (Alpha), isoform CRA_m</t>
  </si>
  <si>
    <t>Nuclear receptor subfamily 4 group A member 2 (Fragment)</t>
  </si>
  <si>
    <t>MKI67 FHA domain-interacting nucleolar phosphoprotein (Fragment)</t>
  </si>
  <si>
    <t>General transcription factor 3C polypeptide 3 (Fragment)</t>
  </si>
  <si>
    <t>Zinc finger protein ZPR1 (Fragment)</t>
  </si>
  <si>
    <t>Late secretory pathway protein AVL9 homolog (Fragment)</t>
  </si>
  <si>
    <t>Coiled-coil and C2 domain-containing protein 1B (Fragment)</t>
  </si>
  <si>
    <t>Nucleolar protein 7 (Fragment)</t>
  </si>
  <si>
    <t>Serologically defined colon cancer antigen 3 (Fragment)</t>
  </si>
  <si>
    <t>CWF19-like protein 2 (Fragment)</t>
  </si>
  <si>
    <t>Glucosamine (N-acetyl)-6-sulfatase (Sanfilippo disease IIID), isoform CRA_b</t>
  </si>
  <si>
    <t>BUD13 homolog (Fragment)</t>
  </si>
  <si>
    <t>AT-rich interactive domain-containing protein 4A (Fragment)</t>
  </si>
  <si>
    <t>Muscleblind-like protein 1 (Fragment)</t>
  </si>
  <si>
    <t>Isoamyl acetate-hydrolyzing esterase 1 homolog (Fragment)</t>
  </si>
  <si>
    <t>GRINL1A combined protein 15</t>
  </si>
  <si>
    <t>Sperm-associated antigen 7</t>
  </si>
  <si>
    <t>Elongator complex protein 5 (Fragment)</t>
  </si>
  <si>
    <t>Heme oxygenase 2 (Fragment)</t>
  </si>
  <si>
    <t>Clustered mitochondria protein homolog</t>
  </si>
  <si>
    <t>Protein capicua homolog</t>
  </si>
  <si>
    <t>Eukaryotic translation initiation factor 5A-1 (Fragment)</t>
  </si>
  <si>
    <t>40S ribosomal protein S15a</t>
  </si>
  <si>
    <t>TOM1-like protein 1</t>
  </si>
  <si>
    <t>NF-kappa-B inhibitor beta (Fragment)</t>
  </si>
  <si>
    <t>Epididymal secretory protein E1</t>
  </si>
  <si>
    <t>26S proteasome non-ATPase regulatory subunit 9</t>
  </si>
  <si>
    <t>TBC1 domain family member 8B</t>
  </si>
  <si>
    <t>Electron transfer flavoprotein-ubiquinone oxidoreductase, mitochondrial</t>
  </si>
  <si>
    <t>Copper chaperone for superoxide dismutase</t>
  </si>
  <si>
    <t>Eukaryotic translation initiation factor 3 subunit M (Fragment)</t>
  </si>
  <si>
    <t>Protein transport protein Sec16A</t>
  </si>
  <si>
    <t>Signal-induced proliferation-associated 1-like protein 1</t>
  </si>
  <si>
    <t>Nuclear pore complex protein Nup98-Nup96</t>
  </si>
  <si>
    <t>WASH complex subunit FAM21C</t>
  </si>
  <si>
    <t>Sulfurtransferase</t>
  </si>
  <si>
    <t>F-box only protein 6 (Fragment)</t>
  </si>
  <si>
    <t>SH3 and multiple ankyrin repeat domains protein 2 (Fragment)</t>
  </si>
  <si>
    <t>Serine/threonine-protein phosphatase 2A 56 kDa regulatory subunit epsilon isoform</t>
  </si>
  <si>
    <t>Protein cordon-bleu (Fragment)</t>
  </si>
  <si>
    <t>MIF4G domain-containing protein</t>
  </si>
  <si>
    <t>28S ribosomal protein S7, mitochondrial (Fragment)</t>
  </si>
  <si>
    <t>ADP-ribosylation factor-binding protein GGA3</t>
  </si>
  <si>
    <t>Myosin phosphatase Rho-interacting protein (Fragment)</t>
  </si>
  <si>
    <t>Hematological and neurological-expressed 1 protein</t>
  </si>
  <si>
    <t>Rho GDP-dissociation inhibitor 1 (Fragment)</t>
  </si>
  <si>
    <t>Nebulin</t>
  </si>
  <si>
    <t>Prostamide/prostaglandin F synthase (Fragment)</t>
  </si>
  <si>
    <t>Serine/arginine-rich-splicing factor 2 (Fragment)</t>
  </si>
  <si>
    <t>Protein SCO1 homolog, mitochondrial</t>
  </si>
  <si>
    <t>Small nuclear ribonucleoprotein-associated protein N (Fragment)</t>
  </si>
  <si>
    <t>Nuclear pore complex protein Nup85 (Fragment)</t>
  </si>
  <si>
    <t>Ribosomal protein L19</t>
  </si>
  <si>
    <t>Eukaryotic initiation factor 4A-I (Fragment)</t>
  </si>
  <si>
    <t>Fatty aldehyde dehydrogenase</t>
  </si>
  <si>
    <t>Coordinator of PRMT5 and differentiation stimulator (Fragment)</t>
  </si>
  <si>
    <t>Ribosomal L1 domain-containing protein 1 (Fragment)</t>
  </si>
  <si>
    <t>Mitotic checkpoint protein BUB3 (Fragment)</t>
  </si>
  <si>
    <t>Protein cereblon (Fragment)</t>
  </si>
  <si>
    <t>Putative hydroxypyruvate isomerase (Fragment)</t>
  </si>
  <si>
    <t>WW domain-binding protein 2 (Fragment)</t>
  </si>
  <si>
    <t>Mothers against decapentaplegic homolog 4</t>
  </si>
  <si>
    <t>40S ribosomal protein S15 (Fragment)</t>
  </si>
  <si>
    <t>Calreticulin (Fragment)</t>
  </si>
  <si>
    <t>HCG27535</t>
  </si>
  <si>
    <t>AP-1 complex subunit mu-1</t>
  </si>
  <si>
    <t>Peroxisomal sarcosine oxidase (Fragment)</t>
  </si>
  <si>
    <t>Histone H3 (Fragment)</t>
  </si>
  <si>
    <t>N-acetylglutamate synthase long form (Fragment)</t>
  </si>
  <si>
    <t>Lon protease homolog, mitochondrial</t>
  </si>
  <si>
    <t>Periplakin</t>
  </si>
  <si>
    <t>Nucleoporin SEH1 (Fragment)</t>
  </si>
  <si>
    <t>Beclin-1 (Fragment)</t>
  </si>
  <si>
    <t>Proteasome assembly chaperone 2</t>
  </si>
  <si>
    <t>Probable proline dehydrogenase 2</t>
  </si>
  <si>
    <t>Protein C19orf12 (Fragment)</t>
  </si>
  <si>
    <t>Haloacid dehalogenase-like hydrolase domain-containing protein 2 (Fragment)</t>
  </si>
  <si>
    <t>Voltage-dependent calcium channel subunit alpha-2/delta-4</t>
  </si>
  <si>
    <t>Truncated apolipoprotein C-I (Fragment)</t>
  </si>
  <si>
    <t>Eukaryotic translation initiation factor 3 subunit K</t>
  </si>
  <si>
    <t>UV excision repair protein RAD23 homolog A</t>
  </si>
  <si>
    <t>Serine--tRNA ligase, mitochondrial</t>
  </si>
  <si>
    <t>Paf1, RNA polymerase II associated factor, homolog (S. cerevisiae), isoform CRA_c</t>
  </si>
  <si>
    <t>Zinc finger CCCH domain-containing protein 4 (Fragment)</t>
  </si>
  <si>
    <t>Tubulin beta-4A chain (Fragment)</t>
  </si>
  <si>
    <t>40S ribosomal protein S5 (Fragment)</t>
  </si>
  <si>
    <t>BRISC and BRCA1-A complex member 1 (Fragment)</t>
  </si>
  <si>
    <t>Delta(3,5)-Delta(2,4)-dienoyl-CoA isomerase, mitochondrial (Fragment)</t>
  </si>
  <si>
    <t>RELA protein</t>
  </si>
  <si>
    <t>DNA polymerase delta subunit 3</t>
  </si>
  <si>
    <t>SERPINB12 protein</t>
  </si>
  <si>
    <t>Peptidyl-prolyl cis-trans isomerase A</t>
  </si>
  <si>
    <t>Filamin-A</t>
  </si>
  <si>
    <t>Tubulin beta chain</t>
  </si>
  <si>
    <t>Mov10, Moloney leukemia virus 10, homolog (Mouse), isoform CRA_a</t>
  </si>
  <si>
    <t>Rho-related GTP-binding protein RhoC (Fragment)</t>
  </si>
  <si>
    <t>High mobility group nucleosome-binding domain-containing protein 5 (Fragment)</t>
  </si>
  <si>
    <t>Vacuolar protein sorting-associated protein 16 homolog</t>
  </si>
  <si>
    <t>Double-stranded RNA-binding protein Staufen homolog 1</t>
  </si>
  <si>
    <t>Mortality factor 4-like protein 2 (Fragment)</t>
  </si>
  <si>
    <t>Peroxisomal biogenesis factor 19 (Fragment)</t>
  </si>
  <si>
    <t>RNA-binding protein Raly (Fragment)</t>
  </si>
  <si>
    <t>Proteasome inhibitor PI31 subunit</t>
  </si>
  <si>
    <t>Advanced glycosylation end product-specific receptor (Fragment)</t>
  </si>
  <si>
    <t>SH3 domain-binding glutamic acid-rich-like protein 3</t>
  </si>
  <si>
    <t>Serine/arginine-rich-splicing factor 11 (Fragment)</t>
  </si>
  <si>
    <t>Inter-alpha-trypsin inhibitor heavy chain H2</t>
  </si>
  <si>
    <t>Glutathione S-transferase omega-1 (Fragment)</t>
  </si>
  <si>
    <t>Protein argonaute-1</t>
  </si>
  <si>
    <t>Mitochondrial nucleoid factor 1</t>
  </si>
  <si>
    <t>Transcription initiation factor TFIID subunit 4 (Fragment)</t>
  </si>
  <si>
    <t>Adipogenesis regulatory factor (Fragment)</t>
  </si>
  <si>
    <t>Copper homeostasis protein cutC homolog (Fragment)</t>
  </si>
  <si>
    <t>Dynein light chain Tctex-type 1</t>
  </si>
  <si>
    <t>A disintegrin and metalloproteinase with thrombospondin motifs 4</t>
  </si>
  <si>
    <t>Ribonuclease P protein subunit p30 (Fragment)</t>
  </si>
  <si>
    <t>6-phosphofructo-2-kinase/fructose-2, 6-biphosphatase 4 splice isoform 3</t>
  </si>
  <si>
    <t>Bromodomain containing 2, isoform CRA_a</t>
  </si>
  <si>
    <t>Em:AP000351.3 protein</t>
  </si>
  <si>
    <t>RPS6KB1 protein</t>
  </si>
  <si>
    <t>Full-length cDNA clone CS0DI002YH20 of Placenta of Homo sapiens (human)</t>
  </si>
  <si>
    <t>TXNDC5 protein</t>
  </si>
  <si>
    <t>WAS protein family, member 3, isoform CRA_a</t>
  </si>
  <si>
    <t>Focal adhesion kinase 1</t>
  </si>
  <si>
    <t>Serine/threonine-protein kinase MST4</t>
  </si>
  <si>
    <t>ETF1 protein</t>
  </si>
  <si>
    <t>Long-chain fatty acid transport protein 4</t>
  </si>
  <si>
    <t>POLD4 protein</t>
  </si>
  <si>
    <t>Ubiquitin-conjugating enzyme 1 isoform</t>
  </si>
  <si>
    <t>26S proteasome non-ATPase regulatory subunit 8</t>
  </si>
  <si>
    <t>Polycomb complex protein BMI-1</t>
  </si>
  <si>
    <t>YTH domain family protein 3</t>
  </si>
  <si>
    <t>Protein S100-A6 (Fragment)</t>
  </si>
  <si>
    <t>DENN domain-containing protein 4C</t>
  </si>
  <si>
    <t>E3 ubiquitin-protein ligase AMFR (Fragment)</t>
  </si>
  <si>
    <t>26S protease regulatory subunit 6A</t>
  </si>
  <si>
    <t>norm_FC_TMT126_H.sapiens_hepatocytes_P013553</t>
  </si>
  <si>
    <t>norm_FC_TMT127L_H.sapiens_hepatocytes_P013553</t>
  </si>
  <si>
    <t>norm_FC_TMT127H_H.sapiens_hepatocytes_P013553</t>
  </si>
  <si>
    <t>norm_FC_TMT128L_H.sapiens_hepatocytes_P013553</t>
  </si>
  <si>
    <t>norm_FC_TMT128H_H.sapiens_hepatocytes_P013553</t>
  </si>
  <si>
    <t>norm_FC_TMT129L_H.sapiens_hepatocytes_P013553</t>
  </si>
  <si>
    <t>norm_FC_TMT129H_H.sapiens_hepatocytes_P013553</t>
  </si>
  <si>
    <t>norm_FC_TMT130L_H.sapiens_hepatocytes_P013553</t>
  </si>
  <si>
    <t>norm_FC_TMT130H_H.sapiens_hepatocytes_P013553</t>
  </si>
  <si>
    <t>norm_FC_TMT131L_H.sapiens_hepatocytes_P013553</t>
  </si>
  <si>
    <t>a_H.sapiens_hepatocytes_P013553</t>
  </si>
  <si>
    <t>b_H.sapiens_hepatocytes_P013553</t>
  </si>
  <si>
    <t>meltPoint_H.sapiens_hepatocytes_P013553</t>
  </si>
  <si>
    <t>inflPoint_H.sapiens_hepatocytes_P013553</t>
  </si>
  <si>
    <t>slope_H.sapiens_hepatocytes_P013553</t>
  </si>
  <si>
    <t>plateau_H.sapiens_hepatocytes_P013553</t>
  </si>
  <si>
    <t>R_sq_H.sapiens_hepatocytes_P013553</t>
  </si>
  <si>
    <t>protein_identified_in_H.sapiens_hepatocytes_P013553</t>
  </si>
  <si>
    <t>model_converged_H.sapiens_hepatocytes_P013553</t>
  </si>
  <si>
    <t>sufficient_data_for_fit_H.sapiens_hepatocytes_P013553</t>
  </si>
  <si>
    <t>numSpec_H.sapiens_hepatocytes_P013553</t>
  </si>
  <si>
    <t>Proteinname_H.sapiens_hepatocytes_P013553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</si>
</sst>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26"/>
  <sheetViews>
    <sheetView tabSelected="1" workbookViewId="0">
      <selection sqref="A1:XFD1"/>
    </sheetView>
  </sheetViews>
  <sheetFormatPr defaultRowHeight="15" x14ac:dyDescent="0.25"/>
  <sheetData>
    <row r="1" spans="1:28" s="2" customFormat="1" ht="105" x14ac:dyDescent="0.25">
      <c r="A1" s="1" t="s">
        <v>0</v>
      </c>
      <c r="B1" s="1" t="s">
        <v>18026</v>
      </c>
      <c r="C1" s="1" t="s">
        <v>18027</v>
      </c>
      <c r="D1" s="1" t="s">
        <v>18028</v>
      </c>
      <c r="E1" s="1" t="s">
        <v>18029</v>
      </c>
      <c r="F1" s="1" t="s">
        <v>18030</v>
      </c>
      <c r="G1" s="1" t="s">
        <v>18031</v>
      </c>
      <c r="H1" s="1" t="s">
        <v>18032</v>
      </c>
      <c r="I1" s="1" t="s">
        <v>18033</v>
      </c>
      <c r="J1" s="1" t="s">
        <v>18034</v>
      </c>
      <c r="K1" s="1" t="s">
        <v>18035</v>
      </c>
      <c r="L1" s="1" t="s">
        <v>18036</v>
      </c>
      <c r="M1" s="1" t="s">
        <v>18037</v>
      </c>
      <c r="N1" s="1" t="s">
        <v>18038</v>
      </c>
      <c r="O1" s="1" t="s">
        <v>18039</v>
      </c>
      <c r="P1" s="1" t="s">
        <v>18040</v>
      </c>
      <c r="Q1" s="1" t="s">
        <v>18041</v>
      </c>
      <c r="R1" s="1" t="s">
        <v>18042</v>
      </c>
      <c r="S1" s="1" t="s">
        <v>1</v>
      </c>
      <c r="T1" s="1" t="s">
        <v>18043</v>
      </c>
      <c r="U1" s="1" t="s">
        <v>18044</v>
      </c>
      <c r="V1" s="1" t="s">
        <v>18045</v>
      </c>
      <c r="W1" s="1" t="s">
        <v>18046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18047</v>
      </c>
    </row>
    <row r="2" spans="1:28" x14ac:dyDescent="0.25">
      <c r="A2" t="s">
        <v>6</v>
      </c>
      <c r="B2">
        <v>0.98018197421672304</v>
      </c>
      <c r="C2">
        <v>0.97906464168856699</v>
      </c>
      <c r="D2">
        <v>0.86201876708246195</v>
      </c>
      <c r="E2">
        <v>0.34745747005495298</v>
      </c>
      <c r="F2">
        <v>0.14133312595365999</v>
      </c>
      <c r="G2">
        <v>7.6586361888134294E-2</v>
      </c>
      <c r="H2">
        <v>4.95088539353764E-2</v>
      </c>
      <c r="I2">
        <v>4.0442775312158501E-2</v>
      </c>
      <c r="J2">
        <v>4.4988594850910203E-2</v>
      </c>
      <c r="K2">
        <v>3.3064503036468899E-2</v>
      </c>
      <c r="L2">
        <v>1403.21962797026</v>
      </c>
      <c r="M2">
        <v>28.7927929121531</v>
      </c>
      <c r="N2">
        <v>48.898599039959798</v>
      </c>
      <c r="O2">
        <v>48.501835091705303</v>
      </c>
      <c r="P2">
        <v>-0.14160112821200099</v>
      </c>
      <c r="Q2">
        <v>4.5891653476485002E-2</v>
      </c>
      <c r="R2">
        <v>0.99932505736912902</v>
      </c>
      <c r="S2" t="s">
        <v>3631</v>
      </c>
      <c r="T2" t="s">
        <v>7256</v>
      </c>
      <c r="U2" t="s">
        <v>7256</v>
      </c>
      <c r="V2" t="s">
        <v>7256</v>
      </c>
      <c r="W2">
        <v>17</v>
      </c>
      <c r="X2" t="s">
        <v>7258</v>
      </c>
      <c r="Y2">
        <v>0.33000086215478591</v>
      </c>
      <c r="Z2" t="str">
        <f>HYPERLINK("Melting_Curves/meltCurve_sp_A0AVT1_UBA6_HUMAN_.pdf", "Melting_Curves/meltCurve_sp_A0AVT1_UBA6_HUMAN_.pdf")</f>
        <v>Melting_Curves/meltCurve_sp_A0AVT1_UBA6_HUMAN_.pdf</v>
      </c>
      <c r="AA2" t="s">
        <v>10883</v>
      </c>
      <c r="AB2" t="s">
        <v>14428</v>
      </c>
    </row>
    <row r="3" spans="1:28" x14ac:dyDescent="0.25">
      <c r="A3" t="s">
        <v>7</v>
      </c>
      <c r="B3">
        <v>0.98018197421672304</v>
      </c>
      <c r="C3">
        <v>0.99758572980606697</v>
      </c>
      <c r="D3">
        <v>0.95946346048902997</v>
      </c>
      <c r="E3">
        <v>0.72759488658812499</v>
      </c>
      <c r="F3">
        <v>0.55662744666699604</v>
      </c>
      <c r="G3">
        <v>0.24294447058546101</v>
      </c>
      <c r="H3">
        <v>0.18444420072718601</v>
      </c>
      <c r="I3">
        <v>0.15020871622784901</v>
      </c>
      <c r="J3">
        <v>0.20028666434659201</v>
      </c>
      <c r="K3">
        <v>0.188838650265307</v>
      </c>
      <c r="L3">
        <v>1121.64150911345</v>
      </c>
      <c r="M3">
        <v>21.512786105427299</v>
      </c>
      <c r="N3">
        <v>53.111912026878002</v>
      </c>
      <c r="O3">
        <v>51.694117159936702</v>
      </c>
      <c r="P3">
        <v>-8.7089436467041703E-2</v>
      </c>
      <c r="Q3">
        <v>0.16293469610774899</v>
      </c>
      <c r="R3">
        <v>0.99387291310168802</v>
      </c>
      <c r="S3" t="s">
        <v>3632</v>
      </c>
      <c r="T3" t="s">
        <v>7256</v>
      </c>
      <c r="U3" t="s">
        <v>7256</v>
      </c>
      <c r="V3" t="s">
        <v>7256</v>
      </c>
      <c r="W3">
        <v>1</v>
      </c>
      <c r="X3" t="s">
        <v>7259</v>
      </c>
      <c r="Y3">
        <v>0.51176867293671946</v>
      </c>
      <c r="Z3" t="str">
        <f>HYPERLINK("Melting_Curves/meltCurve_sp_A0JNW5_UH1BL_HUMAN_.pdf", "Melting_Curves/meltCurve_sp_A0JNW5_UH1BL_HUMAN_.pdf")</f>
        <v>Melting_Curves/meltCurve_sp_A0JNW5_UH1BL_HUMAN_.pdf</v>
      </c>
      <c r="AA3" t="s">
        <v>10884</v>
      </c>
      <c r="AB3" t="s">
        <v>14429</v>
      </c>
    </row>
    <row r="4" spans="1:28" x14ac:dyDescent="0.25">
      <c r="A4" t="s">
        <v>8</v>
      </c>
      <c r="B4">
        <v>0.98018197421672304</v>
      </c>
      <c r="C4">
        <v>0.954008561634895</v>
      </c>
      <c r="D4">
        <v>0.916934300258333</v>
      </c>
      <c r="E4">
        <v>0.77512791715237805</v>
      </c>
      <c r="F4">
        <v>0.51574765568393199</v>
      </c>
      <c r="G4">
        <v>0.31146210771013599</v>
      </c>
      <c r="H4">
        <v>0.29490849674179898</v>
      </c>
      <c r="I4">
        <v>0.28533693833407098</v>
      </c>
      <c r="J4">
        <v>0.30766543415881498</v>
      </c>
      <c r="K4">
        <v>0.33037649208358399</v>
      </c>
      <c r="L4">
        <v>1295.8653743843799</v>
      </c>
      <c r="M4">
        <v>25.266899647121601</v>
      </c>
      <c r="N4">
        <v>53.1479307654349</v>
      </c>
      <c r="O4">
        <v>50.969051268564399</v>
      </c>
      <c r="P4">
        <v>-8.7550424347501696E-2</v>
      </c>
      <c r="Q4">
        <v>0.29357307820273498</v>
      </c>
      <c r="R4">
        <v>0.99105824327561398</v>
      </c>
      <c r="S4" t="s">
        <v>3633</v>
      </c>
      <c r="T4" t="s">
        <v>7256</v>
      </c>
      <c r="U4" t="s">
        <v>7256</v>
      </c>
      <c r="V4" t="s">
        <v>7256</v>
      </c>
      <c r="W4">
        <v>32</v>
      </c>
      <c r="X4" t="s">
        <v>7260</v>
      </c>
      <c r="Y4">
        <v>0.56562623525022937</v>
      </c>
      <c r="Z4" t="str">
        <f>HYPERLINK("Melting_Curves/meltCurve_sp_A0MZ66_SHOT1_HUMAN_.pdf", "Melting_Curves/meltCurve_sp_A0MZ66_SHOT1_HUMAN_.pdf")</f>
        <v>Melting_Curves/meltCurve_sp_A0MZ66_SHOT1_HUMAN_.pdf</v>
      </c>
      <c r="AA4" t="s">
        <v>10885</v>
      </c>
      <c r="AB4" t="s">
        <v>14430</v>
      </c>
    </row>
    <row r="5" spans="1:28" x14ac:dyDescent="0.25">
      <c r="A5" t="s">
        <v>9</v>
      </c>
      <c r="B5">
        <v>0.98018197421672304</v>
      </c>
      <c r="C5">
        <v>0.98108858592708303</v>
      </c>
      <c r="D5">
        <v>0.80230419018546095</v>
      </c>
      <c r="E5">
        <v>0.77131780644254799</v>
      </c>
      <c r="F5">
        <v>0.53930347238731502</v>
      </c>
      <c r="G5">
        <v>0.23742909575584001</v>
      </c>
      <c r="H5">
        <v>0.24838892643201399</v>
      </c>
      <c r="I5">
        <v>0.19495927259899901</v>
      </c>
      <c r="J5">
        <v>0.30274150094562602</v>
      </c>
      <c r="K5">
        <v>0.30736726405600001</v>
      </c>
      <c r="L5">
        <v>990.30488811377904</v>
      </c>
      <c r="M5">
        <v>19.308725209707902</v>
      </c>
      <c r="N5">
        <v>53.041776372299502</v>
      </c>
      <c r="O5">
        <v>50.747327724472903</v>
      </c>
      <c r="P5">
        <v>-7.2681190998130599E-2</v>
      </c>
      <c r="Q5">
        <v>0.23594369237615001</v>
      </c>
      <c r="R5">
        <v>0.95525543951478098</v>
      </c>
      <c r="S5" t="s">
        <v>3634</v>
      </c>
      <c r="T5" t="s">
        <v>7256</v>
      </c>
      <c r="U5" t="s">
        <v>7256</v>
      </c>
      <c r="V5" t="s">
        <v>7256</v>
      </c>
      <c r="W5">
        <v>1</v>
      </c>
      <c r="X5" t="s">
        <v>7261</v>
      </c>
      <c r="Y5">
        <v>0.53473759968191337</v>
      </c>
      <c r="Z5" t="str">
        <f>HYPERLINK("Melting_Curves/meltCurve_sp_A1L170_CA226_HUMAN_.pdf", "Melting_Curves/meltCurve_sp_A1L170_CA226_HUMAN_.pdf")</f>
        <v>Melting_Curves/meltCurve_sp_A1L170_CA226_HUMAN_.pdf</v>
      </c>
      <c r="AA5" t="s">
        <v>10886</v>
      </c>
      <c r="AB5" t="s">
        <v>14431</v>
      </c>
    </row>
    <row r="6" spans="1:28" x14ac:dyDescent="0.25">
      <c r="A6" t="s">
        <v>10</v>
      </c>
      <c r="B6">
        <v>0.98018197421672304</v>
      </c>
      <c r="C6">
        <v>1.06317755561289</v>
      </c>
      <c r="D6">
        <v>0.91104605803591898</v>
      </c>
      <c r="E6">
        <v>0.78144270440380303</v>
      </c>
      <c r="F6">
        <v>0.79562636908088202</v>
      </c>
      <c r="G6">
        <v>0.64298469392596203</v>
      </c>
      <c r="H6">
        <v>0.538089853863982</v>
      </c>
      <c r="I6">
        <v>0.60485275328810895</v>
      </c>
      <c r="J6">
        <v>0.50412523302581602</v>
      </c>
      <c r="K6">
        <v>0.66186750948730899</v>
      </c>
      <c r="L6">
        <v>811.14947053566505</v>
      </c>
      <c r="M6">
        <v>15.802278932907599</v>
      </c>
      <c r="O6">
        <v>50.530222752517801</v>
      </c>
      <c r="P6">
        <v>-3.3857325063212602E-2</v>
      </c>
      <c r="Q6">
        <v>0.56697960052712004</v>
      </c>
      <c r="R6">
        <v>0.90302585118302803</v>
      </c>
      <c r="S6" t="s">
        <v>3635</v>
      </c>
      <c r="T6" t="s">
        <v>7256</v>
      </c>
      <c r="U6" t="s">
        <v>7256</v>
      </c>
      <c r="V6" t="s">
        <v>7256</v>
      </c>
      <c r="W6">
        <v>2</v>
      </c>
      <c r="X6" t="s">
        <v>7262</v>
      </c>
      <c r="Y6">
        <v>0.73962395274592696</v>
      </c>
      <c r="Z6" t="str">
        <f>HYPERLINK("Melting_Curves/meltCurve_sp_A1L188_CQ089_HUMAN_.pdf", "Melting_Curves/meltCurve_sp_A1L188_CQ089_HUMAN_.pdf")</f>
        <v>Melting_Curves/meltCurve_sp_A1L188_CQ089_HUMAN_.pdf</v>
      </c>
      <c r="AA6" t="s">
        <v>10887</v>
      </c>
      <c r="AB6" t="s">
        <v>14432</v>
      </c>
    </row>
    <row r="7" spans="1:28" x14ac:dyDescent="0.25">
      <c r="A7" t="s">
        <v>11</v>
      </c>
      <c r="B7">
        <v>0.98018197421672304</v>
      </c>
      <c r="C7">
        <v>0.88315435141482201</v>
      </c>
      <c r="D7">
        <v>0.857557756236764</v>
      </c>
      <c r="E7">
        <v>0.64974292751678298</v>
      </c>
      <c r="F7">
        <v>0.379169707715244</v>
      </c>
      <c r="G7">
        <v>0.19216832622260599</v>
      </c>
      <c r="H7">
        <v>9.7516218592002796E-2</v>
      </c>
      <c r="I7">
        <v>6.0775676676168303E-2</v>
      </c>
      <c r="J7">
        <v>9.5381349910481694E-2</v>
      </c>
      <c r="K7">
        <v>0.107672807826089</v>
      </c>
      <c r="L7">
        <v>827.39346081918598</v>
      </c>
      <c r="M7">
        <v>16.208937804498198</v>
      </c>
      <c r="N7">
        <v>51.433743149581097</v>
      </c>
      <c r="O7">
        <v>50.287516796682397</v>
      </c>
      <c r="P7">
        <v>-7.5947083075566302E-2</v>
      </c>
      <c r="Q7">
        <v>5.7580381999943697E-2</v>
      </c>
      <c r="R7">
        <v>0.991162934927312</v>
      </c>
      <c r="S7" t="s">
        <v>3636</v>
      </c>
      <c r="T7" t="s">
        <v>7256</v>
      </c>
      <c r="U7" t="s">
        <v>7256</v>
      </c>
      <c r="V7" t="s">
        <v>7256</v>
      </c>
      <c r="W7">
        <v>2</v>
      </c>
      <c r="X7" t="s">
        <v>7263</v>
      </c>
      <c r="Y7">
        <v>0.42364776683084648</v>
      </c>
      <c r="Z7" t="str">
        <f>HYPERLINK("Melting_Curves/meltCurve_sp_A1Z1Q3_2_MACD2_HUMAN_.pdf", "Melting_Curves/meltCurve_sp_A1Z1Q3_2_MACD2_HUMAN_.pdf")</f>
        <v>Melting_Curves/meltCurve_sp_A1Z1Q3_2_MACD2_HUMAN_.pdf</v>
      </c>
      <c r="AA7" t="s">
        <v>10888</v>
      </c>
      <c r="AB7" t="s">
        <v>14433</v>
      </c>
    </row>
    <row r="8" spans="1:28" x14ac:dyDescent="0.25">
      <c r="A8" t="s">
        <v>12</v>
      </c>
      <c r="B8">
        <v>0.98018197421672304</v>
      </c>
      <c r="C8">
        <v>0.87310503516607096</v>
      </c>
      <c r="D8">
        <v>0.90070738371458403</v>
      </c>
      <c r="E8">
        <v>0.75825261685184597</v>
      </c>
      <c r="F8">
        <v>0.647448400709011</v>
      </c>
      <c r="G8">
        <v>0.49333234879562199</v>
      </c>
      <c r="H8">
        <v>0.39992403480213101</v>
      </c>
      <c r="I8">
        <v>0.41949276161283</v>
      </c>
      <c r="J8">
        <v>0.40472265845847</v>
      </c>
      <c r="K8">
        <v>0.35031621821168901</v>
      </c>
      <c r="L8">
        <v>568.04147773185105</v>
      </c>
      <c r="M8">
        <v>10.8710432902297</v>
      </c>
      <c r="N8">
        <v>57.648798936157597</v>
      </c>
      <c r="O8">
        <v>50.577813714436999</v>
      </c>
      <c r="P8">
        <v>-3.6591845096862897E-2</v>
      </c>
      <c r="Q8">
        <v>0.31926206431912502</v>
      </c>
      <c r="R8">
        <v>0.982363126465712</v>
      </c>
      <c r="S8" t="s">
        <v>3637</v>
      </c>
      <c r="T8" t="s">
        <v>7256</v>
      </c>
      <c r="U8" t="s">
        <v>7256</v>
      </c>
      <c r="V8" t="s">
        <v>7256</v>
      </c>
      <c r="W8">
        <v>7</v>
      </c>
      <c r="X8" t="s">
        <v>7264</v>
      </c>
      <c r="Y8">
        <v>0.62031715141305555</v>
      </c>
      <c r="Z8" t="str">
        <f>HYPERLINK("Melting_Curves/meltCurve_sp_A2VDF0_2_FUCM_HUMAN_.pdf", "Melting_Curves/meltCurve_sp_A2VDF0_2_FUCM_HUMAN_.pdf")</f>
        <v>Melting_Curves/meltCurve_sp_A2VDF0_2_FUCM_HUMAN_.pdf</v>
      </c>
      <c r="AA8" t="s">
        <v>10889</v>
      </c>
      <c r="AB8" t="s">
        <v>14434</v>
      </c>
    </row>
    <row r="9" spans="1:28" x14ac:dyDescent="0.25">
      <c r="A9" t="s">
        <v>13</v>
      </c>
      <c r="B9">
        <v>0.98018197421672304</v>
      </c>
      <c r="C9">
        <v>0.76188488311853797</v>
      </c>
      <c r="D9">
        <v>0.80285694686301201</v>
      </c>
      <c r="E9">
        <v>0.81050857964724998</v>
      </c>
      <c r="F9">
        <v>0.71982123613826399</v>
      </c>
      <c r="G9">
        <v>0.41491110329855302</v>
      </c>
      <c r="H9">
        <v>0.207238079131144</v>
      </c>
      <c r="I9">
        <v>0.16080140184462199</v>
      </c>
      <c r="J9">
        <v>0.141872371036842</v>
      </c>
      <c r="K9">
        <v>7.1076803279462197E-2</v>
      </c>
      <c r="L9">
        <v>593.23687547243196</v>
      </c>
      <c r="M9">
        <v>10.730703619899399</v>
      </c>
      <c r="N9">
        <v>55.284061179513103</v>
      </c>
      <c r="O9">
        <v>53.467883200127297</v>
      </c>
      <c r="P9">
        <v>-5.0192226375843398E-2</v>
      </c>
      <c r="Q9">
        <v>0</v>
      </c>
      <c r="R9">
        <v>0.93728714687450898</v>
      </c>
      <c r="S9" t="s">
        <v>3638</v>
      </c>
      <c r="T9" t="s">
        <v>7256</v>
      </c>
      <c r="U9" t="s">
        <v>7256</v>
      </c>
      <c r="V9" t="s">
        <v>7256</v>
      </c>
      <c r="W9">
        <v>3</v>
      </c>
      <c r="X9" t="s">
        <v>7265</v>
      </c>
      <c r="Y9">
        <v>0.53342989458853163</v>
      </c>
      <c r="Z9" t="str">
        <f>HYPERLINK("Melting_Curves/meltCurve_sp_A4D126_2_ISPD_HUMAN_.pdf", "Melting_Curves/meltCurve_sp_A4D126_2_ISPD_HUMAN_.pdf")</f>
        <v>Melting_Curves/meltCurve_sp_A4D126_2_ISPD_HUMAN_.pdf</v>
      </c>
      <c r="AA9" t="s">
        <v>10890</v>
      </c>
      <c r="AB9" t="s">
        <v>14435</v>
      </c>
    </row>
    <row r="10" spans="1:28" x14ac:dyDescent="0.25">
      <c r="A10" t="s">
        <v>14</v>
      </c>
      <c r="B10">
        <v>0.98018197421672304</v>
      </c>
      <c r="C10">
        <v>0.99553114060028502</v>
      </c>
      <c r="D10">
        <v>0.95610127487076402</v>
      </c>
      <c r="E10">
        <v>0.76947933809669899</v>
      </c>
      <c r="F10">
        <v>0.58402732557623604</v>
      </c>
      <c r="G10">
        <v>0.39078068037490099</v>
      </c>
      <c r="H10">
        <v>0.24882412420845401</v>
      </c>
      <c r="I10">
        <v>0.281594441121226</v>
      </c>
      <c r="J10">
        <v>0.235908532034311</v>
      </c>
      <c r="K10">
        <v>0.15713450315310601</v>
      </c>
      <c r="L10">
        <v>865.18258084578599</v>
      </c>
      <c r="M10">
        <v>16.339712476976601</v>
      </c>
      <c r="N10">
        <v>54.534390790819302</v>
      </c>
      <c r="O10">
        <v>52.1756492112399</v>
      </c>
      <c r="P10">
        <v>-6.3499315601159803E-2</v>
      </c>
      <c r="Q10">
        <v>0.188999588686387</v>
      </c>
      <c r="R10">
        <v>0.99383245244775997</v>
      </c>
      <c r="S10" t="s">
        <v>3639</v>
      </c>
      <c r="T10" t="s">
        <v>7256</v>
      </c>
      <c r="U10" t="s">
        <v>7256</v>
      </c>
      <c r="V10" t="s">
        <v>7256</v>
      </c>
      <c r="W10">
        <v>4</v>
      </c>
      <c r="X10" t="s">
        <v>7266</v>
      </c>
      <c r="Y10">
        <v>0.55452154992164859</v>
      </c>
      <c r="Z10" t="str">
        <f>HYPERLINK("Melting_Curves/meltCurve_sp_A4D1P6_2_WDR91_HUMAN_.pdf", "Melting_Curves/meltCurve_sp_A4D1P6_2_WDR91_HUMAN_.pdf")</f>
        <v>Melting_Curves/meltCurve_sp_A4D1P6_2_WDR91_HUMAN_.pdf</v>
      </c>
      <c r="AA10" t="s">
        <v>10891</v>
      </c>
      <c r="AB10" t="s">
        <v>14436</v>
      </c>
    </row>
    <row r="11" spans="1:28" x14ac:dyDescent="0.25">
      <c r="A11" t="s">
        <v>15</v>
      </c>
      <c r="B11">
        <v>0.98018197421672304</v>
      </c>
      <c r="C11">
        <v>0.61269207316923602</v>
      </c>
      <c r="D11">
        <v>0.67615254390292301</v>
      </c>
      <c r="E11">
        <v>0.72956205027242504</v>
      </c>
      <c r="F11">
        <v>0.79686853075820396</v>
      </c>
      <c r="G11">
        <v>0.43936690406930001</v>
      </c>
      <c r="H11">
        <v>0.29955004357338599</v>
      </c>
      <c r="I11">
        <v>7.5668490834591595E-2</v>
      </c>
      <c r="J11">
        <v>0.167613382760713</v>
      </c>
      <c r="K11">
        <v>0.158263865185161</v>
      </c>
      <c r="L11">
        <v>386.62756804538901</v>
      </c>
      <c r="M11">
        <v>7.1240995449957403</v>
      </c>
      <c r="N11">
        <v>54.270376924315499</v>
      </c>
      <c r="O11">
        <v>50.481744791011799</v>
      </c>
      <c r="P11">
        <v>-3.5341896010033902E-2</v>
      </c>
      <c r="Q11">
        <v>0</v>
      </c>
      <c r="R11">
        <v>0.78671502041930397</v>
      </c>
      <c r="S11" t="s">
        <v>3640</v>
      </c>
      <c r="T11" t="s">
        <v>7256</v>
      </c>
      <c r="U11" t="s">
        <v>7256</v>
      </c>
      <c r="V11" t="s">
        <v>7256</v>
      </c>
      <c r="W11">
        <v>1</v>
      </c>
      <c r="X11" t="s">
        <v>7267</v>
      </c>
      <c r="Y11">
        <v>0.50897776430704311</v>
      </c>
      <c r="Z11" t="str">
        <f>HYPERLINK("Melting_Curves/meltCurve_sp_A4D1U4_LCHN_HUMAN_.pdf", "Melting_Curves/meltCurve_sp_A4D1U4_LCHN_HUMAN_.pdf")</f>
        <v>Melting_Curves/meltCurve_sp_A4D1U4_LCHN_HUMAN_.pdf</v>
      </c>
      <c r="AA11" t="s">
        <v>10892</v>
      </c>
      <c r="AB11" t="s">
        <v>14437</v>
      </c>
    </row>
    <row r="12" spans="1:28" x14ac:dyDescent="0.25">
      <c r="A12" t="s">
        <v>16</v>
      </c>
      <c r="B12">
        <v>0.98018197421672304</v>
      </c>
      <c r="C12">
        <v>0.88023272421705301</v>
      </c>
      <c r="D12">
        <v>0.81973803229847697</v>
      </c>
      <c r="E12">
        <v>0.652606541560806</v>
      </c>
      <c r="F12">
        <v>0.31409993336368702</v>
      </c>
      <c r="G12">
        <v>0.160701250006346</v>
      </c>
      <c r="H12">
        <v>0.104639702020172</v>
      </c>
      <c r="I12">
        <v>8.4676017677795604E-2</v>
      </c>
      <c r="J12">
        <v>0.12065839319819401</v>
      </c>
      <c r="K12">
        <v>8.6165111090675997E-2</v>
      </c>
      <c r="L12">
        <v>841.15663344634004</v>
      </c>
      <c r="M12">
        <v>16.661094698576601</v>
      </c>
      <c r="N12">
        <v>50.929630120835498</v>
      </c>
      <c r="O12">
        <v>49.775796929808898</v>
      </c>
      <c r="P12">
        <v>-7.80370283827167E-2</v>
      </c>
      <c r="Q12">
        <v>6.7505477508242401E-2</v>
      </c>
      <c r="R12">
        <v>0.98596012831862601</v>
      </c>
      <c r="S12" t="s">
        <v>3641</v>
      </c>
      <c r="T12" t="s">
        <v>7256</v>
      </c>
      <c r="U12" t="s">
        <v>7256</v>
      </c>
      <c r="V12" t="s">
        <v>7256</v>
      </c>
      <c r="W12">
        <v>14</v>
      </c>
      <c r="X12" t="s">
        <v>7268</v>
      </c>
      <c r="Y12">
        <v>0.41165572949339851</v>
      </c>
      <c r="Z12" t="str">
        <f>HYPERLINK("Melting_Curves/meltCurve_sp_A5YKK6_2_CNOT1_HUMAN_.pdf", "Melting_Curves/meltCurve_sp_A5YKK6_2_CNOT1_HUMAN_.pdf")</f>
        <v>Melting_Curves/meltCurve_sp_A5YKK6_2_CNOT1_HUMAN_.pdf</v>
      </c>
      <c r="AA12" t="s">
        <v>10893</v>
      </c>
      <c r="AB12" t="s">
        <v>14438</v>
      </c>
    </row>
    <row r="13" spans="1:28" x14ac:dyDescent="0.25">
      <c r="A13" t="s">
        <v>17</v>
      </c>
      <c r="B13">
        <v>0.98018197421672304</v>
      </c>
      <c r="C13">
        <v>0.93030354005358196</v>
      </c>
      <c r="D13">
        <v>0.88835308967527504</v>
      </c>
      <c r="E13">
        <v>0.77762385881561003</v>
      </c>
      <c r="F13">
        <v>0.70711362514795495</v>
      </c>
      <c r="G13">
        <v>0.56616654707147995</v>
      </c>
      <c r="H13">
        <v>0.44751526415890902</v>
      </c>
      <c r="I13">
        <v>0.46860649266700699</v>
      </c>
      <c r="J13">
        <v>0.55634655209778805</v>
      </c>
      <c r="K13">
        <v>0.465123737294381</v>
      </c>
      <c r="L13">
        <v>648.24094274158995</v>
      </c>
      <c r="M13">
        <v>12.630212071846399</v>
      </c>
      <c r="N13">
        <v>62.969456078745999</v>
      </c>
      <c r="O13">
        <v>50.089000009248402</v>
      </c>
      <c r="P13">
        <v>-3.4575603043146198E-2</v>
      </c>
      <c r="Q13">
        <v>0.45162762624571601</v>
      </c>
      <c r="R13">
        <v>0.96411216632635399</v>
      </c>
      <c r="S13" t="s">
        <v>3642</v>
      </c>
      <c r="T13" t="s">
        <v>7256</v>
      </c>
      <c r="U13" t="s">
        <v>7256</v>
      </c>
      <c r="V13" t="s">
        <v>7256</v>
      </c>
      <c r="W13">
        <v>15</v>
      </c>
      <c r="X13" t="s">
        <v>7269</v>
      </c>
      <c r="Y13">
        <v>0.67493948293838169</v>
      </c>
      <c r="Z13" t="str">
        <f>HYPERLINK("Melting_Curves/meltCurve_sp_A6ND91_ASPD_HUMAN_.pdf", "Melting_Curves/meltCurve_sp_A6ND91_ASPD_HUMAN_.pdf")</f>
        <v>Melting_Curves/meltCurve_sp_A6ND91_ASPD_HUMAN_.pdf</v>
      </c>
      <c r="AA13" t="s">
        <v>10894</v>
      </c>
      <c r="AB13" t="s">
        <v>14439</v>
      </c>
    </row>
    <row r="14" spans="1:28" x14ac:dyDescent="0.25">
      <c r="A14" t="s">
        <v>18</v>
      </c>
      <c r="B14">
        <v>0.98018197421672304</v>
      </c>
      <c r="C14">
        <v>0.90646150819077997</v>
      </c>
      <c r="D14">
        <v>0.89075559510092495</v>
      </c>
      <c r="E14">
        <v>0.75169209798949099</v>
      </c>
      <c r="F14">
        <v>0.61279994563945706</v>
      </c>
      <c r="G14">
        <v>0.45566316259490403</v>
      </c>
      <c r="H14">
        <v>0.42874308152851098</v>
      </c>
      <c r="I14">
        <v>0.44603423904858303</v>
      </c>
      <c r="J14">
        <v>0.51865978134295099</v>
      </c>
      <c r="K14">
        <v>0.47597897893153601</v>
      </c>
      <c r="L14">
        <v>841.61221054660496</v>
      </c>
      <c r="M14">
        <v>16.861301886029299</v>
      </c>
      <c r="N14">
        <v>57.713966647306798</v>
      </c>
      <c r="O14">
        <v>49.227607017615597</v>
      </c>
      <c r="P14">
        <v>-4.7202044521925897E-2</v>
      </c>
      <c r="Q14">
        <v>0.44879810124469899</v>
      </c>
      <c r="R14">
        <v>0.965448913390625</v>
      </c>
      <c r="S14" t="s">
        <v>3643</v>
      </c>
      <c r="T14" t="s">
        <v>7256</v>
      </c>
      <c r="U14" t="s">
        <v>7256</v>
      </c>
      <c r="V14" t="s">
        <v>7256</v>
      </c>
      <c r="W14">
        <v>16</v>
      </c>
      <c r="X14" t="s">
        <v>7270</v>
      </c>
      <c r="Y14">
        <v>0.64159511962457949</v>
      </c>
      <c r="Z14" t="str">
        <f>HYPERLINK("Melting_Curves/meltCurve_sp_A6NDB9_PALM3_HUMAN_.pdf", "Melting_Curves/meltCurve_sp_A6NDB9_PALM3_HUMAN_.pdf")</f>
        <v>Melting_Curves/meltCurve_sp_A6NDB9_PALM3_HUMAN_.pdf</v>
      </c>
      <c r="AA14" t="s">
        <v>10895</v>
      </c>
      <c r="AB14" t="s">
        <v>14440</v>
      </c>
    </row>
    <row r="15" spans="1:28" x14ac:dyDescent="0.25">
      <c r="A15" t="s">
        <v>19</v>
      </c>
      <c r="B15">
        <v>0.98018197421672304</v>
      </c>
      <c r="C15">
        <v>0.96892640934577501</v>
      </c>
      <c r="D15">
        <v>0.89673593552661701</v>
      </c>
      <c r="E15">
        <v>0.76036360609350295</v>
      </c>
      <c r="F15">
        <v>0.76009780407484095</v>
      </c>
      <c r="G15">
        <v>0.724496567964936</v>
      </c>
      <c r="H15">
        <v>0.50158802084746001</v>
      </c>
      <c r="I15">
        <v>0.366417389360847</v>
      </c>
      <c r="J15">
        <v>0.115176581093851</v>
      </c>
      <c r="K15">
        <v>9.3304597459180696E-2</v>
      </c>
      <c r="L15">
        <v>640.446725284693</v>
      </c>
      <c r="M15">
        <v>10.7573462763214</v>
      </c>
      <c r="N15">
        <v>59.535767557981998</v>
      </c>
      <c r="O15">
        <v>57.589049318586603</v>
      </c>
      <c r="P15">
        <v>-4.6715918619906399E-2</v>
      </c>
      <c r="Q15">
        <v>0</v>
      </c>
      <c r="R15">
        <v>0.94133216939793596</v>
      </c>
      <c r="S15" t="s">
        <v>3644</v>
      </c>
      <c r="T15" t="s">
        <v>7256</v>
      </c>
      <c r="U15" t="s">
        <v>7256</v>
      </c>
      <c r="V15" t="s">
        <v>7256</v>
      </c>
      <c r="W15">
        <v>8</v>
      </c>
      <c r="X15" t="s">
        <v>7271</v>
      </c>
      <c r="Y15">
        <v>0.65321140889436236</v>
      </c>
      <c r="Z15" t="str">
        <f>HYPERLINK("Melting_Curves/meltCurve_sp_A6NDG6_PGP_HUMAN_.pdf", "Melting_Curves/meltCurve_sp_A6NDG6_PGP_HUMAN_.pdf")</f>
        <v>Melting_Curves/meltCurve_sp_A6NDG6_PGP_HUMAN_.pdf</v>
      </c>
      <c r="AA15" t="s">
        <v>10896</v>
      </c>
      <c r="AB15" t="s">
        <v>14441</v>
      </c>
    </row>
    <row r="16" spans="1:28" x14ac:dyDescent="0.25">
      <c r="A16" t="s">
        <v>20</v>
      </c>
      <c r="B16">
        <v>0.98018197421672304</v>
      </c>
      <c r="C16">
        <v>0.93436695303752404</v>
      </c>
      <c r="D16">
        <v>0.71184869493777603</v>
      </c>
      <c r="E16">
        <v>0.32274979572038898</v>
      </c>
      <c r="F16">
        <v>0.123974367471946</v>
      </c>
      <c r="G16">
        <v>4.4836799921708498E-2</v>
      </c>
      <c r="H16">
        <v>2.0361690709368899E-2</v>
      </c>
      <c r="I16">
        <v>2.41032200248096E-2</v>
      </c>
      <c r="J16">
        <v>1.9441489904594499E-2</v>
      </c>
      <c r="K16">
        <v>0</v>
      </c>
      <c r="L16">
        <v>1003.10478299718</v>
      </c>
      <c r="M16">
        <v>20.877699614717201</v>
      </c>
      <c r="N16">
        <v>48.0920001302024</v>
      </c>
      <c r="O16">
        <v>47.612414497731102</v>
      </c>
      <c r="P16">
        <v>-0.108559023908057</v>
      </c>
      <c r="Q16">
        <v>9.7346270943408399E-3</v>
      </c>
      <c r="R16">
        <v>0.99959082596160798</v>
      </c>
      <c r="S16" t="s">
        <v>3645</v>
      </c>
      <c r="T16" t="s">
        <v>7256</v>
      </c>
      <c r="U16" t="s">
        <v>7256</v>
      </c>
      <c r="V16" t="s">
        <v>7256</v>
      </c>
      <c r="W16">
        <v>1</v>
      </c>
      <c r="X16" t="s">
        <v>7272</v>
      </c>
      <c r="Y16">
        <v>0.288183276054574</v>
      </c>
      <c r="Z16" t="str">
        <f>HYPERLINK("Melting_Curves/meltCurve_sp_A6NDJ8_RB43L_HUMAN_.pdf", "Melting_Curves/meltCurve_sp_A6NDJ8_RB43L_HUMAN_.pdf")</f>
        <v>Melting_Curves/meltCurve_sp_A6NDJ8_RB43L_HUMAN_.pdf</v>
      </c>
      <c r="AB16" t="s">
        <v>14442</v>
      </c>
    </row>
    <row r="17" spans="1:28" x14ac:dyDescent="0.25">
      <c r="A17" t="s">
        <v>21</v>
      </c>
      <c r="B17">
        <v>0.98018197421672304</v>
      </c>
      <c r="C17">
        <v>1.0771868617108</v>
      </c>
      <c r="D17">
        <v>0.95217139149364904</v>
      </c>
      <c r="E17">
        <v>0.74545533158292099</v>
      </c>
      <c r="F17">
        <v>0.66077478763380404</v>
      </c>
      <c r="G17">
        <v>0.45749863970982801</v>
      </c>
      <c r="H17">
        <v>0.376638946257975</v>
      </c>
      <c r="I17">
        <v>0.36122465092220502</v>
      </c>
      <c r="J17">
        <v>0.61613893688429699</v>
      </c>
      <c r="K17">
        <v>0.71639675413821402</v>
      </c>
      <c r="L17">
        <v>1405.90479948905</v>
      </c>
      <c r="M17">
        <v>28.011715502722598</v>
      </c>
      <c r="O17">
        <v>49.936180495432097</v>
      </c>
      <c r="P17">
        <v>-6.8769686498597701E-2</v>
      </c>
      <c r="Q17">
        <v>0.509624295801684</v>
      </c>
      <c r="R17">
        <v>0.80638246914734801</v>
      </c>
      <c r="S17" t="s">
        <v>3646</v>
      </c>
      <c r="T17" t="s">
        <v>7256</v>
      </c>
      <c r="U17" t="s">
        <v>7256</v>
      </c>
      <c r="V17" t="s">
        <v>7256</v>
      </c>
      <c r="W17">
        <v>2</v>
      </c>
      <c r="X17" t="s">
        <v>7273</v>
      </c>
      <c r="Y17">
        <v>0.67968064905902115</v>
      </c>
      <c r="Z17" t="str">
        <f>HYPERLINK("Melting_Curves/meltCurve_sp_A6NEL2_SWAHB_HUMAN_.pdf", "Melting_Curves/meltCurve_sp_A6NEL2_SWAHB_HUMAN_.pdf")</f>
        <v>Melting_Curves/meltCurve_sp_A6NEL2_SWAHB_HUMAN_.pdf</v>
      </c>
      <c r="AA17" t="s">
        <v>10897</v>
      </c>
      <c r="AB17" t="s">
        <v>14443</v>
      </c>
    </row>
    <row r="18" spans="1:28" x14ac:dyDescent="0.25">
      <c r="A18" t="s">
        <v>22</v>
      </c>
      <c r="B18">
        <v>0.98018197421672304</v>
      </c>
      <c r="C18">
        <v>0.75163438778334402</v>
      </c>
      <c r="D18">
        <v>0.58417216444388198</v>
      </c>
      <c r="E18">
        <v>0.371485701392954</v>
      </c>
      <c r="F18">
        <v>0.211427651215498</v>
      </c>
      <c r="G18">
        <v>0.128238193830501</v>
      </c>
      <c r="H18">
        <v>9.1882671964482507E-2</v>
      </c>
      <c r="I18">
        <v>5.1937648746070597E-2</v>
      </c>
      <c r="J18">
        <v>6.21090855613173E-2</v>
      </c>
      <c r="K18">
        <v>5.3639919339458997E-2</v>
      </c>
      <c r="L18">
        <v>620.46433323672795</v>
      </c>
      <c r="M18">
        <v>13.171778279005499</v>
      </c>
      <c r="N18">
        <v>47.400688731078198</v>
      </c>
      <c r="O18">
        <v>46.059520917634302</v>
      </c>
      <c r="P18">
        <v>-6.8690254629638403E-2</v>
      </c>
      <c r="Q18">
        <v>3.9367649978233901E-2</v>
      </c>
      <c r="R18">
        <v>0.99293385880975404</v>
      </c>
      <c r="S18" t="s">
        <v>3647</v>
      </c>
      <c r="T18" t="s">
        <v>7256</v>
      </c>
      <c r="U18" t="s">
        <v>7256</v>
      </c>
      <c r="V18" t="s">
        <v>7256</v>
      </c>
      <c r="W18">
        <v>2</v>
      </c>
      <c r="X18" t="s">
        <v>7274</v>
      </c>
      <c r="Y18">
        <v>0.30048886809485947</v>
      </c>
      <c r="Z18" t="str">
        <f>HYPERLINK("Melting_Curves/meltCurve_sp_A6NHL2_2_TBAL3_HUMAN_.pdf", "Melting_Curves/meltCurve_sp_A6NHL2_2_TBAL3_HUMAN_.pdf")</f>
        <v>Melting_Curves/meltCurve_sp_A6NHL2_2_TBAL3_HUMAN_.pdf</v>
      </c>
      <c r="AA18" t="s">
        <v>10898</v>
      </c>
      <c r="AB18" t="s">
        <v>14444</v>
      </c>
    </row>
    <row r="19" spans="1:28" x14ac:dyDescent="0.25">
      <c r="A19" t="s">
        <v>23</v>
      </c>
      <c r="B19">
        <v>0.98018197421672304</v>
      </c>
      <c r="C19">
        <v>0.97738304002335596</v>
      </c>
      <c r="D19">
        <v>0.90364205951398102</v>
      </c>
      <c r="E19">
        <v>0.80507965858425001</v>
      </c>
      <c r="F19">
        <v>0.79952848308373503</v>
      </c>
      <c r="G19">
        <v>0.70553913428432602</v>
      </c>
      <c r="H19">
        <v>0.50976823842070396</v>
      </c>
      <c r="I19">
        <v>0.54388981581851803</v>
      </c>
      <c r="J19">
        <v>0.53480576281904202</v>
      </c>
      <c r="K19">
        <v>0.59042900507301499</v>
      </c>
      <c r="L19">
        <v>601.55686041444699</v>
      </c>
      <c r="M19">
        <v>11.3340315711117</v>
      </c>
      <c r="O19">
        <v>51.503563946589999</v>
      </c>
      <c r="P19">
        <v>-2.7401341865977698E-2</v>
      </c>
      <c r="Q19">
        <v>0.50208621787163699</v>
      </c>
      <c r="R19">
        <v>0.94413622270513997</v>
      </c>
      <c r="S19" t="s">
        <v>3648</v>
      </c>
      <c r="T19" t="s">
        <v>7256</v>
      </c>
      <c r="U19" t="s">
        <v>7256</v>
      </c>
      <c r="V19" t="s">
        <v>7256</v>
      </c>
      <c r="W19">
        <v>7</v>
      </c>
      <c r="X19" t="s">
        <v>7275</v>
      </c>
      <c r="Y19">
        <v>0.73407666341457267</v>
      </c>
      <c r="Z19" t="str">
        <f>HYPERLINK("Melting_Curves/meltCurve_sp_A6NK44_GLOD5_HUMAN_.pdf", "Melting_Curves/meltCurve_sp_A6NK44_GLOD5_HUMAN_.pdf")</f>
        <v>Melting_Curves/meltCurve_sp_A6NK44_GLOD5_HUMAN_.pdf</v>
      </c>
      <c r="AA19" t="s">
        <v>10899</v>
      </c>
      <c r="AB19" t="s">
        <v>14445</v>
      </c>
    </row>
    <row r="20" spans="1:28" x14ac:dyDescent="0.25">
      <c r="A20" t="s">
        <v>24</v>
      </c>
      <c r="B20">
        <v>0.98018197421672304</v>
      </c>
      <c r="C20">
        <v>0.70385688688190096</v>
      </c>
      <c r="D20">
        <v>1.05538580423997</v>
      </c>
      <c r="E20">
        <v>0.87301410929742396</v>
      </c>
      <c r="F20">
        <v>1.37913237718994</v>
      </c>
      <c r="G20">
        <v>1.1350123063685</v>
      </c>
      <c r="H20">
        <v>1.1799271907945399</v>
      </c>
      <c r="I20">
        <v>1.2808663692132101</v>
      </c>
      <c r="J20">
        <v>1.4596871425086899</v>
      </c>
      <c r="K20">
        <v>1.0595744891508601</v>
      </c>
      <c r="L20">
        <v>5259.6409741582302</v>
      </c>
      <c r="M20">
        <v>102.209563525237</v>
      </c>
      <c r="O20">
        <v>51.439691166249197</v>
      </c>
      <c r="P20">
        <v>0.12391908992782499</v>
      </c>
      <c r="Q20">
        <v>1.2494623470927799</v>
      </c>
      <c r="R20">
        <v>0.51413976402571904</v>
      </c>
      <c r="S20" t="s">
        <v>3649</v>
      </c>
      <c r="T20" t="s">
        <v>7256</v>
      </c>
      <c r="U20" t="s">
        <v>7256</v>
      </c>
      <c r="V20" t="s">
        <v>7256</v>
      </c>
      <c r="W20">
        <v>1</v>
      </c>
      <c r="X20" t="s">
        <v>7276</v>
      </c>
      <c r="Y20">
        <v>1.154037935961953</v>
      </c>
      <c r="Z20" t="str">
        <f>HYPERLINK("Melting_Curves/meltCurve_sp_A6NKN8_PC4L1_HUMAN_.pdf", "Melting_Curves/meltCurve_sp_A6NKN8_PC4L1_HUMAN_.pdf")</f>
        <v>Melting_Curves/meltCurve_sp_A6NKN8_PC4L1_HUMAN_.pdf</v>
      </c>
      <c r="AA20" t="s">
        <v>10900</v>
      </c>
      <c r="AB20" t="s">
        <v>14446</v>
      </c>
    </row>
    <row r="21" spans="1:28" x14ac:dyDescent="0.25">
      <c r="A21" t="s">
        <v>25</v>
      </c>
      <c r="B21">
        <v>0.98018197421672304</v>
      </c>
      <c r="C21">
        <v>1.0627436877051499</v>
      </c>
      <c r="D21">
        <v>0.92527704710973802</v>
      </c>
      <c r="E21">
        <v>0.81586511563784703</v>
      </c>
      <c r="F21">
        <v>0.67372228676893198</v>
      </c>
      <c r="G21">
        <v>0.438302515497207</v>
      </c>
      <c r="H21">
        <v>0.35096533460009699</v>
      </c>
      <c r="I21">
        <v>0.29264964874009702</v>
      </c>
      <c r="J21">
        <v>0.30501965775244</v>
      </c>
      <c r="K21">
        <v>0.31006291338675701</v>
      </c>
      <c r="L21">
        <v>958.27958791339302</v>
      </c>
      <c r="M21">
        <v>18.020019195169901</v>
      </c>
      <c r="N21">
        <v>55.770603075843802</v>
      </c>
      <c r="O21">
        <v>52.536681021218797</v>
      </c>
      <c r="P21">
        <v>-6.1433769469509701E-2</v>
      </c>
      <c r="Q21">
        <v>0.28360391036582999</v>
      </c>
      <c r="R21">
        <v>0.99050825969696399</v>
      </c>
      <c r="S21" t="s">
        <v>3650</v>
      </c>
      <c r="T21" t="s">
        <v>7256</v>
      </c>
      <c r="U21" t="s">
        <v>7256</v>
      </c>
      <c r="V21" t="s">
        <v>7256</v>
      </c>
      <c r="W21">
        <v>6</v>
      </c>
      <c r="X21" t="s">
        <v>7277</v>
      </c>
      <c r="Y21">
        <v>0.6099758531551418</v>
      </c>
      <c r="Z21" t="str">
        <f>HYPERLINK("Melting_Curves/meltCurve_sp_A6NLP5_TTC36_HUMAN_.pdf", "Melting_Curves/meltCurve_sp_A6NLP5_TTC36_HUMAN_.pdf")</f>
        <v>Melting_Curves/meltCurve_sp_A6NLP5_TTC36_HUMAN_.pdf</v>
      </c>
      <c r="AA21" t="s">
        <v>10901</v>
      </c>
      <c r="AB21" t="s">
        <v>14447</v>
      </c>
    </row>
    <row r="22" spans="1:28" x14ac:dyDescent="0.25">
      <c r="A22" t="s">
        <v>26</v>
      </c>
      <c r="B22">
        <v>0.98018197421672304</v>
      </c>
      <c r="C22">
        <v>0.84816914609419702</v>
      </c>
      <c r="D22">
        <v>0.86129964760663003</v>
      </c>
      <c r="E22">
        <v>0.69515031887149403</v>
      </c>
      <c r="F22">
        <v>0.64764125643399195</v>
      </c>
      <c r="G22">
        <v>0.37454001849267898</v>
      </c>
      <c r="H22">
        <v>0.23804487442556199</v>
      </c>
      <c r="I22">
        <v>0.15632393565439801</v>
      </c>
      <c r="J22">
        <v>0.20950195204914299</v>
      </c>
      <c r="K22">
        <v>0.20019865683782501</v>
      </c>
      <c r="L22">
        <v>557.80718766988002</v>
      </c>
      <c r="M22">
        <v>10.4217343914876</v>
      </c>
      <c r="N22">
        <v>54.425453655872701</v>
      </c>
      <c r="O22">
        <v>51.665303088154303</v>
      </c>
      <c r="P22">
        <v>-4.6448582567128402E-2</v>
      </c>
      <c r="Q22">
        <v>7.9314597178585799E-2</v>
      </c>
      <c r="R22">
        <v>0.97330392241535302</v>
      </c>
      <c r="S22" t="s">
        <v>3651</v>
      </c>
      <c r="T22" t="s">
        <v>7256</v>
      </c>
      <c r="U22" t="s">
        <v>7256</v>
      </c>
      <c r="V22" t="s">
        <v>7256</v>
      </c>
      <c r="W22">
        <v>3</v>
      </c>
      <c r="X22" t="s">
        <v>7278</v>
      </c>
      <c r="Y22">
        <v>0.52296580073016574</v>
      </c>
      <c r="Z22" t="str">
        <f>HYPERLINK("Melting_Curves/meltCurve_sp_A8MSI8_LYRM9_HUMAN_.pdf", "Melting_Curves/meltCurve_sp_A8MSI8_LYRM9_HUMAN_.pdf")</f>
        <v>Melting_Curves/meltCurve_sp_A8MSI8_LYRM9_HUMAN_.pdf</v>
      </c>
      <c r="AA22" t="s">
        <v>10902</v>
      </c>
      <c r="AB22" t="s">
        <v>14448</v>
      </c>
    </row>
    <row r="23" spans="1:28" x14ac:dyDescent="0.25">
      <c r="A23" t="s">
        <v>27</v>
      </c>
      <c r="B23">
        <v>0.98018197421672304</v>
      </c>
      <c r="C23">
        <v>1.02346756685967</v>
      </c>
      <c r="D23">
        <v>0.94513299141572904</v>
      </c>
      <c r="E23">
        <v>0.78946942326624203</v>
      </c>
      <c r="F23">
        <v>0.79053064132916195</v>
      </c>
      <c r="G23">
        <v>0.409433432906328</v>
      </c>
      <c r="H23">
        <v>7.2079777598540506E-2</v>
      </c>
      <c r="I23">
        <v>4.1596447923853003E-2</v>
      </c>
      <c r="J23">
        <v>4.8223395328691597E-2</v>
      </c>
      <c r="K23">
        <v>4.1307990657681197E-2</v>
      </c>
      <c r="L23">
        <v>1122.21465748182</v>
      </c>
      <c r="M23">
        <v>20.187155550969099</v>
      </c>
      <c r="N23">
        <v>55.590550589453997</v>
      </c>
      <c r="O23">
        <v>55.053645312744202</v>
      </c>
      <c r="P23">
        <v>-9.1673262140101006E-2</v>
      </c>
      <c r="Q23">
        <v>0</v>
      </c>
      <c r="R23">
        <v>0.98366285168029899</v>
      </c>
      <c r="S23" t="s">
        <v>3652</v>
      </c>
      <c r="T23" t="s">
        <v>7256</v>
      </c>
      <c r="U23" t="s">
        <v>7256</v>
      </c>
      <c r="V23" t="s">
        <v>7256</v>
      </c>
      <c r="W23">
        <v>5</v>
      </c>
      <c r="X23" t="s">
        <v>7279</v>
      </c>
      <c r="Y23">
        <v>0.53259250811322578</v>
      </c>
      <c r="Z23" t="str">
        <f>HYPERLINK("Melting_Curves/meltCurve_sp_A8MXV4_NUD19_HUMAN_.pdf", "Melting_Curves/meltCurve_sp_A8MXV4_NUD19_HUMAN_.pdf")</f>
        <v>Melting_Curves/meltCurve_sp_A8MXV4_NUD19_HUMAN_.pdf</v>
      </c>
      <c r="AA23" t="s">
        <v>10903</v>
      </c>
      <c r="AB23" t="s">
        <v>14449</v>
      </c>
    </row>
    <row r="24" spans="1:28" x14ac:dyDescent="0.25">
      <c r="A24" t="s">
        <v>28</v>
      </c>
      <c r="B24">
        <v>0.98018197421672304</v>
      </c>
      <c r="C24">
        <v>0.88865994630020495</v>
      </c>
      <c r="D24">
        <v>0.91454853853907403</v>
      </c>
      <c r="E24">
        <v>0.79708510575928704</v>
      </c>
      <c r="F24">
        <v>0.71910602535607204</v>
      </c>
      <c r="G24">
        <v>0.53887690072841998</v>
      </c>
      <c r="H24">
        <v>0.67097820063309999</v>
      </c>
      <c r="I24">
        <v>0.71432560874956497</v>
      </c>
      <c r="J24">
        <v>0.77389218713661001</v>
      </c>
      <c r="K24">
        <v>0.83473889719572902</v>
      </c>
      <c r="L24">
        <v>910.00915856101199</v>
      </c>
      <c r="M24">
        <v>19.526279939260299</v>
      </c>
      <c r="O24">
        <v>46.1237780276211</v>
      </c>
      <c r="P24">
        <v>-3.0891301706808798E-2</v>
      </c>
      <c r="Q24">
        <v>0.70813230953650796</v>
      </c>
      <c r="R24">
        <v>0.60111270895866997</v>
      </c>
      <c r="S24" t="s">
        <v>3653</v>
      </c>
      <c r="T24" t="s">
        <v>7256</v>
      </c>
      <c r="U24" t="s">
        <v>7256</v>
      </c>
      <c r="V24" t="s">
        <v>7256</v>
      </c>
      <c r="W24">
        <v>5</v>
      </c>
      <c r="X24" t="s">
        <v>7280</v>
      </c>
      <c r="Y24">
        <v>0.77697568506939874</v>
      </c>
      <c r="Z24" t="str">
        <f>HYPERLINK("Melting_Curves/meltCurve_sp_B1AK53_ESPN_HUMAN_.pdf", "Melting_Curves/meltCurve_sp_B1AK53_ESPN_HUMAN_.pdf")</f>
        <v>Melting_Curves/meltCurve_sp_B1AK53_ESPN_HUMAN_.pdf</v>
      </c>
      <c r="AA24" t="s">
        <v>10904</v>
      </c>
      <c r="AB24" t="s">
        <v>14450</v>
      </c>
    </row>
    <row r="25" spans="1:28" x14ac:dyDescent="0.25">
      <c r="A25" t="s">
        <v>29</v>
      </c>
      <c r="B25">
        <v>0.98018197421672304</v>
      </c>
      <c r="C25">
        <v>0.89457332079367902</v>
      </c>
      <c r="D25">
        <v>0.86317310873290698</v>
      </c>
      <c r="E25">
        <v>0.805484802912797</v>
      </c>
      <c r="F25">
        <v>0.62505745066325102</v>
      </c>
      <c r="G25">
        <v>0.37975911762905101</v>
      </c>
      <c r="H25">
        <v>0.230338273809367</v>
      </c>
      <c r="I25">
        <v>0.18074600805096899</v>
      </c>
      <c r="J25">
        <v>0.17564588026664399</v>
      </c>
      <c r="K25">
        <v>0.21531522420980201</v>
      </c>
      <c r="L25">
        <v>740.251304534106</v>
      </c>
      <c r="M25">
        <v>13.8165642969012</v>
      </c>
      <c r="N25">
        <v>54.748585402527297</v>
      </c>
      <c r="O25">
        <v>52.492146801235798</v>
      </c>
      <c r="P25">
        <v>-5.7389958777401801E-2</v>
      </c>
      <c r="Q25">
        <v>0.127973520068314</v>
      </c>
      <c r="R25">
        <v>0.98263071299093296</v>
      </c>
      <c r="S25" t="s">
        <v>3654</v>
      </c>
      <c r="T25" t="s">
        <v>7256</v>
      </c>
      <c r="U25" t="s">
        <v>7256</v>
      </c>
      <c r="V25" t="s">
        <v>7256</v>
      </c>
      <c r="W25">
        <v>1</v>
      </c>
      <c r="X25" t="s">
        <v>7281</v>
      </c>
      <c r="Y25">
        <v>0.54288978798361276</v>
      </c>
      <c r="Z25" t="str">
        <f>HYPERLINK("Melting_Curves/meltCurve_sp_B7ZAP0_RBG10_HUMAN_.pdf", "Melting_Curves/meltCurve_sp_B7ZAP0_RBG10_HUMAN_.pdf")</f>
        <v>Melting_Curves/meltCurve_sp_B7ZAP0_RBG10_HUMAN_.pdf</v>
      </c>
      <c r="AA25" t="s">
        <v>10905</v>
      </c>
      <c r="AB25" t="s">
        <v>14451</v>
      </c>
    </row>
    <row r="26" spans="1:28" x14ac:dyDescent="0.25">
      <c r="A26" t="s">
        <v>30</v>
      </c>
      <c r="B26">
        <v>0.98018197421672304</v>
      </c>
      <c r="C26">
        <v>0.90939367821356198</v>
      </c>
      <c r="D26">
        <v>0.75273537100444998</v>
      </c>
      <c r="E26">
        <v>0.61634425031420503</v>
      </c>
      <c r="F26">
        <v>0.39199210128178302</v>
      </c>
      <c r="G26">
        <v>0.248354052432156</v>
      </c>
      <c r="H26">
        <v>0.20897201547184099</v>
      </c>
      <c r="I26">
        <v>0.172400495261466</v>
      </c>
      <c r="J26">
        <v>0.27998080383554702</v>
      </c>
      <c r="K26">
        <v>0.23405178272271901</v>
      </c>
      <c r="L26">
        <v>738.95726977906099</v>
      </c>
      <c r="M26">
        <v>15.011795318220001</v>
      </c>
      <c r="N26">
        <v>50.924110461123703</v>
      </c>
      <c r="O26">
        <v>48.376368261087798</v>
      </c>
      <c r="P26">
        <v>-6.2302290692144699E-2</v>
      </c>
      <c r="Q26">
        <v>0.19699009512191601</v>
      </c>
      <c r="R26">
        <v>0.98096528683261397</v>
      </c>
      <c r="S26" t="s">
        <v>3655</v>
      </c>
      <c r="T26" t="s">
        <v>7256</v>
      </c>
      <c r="U26" t="s">
        <v>7256</v>
      </c>
      <c r="V26" t="s">
        <v>7256</v>
      </c>
      <c r="W26">
        <v>2</v>
      </c>
      <c r="X26" t="s">
        <v>7282</v>
      </c>
      <c r="Y26">
        <v>0.46354647133357307</v>
      </c>
      <c r="Z26" t="str">
        <f>HYPERLINK("Melting_Curves/meltCurve_sp_B7ZBB8_PP13G_HUMAN_.pdf", "Melting_Curves/meltCurve_sp_B7ZBB8_PP13G_HUMAN_.pdf")</f>
        <v>Melting_Curves/meltCurve_sp_B7ZBB8_PP13G_HUMAN_.pdf</v>
      </c>
      <c r="AA26" t="s">
        <v>10906</v>
      </c>
      <c r="AB26" t="s">
        <v>14452</v>
      </c>
    </row>
    <row r="27" spans="1:28" x14ac:dyDescent="0.25">
      <c r="A27" t="s">
        <v>31</v>
      </c>
      <c r="B27">
        <v>0.98018197421672304</v>
      </c>
      <c r="C27">
        <v>0.85059208288981403</v>
      </c>
      <c r="D27">
        <v>0.74774583401118799</v>
      </c>
      <c r="E27">
        <v>0.57936300671185503</v>
      </c>
      <c r="F27">
        <v>0.35887244955447201</v>
      </c>
      <c r="G27">
        <v>0.20731937512929499</v>
      </c>
      <c r="H27">
        <v>0.31970813914624602</v>
      </c>
      <c r="I27">
        <v>0.29431167976945999</v>
      </c>
      <c r="J27">
        <v>0.27568726237665198</v>
      </c>
      <c r="K27">
        <v>0.23607072934881099</v>
      </c>
      <c r="L27">
        <v>734.90089097093596</v>
      </c>
      <c r="M27">
        <v>15.290565177063501</v>
      </c>
      <c r="N27">
        <v>50.2776457749843</v>
      </c>
      <c r="O27">
        <v>47.262793073273102</v>
      </c>
      <c r="P27">
        <v>-6.1062932659711099E-2</v>
      </c>
      <c r="Q27">
        <v>0.24509400386534699</v>
      </c>
      <c r="R27">
        <v>0.96988727022675303</v>
      </c>
      <c r="S27" t="s">
        <v>3656</v>
      </c>
      <c r="T27" t="s">
        <v>7256</v>
      </c>
      <c r="U27" t="s">
        <v>7256</v>
      </c>
      <c r="V27" t="s">
        <v>7256</v>
      </c>
      <c r="W27">
        <v>6</v>
      </c>
      <c r="X27" t="s">
        <v>7283</v>
      </c>
      <c r="Y27">
        <v>0.46661929680686909</v>
      </c>
      <c r="Z27" t="str">
        <f>HYPERLINK("Melting_Curves/meltCurve_sp_C4AMC7_WASH3_HUMAN_.pdf", "Melting_Curves/meltCurve_sp_C4AMC7_WASH3_HUMAN_.pdf")</f>
        <v>Melting_Curves/meltCurve_sp_C4AMC7_WASH3_HUMAN_.pdf</v>
      </c>
      <c r="AA27" t="s">
        <v>10907</v>
      </c>
      <c r="AB27" t="s">
        <v>14453</v>
      </c>
    </row>
    <row r="28" spans="1:28" x14ac:dyDescent="0.25">
      <c r="A28" t="s">
        <v>32</v>
      </c>
      <c r="B28">
        <v>0.98018197421672304</v>
      </c>
      <c r="C28">
        <v>0.94387893058987804</v>
      </c>
      <c r="D28">
        <v>0.86780587026663503</v>
      </c>
      <c r="E28">
        <v>0.77100566219782096</v>
      </c>
      <c r="F28">
        <v>0.65634772581546497</v>
      </c>
      <c r="G28">
        <v>0.443711562810509</v>
      </c>
      <c r="H28">
        <v>0.221465453241973</v>
      </c>
      <c r="I28">
        <v>0.14505566078717899</v>
      </c>
      <c r="J28">
        <v>0.12418283436875401</v>
      </c>
      <c r="K28">
        <v>9.5301811784810606E-2</v>
      </c>
      <c r="L28">
        <v>636.826768240565</v>
      </c>
      <c r="M28">
        <v>11.5075551403988</v>
      </c>
      <c r="N28">
        <v>55.339884141129502</v>
      </c>
      <c r="O28">
        <v>53.747843077298697</v>
      </c>
      <c r="P28">
        <v>-5.3540834794282101E-2</v>
      </c>
      <c r="Q28">
        <v>0</v>
      </c>
      <c r="R28">
        <v>0.99448033710255201</v>
      </c>
      <c r="S28" t="s">
        <v>3657</v>
      </c>
      <c r="T28" t="s">
        <v>7256</v>
      </c>
      <c r="U28" t="s">
        <v>7256</v>
      </c>
      <c r="V28" t="s">
        <v>7256</v>
      </c>
      <c r="W28">
        <v>10</v>
      </c>
      <c r="X28" t="s">
        <v>7284</v>
      </c>
      <c r="Y28">
        <v>0.53432023248418559</v>
      </c>
      <c r="Z28" t="str">
        <f>HYPERLINK("Melting_Curves/meltCurve_sp_O00142_KITM_HUMAN_.pdf", "Melting_Curves/meltCurve_sp_O00142_KITM_HUMAN_.pdf")</f>
        <v>Melting_Curves/meltCurve_sp_O00142_KITM_HUMAN_.pdf</v>
      </c>
      <c r="AA28" t="s">
        <v>10908</v>
      </c>
      <c r="AB28" t="s">
        <v>14454</v>
      </c>
    </row>
    <row r="29" spans="1:28" x14ac:dyDescent="0.25">
      <c r="A29" t="s">
        <v>33</v>
      </c>
      <c r="B29">
        <v>0.98018197421672304</v>
      </c>
      <c r="C29">
        <v>0.96581297463449201</v>
      </c>
      <c r="D29">
        <v>0.91919680062491005</v>
      </c>
      <c r="E29">
        <v>0.79176013599841999</v>
      </c>
      <c r="F29">
        <v>0.734455329731587</v>
      </c>
      <c r="G29">
        <v>0.52948619241234496</v>
      </c>
      <c r="H29">
        <v>0.48274360543603101</v>
      </c>
      <c r="I29">
        <v>0.50040244289500602</v>
      </c>
      <c r="J29">
        <v>0.639072157156924</v>
      </c>
      <c r="K29">
        <v>0.80555453349831696</v>
      </c>
      <c r="L29">
        <v>1120.34118986052</v>
      </c>
      <c r="M29">
        <v>22.503242881791699</v>
      </c>
      <c r="O29">
        <v>49.397610657325401</v>
      </c>
      <c r="P29">
        <v>-4.6138442729940901E-2</v>
      </c>
      <c r="Q29">
        <v>0.59488820018156996</v>
      </c>
      <c r="R29">
        <v>0.74827382639787898</v>
      </c>
      <c r="S29" t="s">
        <v>3658</v>
      </c>
      <c r="T29" t="s">
        <v>7256</v>
      </c>
      <c r="U29" t="s">
        <v>7256</v>
      </c>
      <c r="V29" t="s">
        <v>7256</v>
      </c>
      <c r="W29">
        <v>21</v>
      </c>
      <c r="X29" t="s">
        <v>7285</v>
      </c>
      <c r="Y29">
        <v>0.73149801307383011</v>
      </c>
      <c r="Z29" t="str">
        <f>HYPERLINK("Melting_Curves/meltCurve_sp_O00151_PDLI1_HUMAN_.pdf", "Melting_Curves/meltCurve_sp_O00151_PDLI1_HUMAN_.pdf")</f>
        <v>Melting_Curves/meltCurve_sp_O00151_PDLI1_HUMAN_.pdf</v>
      </c>
      <c r="AA29" t="s">
        <v>10909</v>
      </c>
      <c r="AB29" t="s">
        <v>14455</v>
      </c>
    </row>
    <row r="30" spans="1:28" x14ac:dyDescent="0.25">
      <c r="A30" t="s">
        <v>34</v>
      </c>
      <c r="B30">
        <v>0.98018197421672304</v>
      </c>
      <c r="C30">
        <v>0.88422556069234703</v>
      </c>
      <c r="D30">
        <v>0.73295717993748899</v>
      </c>
      <c r="E30">
        <v>0.56969382738026897</v>
      </c>
      <c r="F30">
        <v>0.39583747282663301</v>
      </c>
      <c r="G30">
        <v>0.28343012644404603</v>
      </c>
      <c r="H30">
        <v>0.23147539004471401</v>
      </c>
      <c r="I30">
        <v>9.8809132744096001E-2</v>
      </c>
      <c r="J30">
        <v>5.4419501843627698E-2</v>
      </c>
      <c r="K30">
        <v>1.55176821296658E-2</v>
      </c>
      <c r="L30">
        <v>520.87465979579804</v>
      </c>
      <c r="M30">
        <v>10.163827448383801</v>
      </c>
      <c r="N30">
        <v>51.247866070583903</v>
      </c>
      <c r="O30">
        <v>49.382763849942002</v>
      </c>
      <c r="P30">
        <v>-5.14778488124749E-2</v>
      </c>
      <c r="Q30">
        <v>0</v>
      </c>
      <c r="R30">
        <v>0.99032987496116998</v>
      </c>
      <c r="S30" t="s">
        <v>3659</v>
      </c>
      <c r="T30" t="s">
        <v>7256</v>
      </c>
      <c r="U30" t="s">
        <v>7256</v>
      </c>
      <c r="V30" t="s">
        <v>7256</v>
      </c>
      <c r="W30">
        <v>5</v>
      </c>
      <c r="X30" t="s">
        <v>7286</v>
      </c>
      <c r="Y30">
        <v>0.41483660923709342</v>
      </c>
      <c r="Z30" t="str">
        <f>HYPERLINK("Melting_Curves/meltCurve_sp_O00154_4_BACH_HUMAN_.pdf", "Melting_Curves/meltCurve_sp_O00154_4_BACH_HUMAN_.pdf")</f>
        <v>Melting_Curves/meltCurve_sp_O00154_4_BACH_HUMAN_.pdf</v>
      </c>
      <c r="AA30" t="s">
        <v>10910</v>
      </c>
      <c r="AB30" t="s">
        <v>14456</v>
      </c>
    </row>
    <row r="31" spans="1:28" x14ac:dyDescent="0.25">
      <c r="A31" t="s">
        <v>35</v>
      </c>
      <c r="B31">
        <v>0.98018197421672304</v>
      </c>
      <c r="C31">
        <v>0.77541774679659703</v>
      </c>
      <c r="D31">
        <v>0.89065046151969596</v>
      </c>
      <c r="E31">
        <v>0.66949450321055304</v>
      </c>
      <c r="F31">
        <v>0.49922118450960401</v>
      </c>
      <c r="G31">
        <v>0.41305088430638698</v>
      </c>
      <c r="H31">
        <v>0.26690159135784097</v>
      </c>
      <c r="I31">
        <v>0.25908167995307901</v>
      </c>
      <c r="J31">
        <v>0.27633883143018101</v>
      </c>
      <c r="K31">
        <v>0.41434120486364001</v>
      </c>
      <c r="L31">
        <v>628.03435302759397</v>
      </c>
      <c r="M31">
        <v>12.5533521564527</v>
      </c>
      <c r="N31">
        <v>53.344903004020701</v>
      </c>
      <c r="O31">
        <v>48.810564162698498</v>
      </c>
      <c r="P31">
        <v>-4.6890674138632203E-2</v>
      </c>
      <c r="Q31">
        <v>0.27085703282686402</v>
      </c>
      <c r="R31">
        <v>0.91957837157856703</v>
      </c>
      <c r="S31" t="s">
        <v>3660</v>
      </c>
      <c r="T31" t="s">
        <v>7256</v>
      </c>
      <c r="U31" t="s">
        <v>7256</v>
      </c>
      <c r="V31" t="s">
        <v>7256</v>
      </c>
      <c r="W31">
        <v>2</v>
      </c>
      <c r="X31" t="s">
        <v>7287</v>
      </c>
      <c r="Y31">
        <v>0.5380784743426541</v>
      </c>
      <c r="Z31" t="str">
        <f>HYPERLINK("Melting_Curves/meltCurve_sp_O00161_2_SNP23_HUMAN_.pdf", "Melting_Curves/meltCurve_sp_O00161_2_SNP23_HUMAN_.pdf")</f>
        <v>Melting_Curves/meltCurve_sp_O00161_2_SNP23_HUMAN_.pdf</v>
      </c>
      <c r="AA31" t="s">
        <v>10911</v>
      </c>
      <c r="AB31" t="s">
        <v>14457</v>
      </c>
    </row>
    <row r="32" spans="1:28" x14ac:dyDescent="0.25">
      <c r="A32" t="s">
        <v>36</v>
      </c>
      <c r="B32">
        <v>0.98018197421672304</v>
      </c>
      <c r="C32">
        <v>0.96016779348347603</v>
      </c>
      <c r="D32">
        <v>0.90910895111481005</v>
      </c>
      <c r="E32">
        <v>0.76682596167734596</v>
      </c>
      <c r="F32">
        <v>0.47966656475200298</v>
      </c>
      <c r="G32">
        <v>0.16067975770394299</v>
      </c>
      <c r="H32">
        <v>7.1332444140966594E-2</v>
      </c>
      <c r="I32">
        <v>5.0396673413135001E-2</v>
      </c>
      <c r="J32">
        <v>5.4009269523959E-2</v>
      </c>
      <c r="K32">
        <v>4.1365626267675502E-2</v>
      </c>
      <c r="L32">
        <v>1120.7035498214</v>
      </c>
      <c r="M32">
        <v>21.341326513386299</v>
      </c>
      <c r="N32">
        <v>52.670872157381901</v>
      </c>
      <c r="O32">
        <v>52.058758496339898</v>
      </c>
      <c r="P32">
        <v>-9.93201249537915E-2</v>
      </c>
      <c r="Q32">
        <v>3.09223038950673E-2</v>
      </c>
      <c r="R32">
        <v>0.997085586618909</v>
      </c>
      <c r="S32" t="s">
        <v>3661</v>
      </c>
      <c r="T32" t="s">
        <v>7256</v>
      </c>
      <c r="U32" t="s">
        <v>7256</v>
      </c>
      <c r="V32" t="s">
        <v>7256</v>
      </c>
      <c r="W32">
        <v>9</v>
      </c>
      <c r="X32" t="s">
        <v>7288</v>
      </c>
      <c r="Y32">
        <v>0.44705401805072947</v>
      </c>
      <c r="Z32" t="str">
        <f>HYPERLINK("Melting_Curves/meltCurve_sp_O00170_AIP_HUMAN_.pdf", "Melting_Curves/meltCurve_sp_O00170_AIP_HUMAN_.pdf")</f>
        <v>Melting_Curves/meltCurve_sp_O00170_AIP_HUMAN_.pdf</v>
      </c>
      <c r="AA32" t="s">
        <v>10912</v>
      </c>
      <c r="AB32" t="s">
        <v>14458</v>
      </c>
    </row>
    <row r="33" spans="1:28" x14ac:dyDescent="0.25">
      <c r="A33" t="s">
        <v>37</v>
      </c>
      <c r="B33">
        <v>0.98018197421672304</v>
      </c>
      <c r="C33">
        <v>0.77770136617235097</v>
      </c>
      <c r="D33">
        <v>0.84298503942610403</v>
      </c>
      <c r="E33">
        <v>0.54595104329139299</v>
      </c>
      <c r="F33">
        <v>0.36068369632288599</v>
      </c>
      <c r="G33">
        <v>0.22378561817482501</v>
      </c>
      <c r="H33">
        <v>0.14177219283102099</v>
      </c>
      <c r="I33">
        <v>8.9193780046821394E-2</v>
      </c>
      <c r="J33">
        <v>0.126057760975155</v>
      </c>
      <c r="K33">
        <v>9.9116777586646707E-2</v>
      </c>
      <c r="L33">
        <v>618.018520842719</v>
      </c>
      <c r="M33">
        <v>12.325948030730901</v>
      </c>
      <c r="N33">
        <v>50.636399640073499</v>
      </c>
      <c r="O33">
        <v>48.874700407556098</v>
      </c>
      <c r="P33">
        <v>-5.9471076061059003E-2</v>
      </c>
      <c r="Q33">
        <v>5.6948935003528003E-2</v>
      </c>
      <c r="R33">
        <v>0.978672047203617</v>
      </c>
      <c r="S33" t="s">
        <v>3662</v>
      </c>
      <c r="T33" t="s">
        <v>7256</v>
      </c>
      <c r="U33" t="s">
        <v>7256</v>
      </c>
      <c r="V33" t="s">
        <v>7256</v>
      </c>
      <c r="W33">
        <v>4</v>
      </c>
      <c r="X33" t="s">
        <v>7289</v>
      </c>
      <c r="Y33">
        <v>0.40674229573570492</v>
      </c>
      <c r="Z33" t="str">
        <f>HYPERLINK("Melting_Curves/meltCurve_sp_O00178_GTPB1_HUMAN_.pdf", "Melting_Curves/meltCurve_sp_O00178_GTPB1_HUMAN_.pdf")</f>
        <v>Melting_Curves/meltCurve_sp_O00178_GTPB1_HUMAN_.pdf</v>
      </c>
      <c r="AA33" t="s">
        <v>10913</v>
      </c>
      <c r="AB33" t="s">
        <v>14459</v>
      </c>
    </row>
    <row r="34" spans="1:28" x14ac:dyDescent="0.25">
      <c r="A34" t="s">
        <v>38</v>
      </c>
      <c r="B34">
        <v>0.98018197421672304</v>
      </c>
      <c r="C34">
        <v>0.94296945854194802</v>
      </c>
      <c r="D34">
        <v>0.747066839905004</v>
      </c>
      <c r="E34">
        <v>0.45487629119342399</v>
      </c>
      <c r="F34">
        <v>0.22178753332913001</v>
      </c>
      <c r="G34">
        <v>0.105144392049439</v>
      </c>
      <c r="H34">
        <v>6.1206222342071202E-2</v>
      </c>
      <c r="I34">
        <v>4.3307463661105099E-2</v>
      </c>
      <c r="J34">
        <v>4.4667423513201299E-2</v>
      </c>
      <c r="K34">
        <v>2.7010273762837801E-2</v>
      </c>
      <c r="L34">
        <v>853.92110869862699</v>
      </c>
      <c r="M34">
        <v>17.407179362350298</v>
      </c>
      <c r="N34">
        <v>49.215201352450897</v>
      </c>
      <c r="O34">
        <v>48.422003590642802</v>
      </c>
      <c r="P34">
        <v>-8.7412074487016295E-2</v>
      </c>
      <c r="Q34">
        <v>2.74290138145553E-2</v>
      </c>
      <c r="R34">
        <v>0.99895236983171098</v>
      </c>
      <c r="S34" t="s">
        <v>3663</v>
      </c>
      <c r="T34" t="s">
        <v>7256</v>
      </c>
      <c r="U34" t="s">
        <v>7256</v>
      </c>
      <c r="V34" t="s">
        <v>7256</v>
      </c>
      <c r="W34">
        <v>11</v>
      </c>
      <c r="X34" t="s">
        <v>7290</v>
      </c>
      <c r="Y34">
        <v>0.3389877968352199</v>
      </c>
      <c r="Z34" t="str">
        <f>HYPERLINK("Melting_Curves/meltCurve_sp_O00231_PSD11_HUMAN_.pdf", "Melting_Curves/meltCurve_sp_O00231_PSD11_HUMAN_.pdf")</f>
        <v>Melting_Curves/meltCurve_sp_O00231_PSD11_HUMAN_.pdf</v>
      </c>
      <c r="AA34" t="s">
        <v>10914</v>
      </c>
      <c r="AB34" t="s">
        <v>14460</v>
      </c>
    </row>
    <row r="35" spans="1:28" x14ac:dyDescent="0.25">
      <c r="A35" t="s">
        <v>39</v>
      </c>
      <c r="B35">
        <v>0.98018197421672304</v>
      </c>
      <c r="C35">
        <v>0.84535257474218695</v>
      </c>
      <c r="D35">
        <v>0.68295115815169005</v>
      </c>
      <c r="E35">
        <v>0.42726324952301198</v>
      </c>
      <c r="F35">
        <v>0.20270046396567801</v>
      </c>
      <c r="G35">
        <v>0.104324358278478</v>
      </c>
      <c r="H35">
        <v>7.5471734179274705E-2</v>
      </c>
      <c r="I35">
        <v>6.1672456044892097E-2</v>
      </c>
      <c r="J35">
        <v>8.9412090870163594E-2</v>
      </c>
      <c r="K35">
        <v>5.0527228856643201E-2</v>
      </c>
      <c r="L35">
        <v>742.86112949778601</v>
      </c>
      <c r="M35">
        <v>15.436199782911</v>
      </c>
      <c r="N35">
        <v>48.422614512683502</v>
      </c>
      <c r="O35">
        <v>47.338633868484301</v>
      </c>
      <c r="P35">
        <v>-7.7833024560241798E-2</v>
      </c>
      <c r="Q35">
        <v>4.5315214117384199E-2</v>
      </c>
      <c r="R35">
        <v>0.99566827840902195</v>
      </c>
      <c r="S35" t="s">
        <v>3664</v>
      </c>
      <c r="T35" t="s">
        <v>7256</v>
      </c>
      <c r="U35" t="s">
        <v>7256</v>
      </c>
      <c r="V35" t="s">
        <v>7256</v>
      </c>
      <c r="W35">
        <v>11</v>
      </c>
      <c r="X35" t="s">
        <v>7291</v>
      </c>
      <c r="Y35">
        <v>0.32694225305217439</v>
      </c>
      <c r="Z35" t="str">
        <f>HYPERLINK("Melting_Curves/meltCurve_sp_O00232_PSD12_HUMAN_.pdf", "Melting_Curves/meltCurve_sp_O00232_PSD12_HUMAN_.pdf")</f>
        <v>Melting_Curves/meltCurve_sp_O00232_PSD12_HUMAN_.pdf</v>
      </c>
      <c r="AA35" t="s">
        <v>10915</v>
      </c>
      <c r="AB35" t="s">
        <v>14461</v>
      </c>
    </row>
    <row r="36" spans="1:28" x14ac:dyDescent="0.25">
      <c r="A36" t="s">
        <v>40</v>
      </c>
      <c r="B36">
        <v>0.98018197421672304</v>
      </c>
      <c r="C36">
        <v>0.981539894272908</v>
      </c>
      <c r="D36">
        <v>0.91383570743335996</v>
      </c>
      <c r="E36">
        <v>0.79481488796569699</v>
      </c>
      <c r="F36">
        <v>0.847851329947648</v>
      </c>
      <c r="G36">
        <v>0.70692649167112998</v>
      </c>
      <c r="H36">
        <v>0.50839720231538699</v>
      </c>
      <c r="I36">
        <v>0.51874496989089502</v>
      </c>
      <c r="J36">
        <v>0.52944780432434202</v>
      </c>
      <c r="K36">
        <v>0.82830028643531195</v>
      </c>
      <c r="L36">
        <v>767.07998282302901</v>
      </c>
      <c r="M36">
        <v>14.908662339919101</v>
      </c>
      <c r="O36">
        <v>50.552869102592503</v>
      </c>
      <c r="P36">
        <v>-2.9778947383966001E-2</v>
      </c>
      <c r="Q36">
        <v>0.596139362393865</v>
      </c>
      <c r="R36">
        <v>0.69767639078898702</v>
      </c>
      <c r="S36" t="s">
        <v>3665</v>
      </c>
      <c r="T36" t="s">
        <v>7256</v>
      </c>
      <c r="U36" t="s">
        <v>7256</v>
      </c>
      <c r="V36" t="s">
        <v>7256</v>
      </c>
      <c r="W36">
        <v>7</v>
      </c>
      <c r="X36" t="s">
        <v>7292</v>
      </c>
      <c r="Y36">
        <v>0.75959301842954641</v>
      </c>
      <c r="Z36" t="str">
        <f>HYPERLINK("Melting_Curves/meltCurve_sp_O00244_ATOX1_HUMAN_.pdf", "Melting_Curves/meltCurve_sp_O00244_ATOX1_HUMAN_.pdf")</f>
        <v>Melting_Curves/meltCurve_sp_O00244_ATOX1_HUMAN_.pdf</v>
      </c>
      <c r="AA36" t="s">
        <v>10916</v>
      </c>
      <c r="AB36" t="s">
        <v>14462</v>
      </c>
    </row>
    <row r="37" spans="1:28" x14ac:dyDescent="0.25">
      <c r="A37" t="s">
        <v>41</v>
      </c>
      <c r="B37">
        <v>0.98018197421672304</v>
      </c>
      <c r="C37">
        <v>0.97119695239012305</v>
      </c>
      <c r="D37">
        <v>0.89102997915364002</v>
      </c>
      <c r="E37">
        <v>0.68794643424658997</v>
      </c>
      <c r="F37">
        <v>0.43524857830577401</v>
      </c>
      <c r="G37">
        <v>0.26131769174354502</v>
      </c>
      <c r="H37">
        <v>0.15972158738098699</v>
      </c>
      <c r="I37">
        <v>0.15303900447719901</v>
      </c>
      <c r="J37">
        <v>0.14858777299249001</v>
      </c>
      <c r="K37">
        <v>0.171185589507348</v>
      </c>
      <c r="L37">
        <v>954.45553605142504</v>
      </c>
      <c r="M37">
        <v>18.613323858979399</v>
      </c>
      <c r="N37">
        <v>52.197280735749302</v>
      </c>
      <c r="O37">
        <v>50.6971964786743</v>
      </c>
      <c r="P37">
        <v>-7.8963871278198997E-2</v>
      </c>
      <c r="Q37">
        <v>0.13974014051397901</v>
      </c>
      <c r="R37">
        <v>0.99808793235080395</v>
      </c>
      <c r="S37" t="s">
        <v>3666</v>
      </c>
      <c r="T37" t="s">
        <v>7256</v>
      </c>
      <c r="U37" t="s">
        <v>7256</v>
      </c>
      <c r="V37" t="s">
        <v>7256</v>
      </c>
      <c r="W37">
        <v>10</v>
      </c>
      <c r="X37" t="s">
        <v>7293</v>
      </c>
      <c r="Y37">
        <v>0.47674957384972838</v>
      </c>
      <c r="Z37" t="str">
        <f>HYPERLINK("Melting_Curves/meltCurve_sp_O00267_2_SPT5H_HUMAN_.pdf", "Melting_Curves/meltCurve_sp_O00267_2_SPT5H_HUMAN_.pdf")</f>
        <v>Melting_Curves/meltCurve_sp_O00267_2_SPT5H_HUMAN_.pdf</v>
      </c>
      <c r="AA37" t="s">
        <v>10917</v>
      </c>
      <c r="AB37" t="s">
        <v>14463</v>
      </c>
    </row>
    <row r="38" spans="1:28" x14ac:dyDescent="0.25">
      <c r="A38" t="s">
        <v>42</v>
      </c>
      <c r="B38">
        <v>0.98018197421672304</v>
      </c>
      <c r="C38">
        <v>1.05151898015026</v>
      </c>
      <c r="D38">
        <v>0.94799427862598495</v>
      </c>
      <c r="E38">
        <v>0.79321136887661203</v>
      </c>
      <c r="F38">
        <v>0.71691182712225499</v>
      </c>
      <c r="G38">
        <v>0.56797763622142095</v>
      </c>
      <c r="H38">
        <v>0.50828072202550501</v>
      </c>
      <c r="I38">
        <v>0.52153639485765402</v>
      </c>
      <c r="J38">
        <v>0.70790196355462898</v>
      </c>
      <c r="K38">
        <v>0.67201208780473398</v>
      </c>
      <c r="L38">
        <v>1312.00111272761</v>
      </c>
      <c r="M38">
        <v>26.169929529439699</v>
      </c>
      <c r="O38">
        <v>49.8439244677053</v>
      </c>
      <c r="P38">
        <v>-5.2912472693956603E-2</v>
      </c>
      <c r="Q38">
        <v>0.59689064723737895</v>
      </c>
      <c r="R38">
        <v>0.88155281814012199</v>
      </c>
      <c r="S38" t="s">
        <v>3667</v>
      </c>
      <c r="T38" t="s">
        <v>7256</v>
      </c>
      <c r="U38" t="s">
        <v>7256</v>
      </c>
      <c r="V38" t="s">
        <v>7256</v>
      </c>
      <c r="W38">
        <v>11</v>
      </c>
      <c r="X38" t="s">
        <v>7294</v>
      </c>
      <c r="Y38">
        <v>0.73635113732033775</v>
      </c>
      <c r="Z38" t="str">
        <f>HYPERLINK("Melting_Curves/meltCurve_sp_O00273_DFFA_HUMAN_.pdf", "Melting_Curves/meltCurve_sp_O00273_DFFA_HUMAN_.pdf")</f>
        <v>Melting_Curves/meltCurve_sp_O00273_DFFA_HUMAN_.pdf</v>
      </c>
      <c r="AA38" t="s">
        <v>10918</v>
      </c>
      <c r="AB38" t="s">
        <v>14464</v>
      </c>
    </row>
    <row r="39" spans="1:28" x14ac:dyDescent="0.25">
      <c r="A39" t="s">
        <v>43</v>
      </c>
      <c r="B39">
        <v>0.98018197421672304</v>
      </c>
      <c r="C39">
        <v>1.06694795637692</v>
      </c>
      <c r="D39">
        <v>0.97590112572797205</v>
      </c>
      <c r="E39">
        <v>0.81206709637655805</v>
      </c>
      <c r="F39">
        <v>0.68462049084224497</v>
      </c>
      <c r="G39">
        <v>0.15690575451376801</v>
      </c>
      <c r="H39">
        <v>5.6155527323891501E-2</v>
      </c>
      <c r="I39">
        <v>3.81560810673644E-2</v>
      </c>
      <c r="J39">
        <v>5.0627606108038903E-2</v>
      </c>
      <c r="K39">
        <v>3.65913113835553E-2</v>
      </c>
      <c r="L39">
        <v>1480.8424116352801</v>
      </c>
      <c r="M39">
        <v>27.487622198478</v>
      </c>
      <c r="N39">
        <v>53.977543703000599</v>
      </c>
      <c r="O39">
        <v>53.590349117303397</v>
      </c>
      <c r="P39">
        <v>-0.124909299356356</v>
      </c>
      <c r="Q39">
        <v>2.5907560168725301E-2</v>
      </c>
      <c r="R39">
        <v>0.98976097987108003</v>
      </c>
      <c r="S39" t="s">
        <v>3668</v>
      </c>
      <c r="T39" t="s">
        <v>7256</v>
      </c>
      <c r="U39" t="s">
        <v>7256</v>
      </c>
      <c r="V39" t="s">
        <v>7256</v>
      </c>
      <c r="W39">
        <v>8</v>
      </c>
      <c r="X39" t="s">
        <v>7295</v>
      </c>
      <c r="Y39">
        <v>0.48391484471377599</v>
      </c>
      <c r="Z39" t="str">
        <f>HYPERLINK("Melting_Curves/meltCurve_sp_O00299_CLIC1_HUMAN_.pdf", "Melting_Curves/meltCurve_sp_O00299_CLIC1_HUMAN_.pdf")</f>
        <v>Melting_Curves/meltCurve_sp_O00299_CLIC1_HUMAN_.pdf</v>
      </c>
      <c r="AA39" t="s">
        <v>10919</v>
      </c>
      <c r="AB39" t="s">
        <v>14465</v>
      </c>
    </row>
    <row r="40" spans="1:28" x14ac:dyDescent="0.25">
      <c r="A40" t="s">
        <v>44</v>
      </c>
      <c r="B40">
        <v>0.98018197421672304</v>
      </c>
      <c r="C40">
        <v>1.04312095521777</v>
      </c>
      <c r="D40">
        <v>0.77569517897349605</v>
      </c>
      <c r="E40">
        <v>0.23807114392258499</v>
      </c>
      <c r="F40">
        <v>0.104571527588719</v>
      </c>
      <c r="G40">
        <v>7.6618507510011702E-2</v>
      </c>
      <c r="H40">
        <v>3.3656257134529903E-2</v>
      </c>
      <c r="I40">
        <v>3.6407062228334203E-2</v>
      </c>
      <c r="J40">
        <v>1.8045610121833498E-2</v>
      </c>
      <c r="K40">
        <v>0</v>
      </c>
      <c r="L40">
        <v>1475.25909427342</v>
      </c>
      <c r="M40">
        <v>30.796229385955101</v>
      </c>
      <c r="N40">
        <v>48.015227109287402</v>
      </c>
      <c r="O40">
        <v>47.703232008759798</v>
      </c>
      <c r="P40">
        <v>-0.155834983742412</v>
      </c>
      <c r="Q40">
        <v>3.4454186494594398E-2</v>
      </c>
      <c r="R40">
        <v>0.99480386519381103</v>
      </c>
      <c r="S40" t="s">
        <v>3669</v>
      </c>
      <c r="T40" t="s">
        <v>7256</v>
      </c>
      <c r="U40" t="s">
        <v>7256</v>
      </c>
      <c r="V40" t="s">
        <v>7256</v>
      </c>
      <c r="W40">
        <v>3</v>
      </c>
      <c r="X40" t="s">
        <v>7296</v>
      </c>
      <c r="Y40">
        <v>0.29433676116324098</v>
      </c>
      <c r="Z40" t="str">
        <f>HYPERLINK("Melting_Curves/meltCurve_sp_O00303_EIF3F_HUMAN_.pdf", "Melting_Curves/meltCurve_sp_O00303_EIF3F_HUMAN_.pdf")</f>
        <v>Melting_Curves/meltCurve_sp_O00303_EIF3F_HUMAN_.pdf</v>
      </c>
      <c r="AA40" t="s">
        <v>10920</v>
      </c>
      <c r="AB40" t="s">
        <v>14466</v>
      </c>
    </row>
    <row r="41" spans="1:28" x14ac:dyDescent="0.25">
      <c r="A41" t="s">
        <v>45</v>
      </c>
      <c r="B41">
        <v>0.98018197421672304</v>
      </c>
      <c r="C41">
        <v>0.91271052715923795</v>
      </c>
      <c r="D41">
        <v>0.82881362469990605</v>
      </c>
      <c r="E41">
        <v>0.75485648022652396</v>
      </c>
      <c r="F41">
        <v>0.53666529160946996</v>
      </c>
      <c r="G41">
        <v>0.32955715865856</v>
      </c>
      <c r="H41">
        <v>0.30513379289828202</v>
      </c>
      <c r="I41">
        <v>0.30268604228242502</v>
      </c>
      <c r="J41">
        <v>0.44218519638573101</v>
      </c>
      <c r="K41">
        <v>0.51700817736069904</v>
      </c>
      <c r="L41">
        <v>929.27754725110299</v>
      </c>
      <c r="M41">
        <v>18.646351304924899</v>
      </c>
      <c r="N41">
        <v>53.716100009365498</v>
      </c>
      <c r="O41">
        <v>49.274357510383702</v>
      </c>
      <c r="P41">
        <v>-5.96098214810881E-2</v>
      </c>
      <c r="Q41">
        <v>0.36993356060702098</v>
      </c>
      <c r="R41">
        <v>0.89818787919552401</v>
      </c>
      <c r="S41" t="s">
        <v>3670</v>
      </c>
      <c r="T41" t="s">
        <v>7256</v>
      </c>
      <c r="U41" t="s">
        <v>7256</v>
      </c>
      <c r="V41" t="s">
        <v>7256</v>
      </c>
      <c r="W41">
        <v>6</v>
      </c>
      <c r="X41" t="s">
        <v>7297</v>
      </c>
      <c r="Y41">
        <v>0.58659336884555791</v>
      </c>
      <c r="Z41" t="str">
        <f>HYPERLINK("Melting_Curves/meltCurve_sp_O00401_WASL_HUMAN_.pdf", "Melting_Curves/meltCurve_sp_O00401_WASL_HUMAN_.pdf")</f>
        <v>Melting_Curves/meltCurve_sp_O00401_WASL_HUMAN_.pdf</v>
      </c>
      <c r="AA41" t="s">
        <v>10921</v>
      </c>
      <c r="AB41" t="s">
        <v>14467</v>
      </c>
    </row>
    <row r="42" spans="1:28" x14ac:dyDescent="0.25">
      <c r="A42" t="s">
        <v>46</v>
      </c>
      <c r="B42">
        <v>0.98018197421672304</v>
      </c>
      <c r="C42">
        <v>0.92333858356295295</v>
      </c>
      <c r="D42">
        <v>0.86350403102296502</v>
      </c>
      <c r="E42">
        <v>0.79669492783350704</v>
      </c>
      <c r="F42">
        <v>0.63564359426580497</v>
      </c>
      <c r="G42">
        <v>0.29913382339947697</v>
      </c>
      <c r="H42">
        <v>7.8965372777711401E-2</v>
      </c>
      <c r="I42">
        <v>6.3652617780485504E-2</v>
      </c>
      <c r="J42">
        <v>9.4293806122461396E-2</v>
      </c>
      <c r="K42">
        <v>6.4723165978603503E-2</v>
      </c>
      <c r="L42">
        <v>900.61680910057396</v>
      </c>
      <c r="M42">
        <v>16.683165709214101</v>
      </c>
      <c r="N42">
        <v>54.100582245762801</v>
      </c>
      <c r="O42">
        <v>53.225823646778601</v>
      </c>
      <c r="P42">
        <v>-7.6976854865225E-2</v>
      </c>
      <c r="Q42">
        <v>1.77202240029329E-2</v>
      </c>
      <c r="R42">
        <v>0.985001374039289</v>
      </c>
      <c r="S42" t="s">
        <v>3671</v>
      </c>
      <c r="T42" t="s">
        <v>7256</v>
      </c>
      <c r="U42" t="s">
        <v>7256</v>
      </c>
      <c r="V42" t="s">
        <v>7256</v>
      </c>
      <c r="W42">
        <v>22</v>
      </c>
      <c r="X42" t="s">
        <v>7298</v>
      </c>
      <c r="Y42">
        <v>0.49311739795446691</v>
      </c>
      <c r="Z42" t="str">
        <f>HYPERLINK("Melting_Curves/meltCurve_sp_O00410_IPO5_HUMAN_.pdf", "Melting_Curves/meltCurve_sp_O00410_IPO5_HUMAN_.pdf")</f>
        <v>Melting_Curves/meltCurve_sp_O00410_IPO5_HUMAN_.pdf</v>
      </c>
      <c r="AA42" t="s">
        <v>10922</v>
      </c>
      <c r="AB42" t="s">
        <v>14468</v>
      </c>
    </row>
    <row r="43" spans="1:28" x14ac:dyDescent="0.25">
      <c r="A43" t="s">
        <v>47</v>
      </c>
      <c r="B43">
        <v>0.98018197421672304</v>
      </c>
      <c r="C43">
        <v>0.949115325812808</v>
      </c>
      <c r="D43">
        <v>0.87585266309506904</v>
      </c>
      <c r="E43">
        <v>0.57351962563533898</v>
      </c>
      <c r="F43">
        <v>0.121554004639729</v>
      </c>
      <c r="G43">
        <v>8.7880288825784206E-2</v>
      </c>
      <c r="H43">
        <v>5.1680206750515198E-2</v>
      </c>
      <c r="I43">
        <v>4.3095999747265398E-2</v>
      </c>
      <c r="J43">
        <v>4.4001335017697298E-2</v>
      </c>
      <c r="K43">
        <v>3.3505454012253202E-2</v>
      </c>
      <c r="L43">
        <v>1566.7193010906501</v>
      </c>
      <c r="M43">
        <v>31.298726058989899</v>
      </c>
      <c r="N43">
        <v>50.190008606550201</v>
      </c>
      <c r="O43">
        <v>49.853950906877003</v>
      </c>
      <c r="P43">
        <v>-0.15070495952228299</v>
      </c>
      <c r="Q43">
        <v>3.9808018704079302E-2</v>
      </c>
      <c r="R43">
        <v>0.99129686009032303</v>
      </c>
      <c r="S43" t="s">
        <v>3672</v>
      </c>
      <c r="T43" t="s">
        <v>7256</v>
      </c>
      <c r="U43" t="s">
        <v>7256</v>
      </c>
      <c r="V43" t="s">
        <v>7256</v>
      </c>
      <c r="W43">
        <v>11</v>
      </c>
      <c r="X43" t="s">
        <v>7299</v>
      </c>
      <c r="Y43">
        <v>0.36715142051545779</v>
      </c>
      <c r="Z43" t="str">
        <f>HYPERLINK("Melting_Curves/meltCurve_sp_O00429_4_DNM1L_HUMAN_.pdf", "Melting_Curves/meltCurve_sp_O00429_4_DNM1L_HUMAN_.pdf")</f>
        <v>Melting_Curves/meltCurve_sp_O00429_4_DNM1L_HUMAN_.pdf</v>
      </c>
      <c r="AA43" t="s">
        <v>10923</v>
      </c>
      <c r="AB43" t="s">
        <v>14469</v>
      </c>
    </row>
    <row r="44" spans="1:28" x14ac:dyDescent="0.25">
      <c r="A44" t="s">
        <v>48</v>
      </c>
      <c r="B44">
        <v>0.98018197421672304</v>
      </c>
      <c r="C44">
        <v>1.0510855607477101</v>
      </c>
      <c r="D44">
        <v>0.97050031851801499</v>
      </c>
      <c r="E44">
        <v>0.75974386104938396</v>
      </c>
      <c r="F44">
        <v>0.48466466710140998</v>
      </c>
      <c r="G44">
        <v>0.17404180959106999</v>
      </c>
      <c r="H44">
        <v>9.0204817135804694E-2</v>
      </c>
      <c r="I44">
        <v>7.2564835557452204E-2</v>
      </c>
      <c r="J44">
        <v>7.8991463018862104E-2</v>
      </c>
      <c r="K44">
        <v>4.8802644927286497E-2</v>
      </c>
      <c r="L44">
        <v>1232.2132647214901</v>
      </c>
      <c r="M44">
        <v>23.492552731312301</v>
      </c>
      <c r="N44">
        <v>52.727196698421402</v>
      </c>
      <c r="O44">
        <v>52.075627257827399</v>
      </c>
      <c r="P44">
        <v>-0.106258185274415</v>
      </c>
      <c r="Q44">
        <v>5.7852175116796002E-2</v>
      </c>
      <c r="R44">
        <v>0.997366921312412</v>
      </c>
      <c r="S44" t="s">
        <v>3673</v>
      </c>
      <c r="T44" t="s">
        <v>7256</v>
      </c>
      <c r="U44" t="s">
        <v>7256</v>
      </c>
      <c r="V44" t="s">
        <v>7256</v>
      </c>
      <c r="W44">
        <v>3</v>
      </c>
      <c r="X44" t="s">
        <v>7300</v>
      </c>
      <c r="Y44">
        <v>0.4585948712861741</v>
      </c>
      <c r="Z44" t="str">
        <f>HYPERLINK("Melting_Curves/meltCurve_sp_O00459_P85B_HUMAN_.pdf", "Melting_Curves/meltCurve_sp_O00459_P85B_HUMAN_.pdf")</f>
        <v>Melting_Curves/meltCurve_sp_O00459_P85B_HUMAN_.pdf</v>
      </c>
      <c r="AA44" t="s">
        <v>10924</v>
      </c>
      <c r="AB44" t="s">
        <v>14470</v>
      </c>
    </row>
    <row r="45" spans="1:28" x14ac:dyDescent="0.25">
      <c r="A45" t="s">
        <v>49</v>
      </c>
      <c r="B45">
        <v>0.98018197421672304</v>
      </c>
      <c r="C45">
        <v>0.999142874230323</v>
      </c>
      <c r="D45">
        <v>0.94228162935787996</v>
      </c>
      <c r="E45">
        <v>0.75355021472511896</v>
      </c>
      <c r="F45">
        <v>0.61954291993744903</v>
      </c>
      <c r="G45">
        <v>0.34125455620239298</v>
      </c>
      <c r="H45">
        <v>0.25899626815203602</v>
      </c>
      <c r="I45">
        <v>0.12555623345403999</v>
      </c>
      <c r="J45">
        <v>0.69680208933124999</v>
      </c>
      <c r="K45">
        <v>8.1076318826908994E-2</v>
      </c>
      <c r="L45">
        <v>1105.8152394044801</v>
      </c>
      <c r="M45">
        <v>21.270246230804499</v>
      </c>
      <c r="N45">
        <v>54.037808140208199</v>
      </c>
      <c r="O45">
        <v>51.535859398317001</v>
      </c>
      <c r="P45">
        <v>-7.4623416248277397E-2</v>
      </c>
      <c r="Q45">
        <v>0.27679584781066802</v>
      </c>
      <c r="R45">
        <v>0.78235616057604096</v>
      </c>
      <c r="S45" t="s">
        <v>3674</v>
      </c>
      <c r="T45" t="s">
        <v>7256</v>
      </c>
      <c r="U45" t="s">
        <v>7256</v>
      </c>
      <c r="V45" t="s">
        <v>7256</v>
      </c>
      <c r="W45">
        <v>2</v>
      </c>
      <c r="X45" t="s">
        <v>7301</v>
      </c>
      <c r="Y45">
        <v>0.57475849352883424</v>
      </c>
      <c r="Z45" t="str">
        <f>HYPERLINK("Melting_Curves/meltCurve_sp_O00462_MANBA_HUMAN_.pdf", "Melting_Curves/meltCurve_sp_O00462_MANBA_HUMAN_.pdf")</f>
        <v>Melting_Curves/meltCurve_sp_O00462_MANBA_HUMAN_.pdf</v>
      </c>
      <c r="AA45" t="s">
        <v>10925</v>
      </c>
      <c r="AB45" t="s">
        <v>14471</v>
      </c>
    </row>
    <row r="46" spans="1:28" x14ac:dyDescent="0.25">
      <c r="A46" t="s">
        <v>50</v>
      </c>
      <c r="B46">
        <v>0.98018197421672304</v>
      </c>
      <c r="C46">
        <v>0.90431016014798804</v>
      </c>
      <c r="D46">
        <v>0.81012096866258398</v>
      </c>
      <c r="E46">
        <v>0.47620922535957799</v>
      </c>
      <c r="F46">
        <v>0.19985274887750001</v>
      </c>
      <c r="G46">
        <v>0.107240762390238</v>
      </c>
      <c r="H46">
        <v>6.0235424175956502E-2</v>
      </c>
      <c r="I46">
        <v>3.8619566235872697E-2</v>
      </c>
      <c r="J46">
        <v>4.9304852952606303E-2</v>
      </c>
      <c r="K46">
        <v>6.4887523716059903E-3</v>
      </c>
      <c r="L46">
        <v>914.862455637209</v>
      </c>
      <c r="M46">
        <v>18.5385341708302</v>
      </c>
      <c r="N46">
        <v>49.477718364397496</v>
      </c>
      <c r="O46">
        <v>48.785764970697599</v>
      </c>
      <c r="P46">
        <v>-9.2771255087408799E-2</v>
      </c>
      <c r="Q46">
        <v>2.3500388683473698E-2</v>
      </c>
      <c r="R46">
        <v>0.99677221944623295</v>
      </c>
      <c r="S46" t="s">
        <v>3675</v>
      </c>
      <c r="T46" t="s">
        <v>7256</v>
      </c>
      <c r="U46" t="s">
        <v>7256</v>
      </c>
      <c r="V46" t="s">
        <v>7256</v>
      </c>
      <c r="W46">
        <v>3</v>
      </c>
      <c r="X46" t="s">
        <v>7302</v>
      </c>
      <c r="Y46">
        <v>0.34368109938476071</v>
      </c>
      <c r="Z46" t="str">
        <f>HYPERLINK("Melting_Curves/meltCurve_sp_O00471_EXOC5_HUMAN_.pdf", "Melting_Curves/meltCurve_sp_O00471_EXOC5_HUMAN_.pdf")</f>
        <v>Melting_Curves/meltCurve_sp_O00471_EXOC5_HUMAN_.pdf</v>
      </c>
      <c r="AA46" t="s">
        <v>10926</v>
      </c>
      <c r="AB46" t="s">
        <v>14472</v>
      </c>
    </row>
    <row r="47" spans="1:28" x14ac:dyDescent="0.25">
      <c r="A47" t="s">
        <v>51</v>
      </c>
      <c r="B47">
        <v>0.98018197421672304</v>
      </c>
      <c r="C47">
        <v>0.854793751002622</v>
      </c>
      <c r="D47">
        <v>0.858214696628678</v>
      </c>
      <c r="E47">
        <v>0.86456911358112298</v>
      </c>
      <c r="F47">
        <v>0.88288729474298</v>
      </c>
      <c r="G47">
        <v>0.86965924165480102</v>
      </c>
      <c r="H47">
        <v>0.64802758103309299</v>
      </c>
      <c r="I47">
        <v>0.71840039087499796</v>
      </c>
      <c r="J47">
        <v>0.74579596888446897</v>
      </c>
      <c r="K47">
        <v>0.70656753138719597</v>
      </c>
      <c r="L47">
        <v>182.840900694932</v>
      </c>
      <c r="M47">
        <v>2.17542007202983</v>
      </c>
      <c r="O47">
        <v>52.495180601201199</v>
      </c>
      <c r="P47">
        <v>-8.6627412208295004E-3</v>
      </c>
      <c r="Q47">
        <v>0.220837684569479</v>
      </c>
      <c r="R47">
        <v>0.68871960942417898</v>
      </c>
      <c r="S47" t="s">
        <v>3676</v>
      </c>
      <c r="T47" t="s">
        <v>7256</v>
      </c>
      <c r="U47" t="s">
        <v>7256</v>
      </c>
      <c r="V47" t="s">
        <v>7256</v>
      </c>
      <c r="W47">
        <v>1</v>
      </c>
      <c r="X47" t="s">
        <v>7303</v>
      </c>
      <c r="Y47">
        <v>0.81351589697258597</v>
      </c>
      <c r="Z47" t="str">
        <f>HYPERLINK("Melting_Curves/meltCurve_sp_O00479_HMGN4_HUMAN_.pdf", "Melting_Curves/meltCurve_sp_O00479_HMGN4_HUMAN_.pdf")</f>
        <v>Melting_Curves/meltCurve_sp_O00479_HMGN4_HUMAN_.pdf</v>
      </c>
      <c r="AA47" t="s">
        <v>10927</v>
      </c>
      <c r="AB47" t="s">
        <v>14473</v>
      </c>
    </row>
    <row r="48" spans="1:28" x14ac:dyDescent="0.25">
      <c r="A48" t="s">
        <v>52</v>
      </c>
      <c r="B48">
        <v>0.98018197421672304</v>
      </c>
      <c r="C48">
        <v>0.90042772273771299</v>
      </c>
      <c r="D48">
        <v>0.71475634507034502</v>
      </c>
      <c r="E48">
        <v>0.397185804631563</v>
      </c>
      <c r="F48">
        <v>0.16558353984697699</v>
      </c>
      <c r="G48">
        <v>8.3696505810407801E-2</v>
      </c>
      <c r="H48">
        <v>5.1486300415028802E-2</v>
      </c>
      <c r="I48">
        <v>4.3623232895246798E-2</v>
      </c>
      <c r="J48">
        <v>3.7375820250531898E-2</v>
      </c>
      <c r="K48">
        <v>2.6147891719606801E-2</v>
      </c>
      <c r="L48">
        <v>864.69678517039097</v>
      </c>
      <c r="M48">
        <v>17.886449898171101</v>
      </c>
      <c r="N48">
        <v>48.484862075325097</v>
      </c>
      <c r="O48">
        <v>47.751541740217199</v>
      </c>
      <c r="P48">
        <v>-9.1271837252999796E-2</v>
      </c>
      <c r="Q48">
        <v>2.5373843875258598E-2</v>
      </c>
      <c r="R48">
        <v>0.99881741567152305</v>
      </c>
      <c r="S48" t="s">
        <v>3677</v>
      </c>
      <c r="T48" t="s">
        <v>7256</v>
      </c>
      <c r="U48" t="s">
        <v>7256</v>
      </c>
      <c r="V48" t="s">
        <v>7256</v>
      </c>
      <c r="W48">
        <v>5</v>
      </c>
      <c r="X48" t="s">
        <v>7304</v>
      </c>
      <c r="Y48">
        <v>0.31379077279793072</v>
      </c>
      <c r="Z48" t="str">
        <f>HYPERLINK("Melting_Curves/meltCurve_sp_O00487_PSDE_HUMAN_.pdf", "Melting_Curves/meltCurve_sp_O00487_PSDE_HUMAN_.pdf")</f>
        <v>Melting_Curves/meltCurve_sp_O00487_PSDE_HUMAN_.pdf</v>
      </c>
      <c r="AA48" t="s">
        <v>10928</v>
      </c>
      <c r="AB48" t="s">
        <v>14474</v>
      </c>
    </row>
    <row r="49" spans="1:28" x14ac:dyDescent="0.25">
      <c r="A49" t="s">
        <v>53</v>
      </c>
      <c r="B49">
        <v>0.98018197421672304</v>
      </c>
      <c r="C49">
        <v>0.95864753415761506</v>
      </c>
      <c r="D49">
        <v>0.90463353362408905</v>
      </c>
      <c r="E49">
        <v>0.76204316179103204</v>
      </c>
      <c r="F49">
        <v>0.58582574791750497</v>
      </c>
      <c r="G49">
        <v>0.35128166325362697</v>
      </c>
      <c r="H49">
        <v>0.29910895481126998</v>
      </c>
      <c r="I49">
        <v>0.33671097089930602</v>
      </c>
      <c r="J49">
        <v>0.333925292216045</v>
      </c>
      <c r="K49">
        <v>0.35992039057263597</v>
      </c>
      <c r="L49">
        <v>1051.9257550551899</v>
      </c>
      <c r="M49">
        <v>20.472074883020099</v>
      </c>
      <c r="N49">
        <v>54.023083115157903</v>
      </c>
      <c r="O49">
        <v>50.900694071739998</v>
      </c>
      <c r="P49">
        <v>-6.8766161071405305E-2</v>
      </c>
      <c r="Q49">
        <v>0.31611395079465898</v>
      </c>
      <c r="R49">
        <v>0.98716515778338898</v>
      </c>
      <c r="S49" t="s">
        <v>3678</v>
      </c>
      <c r="T49" t="s">
        <v>7256</v>
      </c>
      <c r="U49" t="s">
        <v>7256</v>
      </c>
      <c r="V49" t="s">
        <v>7256</v>
      </c>
      <c r="W49">
        <v>15</v>
      </c>
      <c r="X49" t="s">
        <v>7305</v>
      </c>
      <c r="Y49">
        <v>0.58469686016349876</v>
      </c>
      <c r="Z49" t="str">
        <f>HYPERLINK("Melting_Curves/meltCurve_sp_O00499_6_BIN1_HUMAN_.pdf", "Melting_Curves/meltCurve_sp_O00499_6_BIN1_HUMAN_.pdf")</f>
        <v>Melting_Curves/meltCurve_sp_O00499_6_BIN1_HUMAN_.pdf</v>
      </c>
      <c r="AA49" t="s">
        <v>10929</v>
      </c>
      <c r="AB49" t="s">
        <v>14475</v>
      </c>
    </row>
    <row r="50" spans="1:28" x14ac:dyDescent="0.25">
      <c r="A50" t="s">
        <v>54</v>
      </c>
      <c r="B50">
        <v>0.98018197421672304</v>
      </c>
      <c r="C50">
        <v>1.0171278600842399</v>
      </c>
      <c r="D50">
        <v>0.98427690908749799</v>
      </c>
      <c r="E50">
        <v>0.81020601521832603</v>
      </c>
      <c r="F50">
        <v>0.57557534414631395</v>
      </c>
      <c r="G50">
        <v>0.17573252066956099</v>
      </c>
      <c r="H50">
        <v>9.9324818938585593E-2</v>
      </c>
      <c r="I50">
        <v>3.7143381879390397E-2</v>
      </c>
      <c r="J50">
        <v>5.2185411639780202E-2</v>
      </c>
      <c r="K50">
        <v>2.7712608093408801E-2</v>
      </c>
      <c r="L50">
        <v>1267.9170249577201</v>
      </c>
      <c r="M50">
        <v>23.781161818906401</v>
      </c>
      <c r="N50">
        <v>53.462520584966299</v>
      </c>
      <c r="O50">
        <v>52.943337417972003</v>
      </c>
      <c r="P50">
        <v>-0.10875503436612199</v>
      </c>
      <c r="Q50">
        <v>3.1543082654917398E-2</v>
      </c>
      <c r="R50">
        <v>0.99790329929742605</v>
      </c>
      <c r="S50" t="s">
        <v>3679</v>
      </c>
      <c r="T50" t="s">
        <v>7256</v>
      </c>
      <c r="U50" t="s">
        <v>7256</v>
      </c>
      <c r="V50" t="s">
        <v>7256</v>
      </c>
      <c r="W50">
        <v>5</v>
      </c>
      <c r="X50" t="s">
        <v>7306</v>
      </c>
      <c r="Y50">
        <v>0.47120743253370673</v>
      </c>
      <c r="Z50" t="str">
        <f>HYPERLINK("Melting_Curves/meltCurve_sp_O00505_IMA3_HUMAN_.pdf", "Melting_Curves/meltCurve_sp_O00505_IMA3_HUMAN_.pdf")</f>
        <v>Melting_Curves/meltCurve_sp_O00505_IMA3_HUMAN_.pdf</v>
      </c>
      <c r="AA50" t="s">
        <v>10930</v>
      </c>
      <c r="AB50" t="s">
        <v>14476</v>
      </c>
    </row>
    <row r="51" spans="1:28" x14ac:dyDescent="0.25">
      <c r="A51" t="s">
        <v>55</v>
      </c>
      <c r="B51">
        <v>0.98018197421672304</v>
      </c>
      <c r="C51">
        <v>0.97387285042252203</v>
      </c>
      <c r="D51">
        <v>0.90462423507354295</v>
      </c>
      <c r="E51">
        <v>0.72409853659292001</v>
      </c>
      <c r="F51">
        <v>0.61935451101979799</v>
      </c>
      <c r="G51">
        <v>0.43038704717974702</v>
      </c>
      <c r="H51">
        <v>0.40683658437130699</v>
      </c>
      <c r="I51">
        <v>0.43879242031273102</v>
      </c>
      <c r="J51">
        <v>0.51212696675574698</v>
      </c>
      <c r="K51">
        <v>0.62477799532739597</v>
      </c>
      <c r="L51">
        <v>1131.25860442764</v>
      </c>
      <c r="M51">
        <v>22.810657889973101</v>
      </c>
      <c r="N51">
        <v>58.149209735809102</v>
      </c>
      <c r="O51">
        <v>49.216987953134399</v>
      </c>
      <c r="P51">
        <v>-5.99549804546353E-2</v>
      </c>
      <c r="Q51">
        <v>0.48256705423875701</v>
      </c>
      <c r="R51">
        <v>0.91564772266056904</v>
      </c>
      <c r="S51" t="s">
        <v>3680</v>
      </c>
      <c r="T51" t="s">
        <v>7256</v>
      </c>
      <c r="U51" t="s">
        <v>7256</v>
      </c>
      <c r="V51" t="s">
        <v>7256</v>
      </c>
      <c r="W51">
        <v>15</v>
      </c>
      <c r="X51" t="s">
        <v>7307</v>
      </c>
      <c r="Y51">
        <v>0.65357805128466018</v>
      </c>
      <c r="Z51" t="str">
        <f>HYPERLINK("Melting_Curves/meltCurve_sp_O00515_LAD1_HUMAN_.pdf", "Melting_Curves/meltCurve_sp_O00515_LAD1_HUMAN_.pdf")</f>
        <v>Melting_Curves/meltCurve_sp_O00515_LAD1_HUMAN_.pdf</v>
      </c>
      <c r="AA51" t="s">
        <v>10931</v>
      </c>
      <c r="AB51" t="s">
        <v>14477</v>
      </c>
    </row>
    <row r="52" spans="1:28" x14ac:dyDescent="0.25">
      <c r="A52" t="s">
        <v>56</v>
      </c>
      <c r="B52">
        <v>0.98018197421672304</v>
      </c>
      <c r="C52">
        <v>0.90070859665220504</v>
      </c>
      <c r="D52">
        <v>0.90014563910001399</v>
      </c>
      <c r="E52">
        <v>0.72921243995048601</v>
      </c>
      <c r="F52">
        <v>0.60320708285643898</v>
      </c>
      <c r="G52">
        <v>0.36557160833969798</v>
      </c>
      <c r="H52">
        <v>0.25716625681486299</v>
      </c>
      <c r="I52">
        <v>0.25548901582623501</v>
      </c>
      <c r="J52">
        <v>0.239164108254937</v>
      </c>
      <c r="K52">
        <v>0.30017459711127698</v>
      </c>
      <c r="L52">
        <v>777.893631571117</v>
      </c>
      <c r="M52">
        <v>14.9444355963621</v>
      </c>
      <c r="N52">
        <v>54.196540581185602</v>
      </c>
      <c r="O52">
        <v>51.147028396226801</v>
      </c>
      <c r="P52">
        <v>-5.6749804507409199E-2</v>
      </c>
      <c r="Q52">
        <v>0.22317940008923701</v>
      </c>
      <c r="R52">
        <v>0.98413397297502703</v>
      </c>
      <c r="S52" t="s">
        <v>3681</v>
      </c>
      <c r="T52" t="s">
        <v>7256</v>
      </c>
      <c r="U52" t="s">
        <v>7256</v>
      </c>
      <c r="V52" t="s">
        <v>7256</v>
      </c>
      <c r="W52">
        <v>4</v>
      </c>
      <c r="X52" t="s">
        <v>7308</v>
      </c>
      <c r="Y52">
        <v>0.55269752009700635</v>
      </c>
      <c r="Z52" t="str">
        <f>HYPERLINK("Melting_Curves/meltCurve_sp_O00534_VMA5A_HUMAN_.pdf", "Melting_Curves/meltCurve_sp_O00534_VMA5A_HUMAN_.pdf")</f>
        <v>Melting_Curves/meltCurve_sp_O00534_VMA5A_HUMAN_.pdf</v>
      </c>
      <c r="AA52" t="s">
        <v>10932</v>
      </c>
      <c r="AB52" t="s">
        <v>14478</v>
      </c>
    </row>
    <row r="53" spans="1:28" x14ac:dyDescent="0.25">
      <c r="A53" t="s">
        <v>57</v>
      </c>
      <c r="B53">
        <v>0.98018197421672304</v>
      </c>
      <c r="C53">
        <v>0.95810297797177302</v>
      </c>
      <c r="D53">
        <v>0.99644048499220095</v>
      </c>
      <c r="E53">
        <v>0.68587713126931205</v>
      </c>
      <c r="F53">
        <v>0.62848237492831405</v>
      </c>
      <c r="G53">
        <v>0.44058156350900801</v>
      </c>
      <c r="H53">
        <v>0.32972452948898601</v>
      </c>
      <c r="I53">
        <v>0.32498932187887603</v>
      </c>
      <c r="J53">
        <v>0.31218731424581198</v>
      </c>
      <c r="K53">
        <v>0.39110187521148598</v>
      </c>
      <c r="L53">
        <v>930.93369093931994</v>
      </c>
      <c r="M53">
        <v>18.068828297961801</v>
      </c>
      <c r="N53">
        <v>54.740568049007301</v>
      </c>
      <c r="O53">
        <v>50.9028925931676</v>
      </c>
      <c r="P53">
        <v>-5.9707194641463901E-2</v>
      </c>
      <c r="Q53">
        <v>0.32721233215369799</v>
      </c>
      <c r="R53">
        <v>0.97564105176396598</v>
      </c>
      <c r="S53" t="s">
        <v>3682</v>
      </c>
      <c r="T53" t="s">
        <v>7256</v>
      </c>
      <c r="U53" t="s">
        <v>7256</v>
      </c>
      <c r="V53" t="s">
        <v>7256</v>
      </c>
      <c r="W53">
        <v>5</v>
      </c>
      <c r="X53" t="s">
        <v>7309</v>
      </c>
      <c r="Y53">
        <v>0.59678762809724051</v>
      </c>
      <c r="Z53" t="str">
        <f>HYPERLINK("Melting_Curves/meltCurve_sp_O00567_NOP56_HUMAN_.pdf", "Melting_Curves/meltCurve_sp_O00567_NOP56_HUMAN_.pdf")</f>
        <v>Melting_Curves/meltCurve_sp_O00567_NOP56_HUMAN_.pdf</v>
      </c>
      <c r="AA53" t="s">
        <v>10933</v>
      </c>
      <c r="AB53" t="s">
        <v>14479</v>
      </c>
    </row>
    <row r="54" spans="1:28" x14ac:dyDescent="0.25">
      <c r="A54" t="s">
        <v>58</v>
      </c>
      <c r="B54">
        <v>0.98018197421672304</v>
      </c>
      <c r="C54">
        <v>0.89953721124414798</v>
      </c>
      <c r="D54">
        <v>0.82993535789886097</v>
      </c>
      <c r="E54">
        <v>0.39105305213963498</v>
      </c>
      <c r="F54">
        <v>0.19600370251014701</v>
      </c>
      <c r="G54">
        <v>0.139927832965903</v>
      </c>
      <c r="H54">
        <v>9.8740436343434698E-2</v>
      </c>
      <c r="I54">
        <v>8.1380748053339794E-2</v>
      </c>
      <c r="J54">
        <v>0.102965604046608</v>
      </c>
      <c r="K54">
        <v>9.5495350183129102E-2</v>
      </c>
      <c r="L54">
        <v>1116.3232911332</v>
      </c>
      <c r="M54">
        <v>23.002661845386001</v>
      </c>
      <c r="N54">
        <v>48.967592385807201</v>
      </c>
      <c r="O54">
        <v>48.167879566345299</v>
      </c>
      <c r="P54">
        <v>-0.108302447354864</v>
      </c>
      <c r="Q54">
        <v>9.2870244779969899E-2</v>
      </c>
      <c r="R54">
        <v>0.99580055820049995</v>
      </c>
      <c r="S54" t="s">
        <v>3683</v>
      </c>
      <c r="T54" t="s">
        <v>7256</v>
      </c>
      <c r="U54" t="s">
        <v>7256</v>
      </c>
      <c r="V54" t="s">
        <v>7256</v>
      </c>
      <c r="W54">
        <v>15</v>
      </c>
      <c r="X54" t="s">
        <v>7310</v>
      </c>
      <c r="Y54">
        <v>0.36034741433171219</v>
      </c>
      <c r="Z54" t="str">
        <f>HYPERLINK("Melting_Curves/meltCurve_sp_O00571_DDX3X_HUMAN_.pdf", "Melting_Curves/meltCurve_sp_O00571_DDX3X_HUMAN_.pdf")</f>
        <v>Melting_Curves/meltCurve_sp_O00571_DDX3X_HUMAN_.pdf</v>
      </c>
      <c r="AA54" t="s">
        <v>10934</v>
      </c>
      <c r="AB54" t="s">
        <v>14480</v>
      </c>
    </row>
    <row r="55" spans="1:28" x14ac:dyDescent="0.25">
      <c r="A55" t="s">
        <v>59</v>
      </c>
      <c r="B55">
        <v>0.98018197421672304</v>
      </c>
      <c r="C55">
        <v>0.898942873319445</v>
      </c>
      <c r="D55">
        <v>0.91918477235337503</v>
      </c>
      <c r="E55">
        <v>0.67680048643264201</v>
      </c>
      <c r="F55">
        <v>0.49925499912966698</v>
      </c>
      <c r="G55">
        <v>0.34984480839274301</v>
      </c>
      <c r="H55">
        <v>0.18082815742943401</v>
      </c>
      <c r="I55">
        <v>0.10209842898254599</v>
      </c>
      <c r="J55">
        <v>8.9189980185491499E-2</v>
      </c>
      <c r="K55">
        <v>6.9694641154866496E-2</v>
      </c>
      <c r="L55">
        <v>635.40537095807997</v>
      </c>
      <c r="M55">
        <v>11.9233220616035</v>
      </c>
      <c r="N55">
        <v>53.341908867406602</v>
      </c>
      <c r="O55">
        <v>51.8582836400495</v>
      </c>
      <c r="P55">
        <v>-5.7169029868564897E-2</v>
      </c>
      <c r="Q55">
        <v>5.6612520931364303E-3</v>
      </c>
      <c r="R55">
        <v>0.994337863229795</v>
      </c>
      <c r="S55" t="s">
        <v>3684</v>
      </c>
      <c r="T55" t="s">
        <v>7256</v>
      </c>
      <c r="U55" t="s">
        <v>7256</v>
      </c>
      <c r="V55" t="s">
        <v>7256</v>
      </c>
      <c r="W55">
        <v>5</v>
      </c>
      <c r="X55" t="s">
        <v>7311</v>
      </c>
      <c r="Y55">
        <v>0.47402957838648158</v>
      </c>
      <c r="Z55" t="str">
        <f>HYPERLINK("Melting_Curves/meltCurve_sp_O00625_PIR_HUMAN_.pdf", "Melting_Curves/meltCurve_sp_O00625_PIR_HUMAN_.pdf")</f>
        <v>Melting_Curves/meltCurve_sp_O00625_PIR_HUMAN_.pdf</v>
      </c>
      <c r="AA55" t="s">
        <v>10935</v>
      </c>
      <c r="AB55" t="s">
        <v>14481</v>
      </c>
    </row>
    <row r="56" spans="1:28" x14ac:dyDescent="0.25">
      <c r="A56" t="s">
        <v>60</v>
      </c>
      <c r="B56">
        <v>0.98018197421672304</v>
      </c>
      <c r="C56">
        <v>0.84078858223464403</v>
      </c>
      <c r="D56">
        <v>0.84347900806134701</v>
      </c>
      <c r="E56">
        <v>0.72110906533949004</v>
      </c>
      <c r="F56">
        <v>0.50526710659802898</v>
      </c>
      <c r="G56">
        <v>0.24428311196942301</v>
      </c>
      <c r="H56">
        <v>0.10246915458177901</v>
      </c>
      <c r="I56">
        <v>6.1674778325495103E-2</v>
      </c>
      <c r="J56">
        <v>3.7684861498077503E-2</v>
      </c>
      <c r="K56">
        <v>4.5758507393060498E-2</v>
      </c>
      <c r="L56">
        <v>714.092028121824</v>
      </c>
      <c r="M56">
        <v>13.5631613270396</v>
      </c>
      <c r="N56">
        <v>52.649393764841001</v>
      </c>
      <c r="O56">
        <v>51.544398920018402</v>
      </c>
      <c r="P56">
        <v>-6.5793720704995104E-2</v>
      </c>
      <c r="Q56">
        <v>0</v>
      </c>
      <c r="R56">
        <v>0.98492103125670005</v>
      </c>
      <c r="S56" t="s">
        <v>3685</v>
      </c>
      <c r="T56" t="s">
        <v>7256</v>
      </c>
      <c r="U56" t="s">
        <v>7256</v>
      </c>
      <c r="V56" t="s">
        <v>7256</v>
      </c>
      <c r="W56">
        <v>1</v>
      </c>
      <c r="X56" t="s">
        <v>7312</v>
      </c>
      <c r="Y56">
        <v>0.44673356704159922</v>
      </c>
      <c r="Z56" t="str">
        <f>HYPERLINK("Melting_Curves/meltCurve_sp_O00629_IMA4_HUMAN_.pdf", "Melting_Curves/meltCurve_sp_O00629_IMA4_HUMAN_.pdf")</f>
        <v>Melting_Curves/meltCurve_sp_O00629_IMA4_HUMAN_.pdf</v>
      </c>
      <c r="AA56" t="s">
        <v>10936</v>
      </c>
      <c r="AB56" t="s">
        <v>14482</v>
      </c>
    </row>
    <row r="57" spans="1:28" x14ac:dyDescent="0.25">
      <c r="A57" t="s">
        <v>61</v>
      </c>
      <c r="B57">
        <v>0.98018197421672304</v>
      </c>
      <c r="C57">
        <v>0.96245718163339</v>
      </c>
      <c r="D57">
        <v>0.79681853584382401</v>
      </c>
      <c r="E57">
        <v>0.67785058431533496</v>
      </c>
      <c r="F57">
        <v>0.55867930974211499</v>
      </c>
      <c r="G57">
        <v>0.32773759939602298</v>
      </c>
      <c r="H57">
        <v>0.303539982472328</v>
      </c>
      <c r="I57">
        <v>0.38511283190699702</v>
      </c>
      <c r="J57">
        <v>0.35392067201256899</v>
      </c>
      <c r="K57">
        <v>0.33128707700634702</v>
      </c>
      <c r="L57">
        <v>750.07458887989696</v>
      </c>
      <c r="M57">
        <v>15.0559629085721</v>
      </c>
      <c r="N57">
        <v>53.338129677435198</v>
      </c>
      <c r="O57">
        <v>48.965012153303299</v>
      </c>
      <c r="P57">
        <v>-5.2675035635206903E-2</v>
      </c>
      <c r="Q57">
        <v>0.31482908182531399</v>
      </c>
      <c r="R57">
        <v>0.97342243699387399</v>
      </c>
      <c r="S57" t="s">
        <v>3686</v>
      </c>
      <c r="T57" t="s">
        <v>7256</v>
      </c>
      <c r="U57" t="s">
        <v>7256</v>
      </c>
      <c r="V57" t="s">
        <v>7256</v>
      </c>
      <c r="W57">
        <v>1</v>
      </c>
      <c r="X57" t="s">
        <v>7313</v>
      </c>
      <c r="Y57">
        <v>0.55541375433903595</v>
      </c>
      <c r="Z57" t="str">
        <f>HYPERLINK("Melting_Curves/meltCurve_sp_O00635_TRI38_HUMAN_.pdf", "Melting_Curves/meltCurve_sp_O00635_TRI38_HUMAN_.pdf")</f>
        <v>Melting_Curves/meltCurve_sp_O00635_TRI38_HUMAN_.pdf</v>
      </c>
      <c r="AA57" t="s">
        <v>10937</v>
      </c>
      <c r="AB57" t="s">
        <v>14483</v>
      </c>
    </row>
    <row r="58" spans="1:28" x14ac:dyDescent="0.25">
      <c r="A58" t="s">
        <v>62</v>
      </c>
      <c r="B58">
        <v>0.98018197421672304</v>
      </c>
      <c r="C58">
        <v>0.89544684088723403</v>
      </c>
      <c r="D58">
        <v>0.88300817199540105</v>
      </c>
      <c r="E58">
        <v>0.75457481337569998</v>
      </c>
      <c r="F58">
        <v>0.59268685753013295</v>
      </c>
      <c r="G58">
        <v>0.49893295141969102</v>
      </c>
      <c r="H58">
        <v>0.26529026090626201</v>
      </c>
      <c r="I58">
        <v>0.22468973150656699</v>
      </c>
      <c r="J58">
        <v>0.16997589257127599</v>
      </c>
      <c r="K58">
        <v>0.17898429134003499</v>
      </c>
      <c r="L58">
        <v>525.75304810852697</v>
      </c>
      <c r="M58">
        <v>9.5170897020125604</v>
      </c>
      <c r="N58">
        <v>55.614713824751902</v>
      </c>
      <c r="O58">
        <v>52.968999784913002</v>
      </c>
      <c r="P58">
        <v>-4.3559833409604502E-2</v>
      </c>
      <c r="Q58">
        <v>3.08105080793902E-2</v>
      </c>
      <c r="R58">
        <v>0.98998399001722104</v>
      </c>
      <c r="S58" t="s">
        <v>3687</v>
      </c>
      <c r="T58" t="s">
        <v>7256</v>
      </c>
      <c r="U58" t="s">
        <v>7256</v>
      </c>
      <c r="V58" t="s">
        <v>7256</v>
      </c>
      <c r="W58">
        <v>9</v>
      </c>
      <c r="X58" t="s">
        <v>7314</v>
      </c>
      <c r="Y58">
        <v>0.54756364249248379</v>
      </c>
      <c r="Z58" t="str">
        <f>HYPERLINK("Melting_Curves/meltCurve_sp_O00743_PPP6_HUMAN_.pdf", "Melting_Curves/meltCurve_sp_O00743_PPP6_HUMAN_.pdf")</f>
        <v>Melting_Curves/meltCurve_sp_O00743_PPP6_HUMAN_.pdf</v>
      </c>
      <c r="AA58" t="s">
        <v>10938</v>
      </c>
      <c r="AB58" t="s">
        <v>14484</v>
      </c>
    </row>
    <row r="59" spans="1:28" x14ac:dyDescent="0.25">
      <c r="A59" t="s">
        <v>63</v>
      </c>
      <c r="B59">
        <v>0.98018197421672304</v>
      </c>
      <c r="C59">
        <v>1.00910221299918</v>
      </c>
      <c r="D59">
        <v>1.0004343395195701</v>
      </c>
      <c r="E59">
        <v>0.79789823338292498</v>
      </c>
      <c r="F59">
        <v>0.49716533298814403</v>
      </c>
      <c r="G59">
        <v>0.191147636970222</v>
      </c>
      <c r="H59">
        <v>9.4447382535381194E-2</v>
      </c>
      <c r="I59">
        <v>6.6368772262327694E-2</v>
      </c>
      <c r="J59">
        <v>6.4402498615524995E-2</v>
      </c>
      <c r="K59">
        <v>4.76622601710791E-2</v>
      </c>
      <c r="L59">
        <v>1287.24296060182</v>
      </c>
      <c r="M59">
        <v>24.4080309076814</v>
      </c>
      <c r="N59">
        <v>52.993345422216301</v>
      </c>
      <c r="O59">
        <v>52.388333152752402</v>
      </c>
      <c r="P59">
        <v>-0.110027921947459</v>
      </c>
      <c r="Q59">
        <v>5.53777448671329E-2</v>
      </c>
      <c r="R59">
        <v>0.99914299700021503</v>
      </c>
      <c r="S59" t="s">
        <v>3688</v>
      </c>
      <c r="T59" t="s">
        <v>7256</v>
      </c>
      <c r="U59" t="s">
        <v>7256</v>
      </c>
      <c r="V59" t="s">
        <v>7256</v>
      </c>
      <c r="W59">
        <v>14</v>
      </c>
      <c r="X59" t="s">
        <v>7315</v>
      </c>
      <c r="Y59">
        <v>0.46556127444781892</v>
      </c>
      <c r="Z59" t="str">
        <f>HYPERLINK("Melting_Curves/meltCurve_sp_O00748_EST2_HUMAN_.pdf", "Melting_Curves/meltCurve_sp_O00748_EST2_HUMAN_.pdf")</f>
        <v>Melting_Curves/meltCurve_sp_O00748_EST2_HUMAN_.pdf</v>
      </c>
      <c r="AA59" t="s">
        <v>10939</v>
      </c>
      <c r="AB59" t="s">
        <v>14485</v>
      </c>
    </row>
    <row r="60" spans="1:28" x14ac:dyDescent="0.25">
      <c r="A60" t="s">
        <v>64</v>
      </c>
      <c r="B60">
        <v>0.98018197421672304</v>
      </c>
      <c r="C60">
        <v>0.92074848546654497</v>
      </c>
      <c r="D60">
        <v>0.84389390567837796</v>
      </c>
      <c r="E60">
        <v>0.73674894134281199</v>
      </c>
      <c r="F60">
        <v>0.67738191007995696</v>
      </c>
      <c r="G60">
        <v>0.50366463841981801</v>
      </c>
      <c r="H60">
        <v>0.44563987883279399</v>
      </c>
      <c r="I60">
        <v>0.44304327472749</v>
      </c>
      <c r="J60">
        <v>0.376745656939175</v>
      </c>
      <c r="K60">
        <v>0.38427816706214901</v>
      </c>
      <c r="L60">
        <v>504.96897399469799</v>
      </c>
      <c r="M60">
        <v>9.6335138300774901</v>
      </c>
      <c r="N60">
        <v>58.575279074466302</v>
      </c>
      <c r="O60">
        <v>50.308614501841298</v>
      </c>
      <c r="P60">
        <v>-3.2649157135645403E-2</v>
      </c>
      <c r="Q60">
        <v>0.31837410719161102</v>
      </c>
      <c r="R60">
        <v>0.99221711477374197</v>
      </c>
      <c r="S60" t="s">
        <v>3689</v>
      </c>
      <c r="T60" t="s">
        <v>7256</v>
      </c>
      <c r="U60" t="s">
        <v>7256</v>
      </c>
      <c r="V60" t="s">
        <v>7256</v>
      </c>
      <c r="W60">
        <v>18</v>
      </c>
      <c r="X60" t="s">
        <v>7316</v>
      </c>
      <c r="Y60">
        <v>0.6262796367695026</v>
      </c>
      <c r="Z60" t="str">
        <f>HYPERLINK("Melting_Curves/meltCurve_sp_O00754_MA2B1_HUMAN_.pdf", "Melting_Curves/meltCurve_sp_O00754_MA2B1_HUMAN_.pdf")</f>
        <v>Melting_Curves/meltCurve_sp_O00754_MA2B1_HUMAN_.pdf</v>
      </c>
      <c r="AA60" t="s">
        <v>10940</v>
      </c>
      <c r="AB60" t="s">
        <v>14486</v>
      </c>
    </row>
    <row r="61" spans="1:28" x14ac:dyDescent="0.25">
      <c r="A61" t="s">
        <v>65</v>
      </c>
      <c r="B61">
        <v>0.98018197421672304</v>
      </c>
      <c r="C61">
        <v>1.0222324504126901</v>
      </c>
      <c r="D61">
        <v>0.95817321090412699</v>
      </c>
      <c r="E61">
        <v>0.89931987938327995</v>
      </c>
      <c r="F61">
        <v>0.80484275244318604</v>
      </c>
      <c r="G61">
        <v>0.64980595649212503</v>
      </c>
      <c r="H61">
        <v>0.58144380926567096</v>
      </c>
      <c r="I61">
        <v>0.69381513283273999</v>
      </c>
      <c r="J61">
        <v>0.43319429176576202</v>
      </c>
      <c r="K61">
        <v>0.17531486311106301</v>
      </c>
      <c r="L61">
        <v>513.46719424408798</v>
      </c>
      <c r="M61">
        <v>8.04187634852501</v>
      </c>
      <c r="N61">
        <v>63.849175978848201</v>
      </c>
      <c r="O61">
        <v>60.264230019802497</v>
      </c>
      <c r="P61">
        <v>-3.3397903523787603E-2</v>
      </c>
      <c r="Q61">
        <v>0</v>
      </c>
      <c r="R61">
        <v>0.88942381122415404</v>
      </c>
      <c r="S61" t="s">
        <v>3690</v>
      </c>
      <c r="T61" t="s">
        <v>7256</v>
      </c>
      <c r="U61" t="s">
        <v>7256</v>
      </c>
      <c r="V61" t="s">
        <v>7256</v>
      </c>
      <c r="W61">
        <v>4</v>
      </c>
      <c r="X61" t="s">
        <v>7317</v>
      </c>
      <c r="Y61">
        <v>0.73575285913913635</v>
      </c>
      <c r="Z61" t="str">
        <f>HYPERLINK("Melting_Curves/meltCurve_sp_O00757_F16P2_HUMAN_.pdf", "Melting_Curves/meltCurve_sp_O00757_F16P2_HUMAN_.pdf")</f>
        <v>Melting_Curves/meltCurve_sp_O00757_F16P2_HUMAN_.pdf</v>
      </c>
      <c r="AA61" t="s">
        <v>10941</v>
      </c>
      <c r="AB61" t="s">
        <v>14487</v>
      </c>
    </row>
    <row r="62" spans="1:28" x14ac:dyDescent="0.25">
      <c r="A62" t="s">
        <v>66</v>
      </c>
      <c r="B62">
        <v>0.98018197421672304</v>
      </c>
      <c r="C62">
        <v>0.90937658676218802</v>
      </c>
      <c r="D62">
        <v>0.73203663187174495</v>
      </c>
      <c r="E62">
        <v>0.264322729774226</v>
      </c>
      <c r="F62">
        <v>0.114826587421159</v>
      </c>
      <c r="G62">
        <v>6.9876599783793694E-2</v>
      </c>
      <c r="H62">
        <v>4.4197674072642003E-2</v>
      </c>
      <c r="I62">
        <v>3.5745178205525002E-2</v>
      </c>
      <c r="J62">
        <v>3.96182372439704E-2</v>
      </c>
      <c r="K62">
        <v>2.3281762522809901E-2</v>
      </c>
      <c r="L62">
        <v>1130.78576391149</v>
      </c>
      <c r="M62">
        <v>23.7178451181246</v>
      </c>
      <c r="N62">
        <v>47.824313783019299</v>
      </c>
      <c r="O62">
        <v>47.341527930666501</v>
      </c>
      <c r="P62">
        <v>-0.120826468831497</v>
      </c>
      <c r="Q62">
        <v>3.5322907270358E-2</v>
      </c>
      <c r="R62">
        <v>0.99879903424356997</v>
      </c>
      <c r="S62" t="s">
        <v>3691</v>
      </c>
      <c r="T62" t="s">
        <v>7256</v>
      </c>
      <c r="U62" t="s">
        <v>7256</v>
      </c>
      <c r="V62" t="s">
        <v>7256</v>
      </c>
      <c r="W62">
        <v>40</v>
      </c>
      <c r="X62" t="s">
        <v>7318</v>
      </c>
      <c r="Y62">
        <v>0.2917333354472309</v>
      </c>
      <c r="Z62" t="str">
        <f>HYPERLINK("Melting_Curves/meltCurve_sp_O00763_ACACB_HUMAN_.pdf", "Melting_Curves/meltCurve_sp_O00763_ACACB_HUMAN_.pdf")</f>
        <v>Melting_Curves/meltCurve_sp_O00763_ACACB_HUMAN_.pdf</v>
      </c>
      <c r="AA62" t="s">
        <v>10942</v>
      </c>
      <c r="AB62" t="s">
        <v>14488</v>
      </c>
    </row>
    <row r="63" spans="1:28" x14ac:dyDescent="0.25">
      <c r="A63" t="s">
        <v>67</v>
      </c>
      <c r="B63">
        <v>0.98018197421672304</v>
      </c>
      <c r="C63">
        <v>0.88809218114074195</v>
      </c>
      <c r="D63">
        <v>0.91599359536819003</v>
      </c>
      <c r="E63">
        <v>0.67465118322055095</v>
      </c>
      <c r="F63">
        <v>0.43166162015953802</v>
      </c>
      <c r="G63">
        <v>0.13833302429991701</v>
      </c>
      <c r="H63">
        <v>8.8751633593086604E-2</v>
      </c>
      <c r="I63">
        <v>7.1043136206018195E-2</v>
      </c>
      <c r="J63">
        <v>8.9993216713763494E-2</v>
      </c>
      <c r="K63">
        <v>7.0539595330130905E-2</v>
      </c>
      <c r="L63">
        <v>1001.9790099313</v>
      </c>
      <c r="M63">
        <v>19.425574337779199</v>
      </c>
      <c r="N63">
        <v>51.885149300585503</v>
      </c>
      <c r="O63">
        <v>51.043112183603</v>
      </c>
      <c r="P63">
        <v>-9.0016826020546295E-2</v>
      </c>
      <c r="Q63">
        <v>5.3912927603791301E-2</v>
      </c>
      <c r="R63">
        <v>0.99090225196239501</v>
      </c>
      <c r="S63" t="s">
        <v>3692</v>
      </c>
      <c r="T63" t="s">
        <v>7256</v>
      </c>
      <c r="U63" t="s">
        <v>7256</v>
      </c>
      <c r="V63" t="s">
        <v>7256</v>
      </c>
      <c r="W63">
        <v>7</v>
      </c>
      <c r="X63" t="s">
        <v>7319</v>
      </c>
      <c r="Y63">
        <v>0.43294043674530142</v>
      </c>
      <c r="Z63" t="str">
        <f>HYPERLINK("Melting_Curves/meltCurve_sp_O00764_PDXK_HUMAN_.pdf", "Melting_Curves/meltCurve_sp_O00764_PDXK_HUMAN_.pdf")</f>
        <v>Melting_Curves/meltCurve_sp_O00764_PDXK_HUMAN_.pdf</v>
      </c>
      <c r="AA63" t="s">
        <v>10943</v>
      </c>
      <c r="AB63" t="s">
        <v>14489</v>
      </c>
    </row>
    <row r="64" spans="1:28" x14ac:dyDescent="0.25">
      <c r="A64" t="s">
        <v>68</v>
      </c>
      <c r="B64">
        <v>0.98018197421672304</v>
      </c>
      <c r="C64">
        <v>1.02488566544698</v>
      </c>
      <c r="D64">
        <v>1.0048507667311199</v>
      </c>
      <c r="E64">
        <v>0.89018964461249195</v>
      </c>
      <c r="F64">
        <v>0.86089889188343505</v>
      </c>
      <c r="G64">
        <v>0.60980008660213902</v>
      </c>
      <c r="H64">
        <v>0.51233519185186505</v>
      </c>
      <c r="I64">
        <v>0.54399522136282796</v>
      </c>
      <c r="J64">
        <v>0.58378661453253999</v>
      </c>
      <c r="K64">
        <v>0.705777298356286</v>
      </c>
      <c r="L64">
        <v>1737.6612387637999</v>
      </c>
      <c r="M64">
        <v>32.495523306817397</v>
      </c>
      <c r="O64">
        <v>53.272589884201302</v>
      </c>
      <c r="P64">
        <v>-6.3726824142905106E-2</v>
      </c>
      <c r="Q64">
        <v>0.58211155788973501</v>
      </c>
      <c r="R64">
        <v>0.916333973762123</v>
      </c>
      <c r="S64" t="s">
        <v>3693</v>
      </c>
      <c r="T64" t="s">
        <v>7256</v>
      </c>
      <c r="U64" t="s">
        <v>7256</v>
      </c>
      <c r="V64" t="s">
        <v>7256</v>
      </c>
      <c r="W64">
        <v>2</v>
      </c>
      <c r="X64" t="s">
        <v>7320</v>
      </c>
      <c r="Y64">
        <v>0.77212952804362134</v>
      </c>
      <c r="Z64" t="str">
        <f>HYPERLINK("Melting_Curves/meltCurve_sp_O14497_ARI1A_HUMAN_.pdf", "Melting_Curves/meltCurve_sp_O14497_ARI1A_HUMAN_.pdf")</f>
        <v>Melting_Curves/meltCurve_sp_O14497_ARI1A_HUMAN_.pdf</v>
      </c>
      <c r="AA64" t="s">
        <v>10944</v>
      </c>
      <c r="AB64" t="s">
        <v>14490</v>
      </c>
    </row>
    <row r="65" spans="1:28" x14ac:dyDescent="0.25">
      <c r="A65" t="s">
        <v>69</v>
      </c>
      <c r="B65">
        <v>0.98018197421672304</v>
      </c>
      <c r="C65">
        <v>0.89176611334268596</v>
      </c>
      <c r="D65">
        <v>0.90835468880247106</v>
      </c>
      <c r="E65">
        <v>0.74810534630115699</v>
      </c>
      <c r="F65">
        <v>0.73977620959656398</v>
      </c>
      <c r="G65">
        <v>0.50583102143180303</v>
      </c>
      <c r="H65">
        <v>0.55689024586089597</v>
      </c>
      <c r="I65">
        <v>0.56084593965547003</v>
      </c>
      <c r="J65">
        <v>0.82445420914475898</v>
      </c>
      <c r="K65">
        <v>0.77851928184241204</v>
      </c>
      <c r="L65">
        <v>924.28692330310196</v>
      </c>
      <c r="M65">
        <v>19.531173392564099</v>
      </c>
      <c r="O65">
        <v>46.835948851013001</v>
      </c>
      <c r="P65">
        <v>-3.6193566754087199E-2</v>
      </c>
      <c r="Q65">
        <v>0.65284227268034201</v>
      </c>
      <c r="R65">
        <v>0.590463863312643</v>
      </c>
      <c r="S65" t="s">
        <v>3694</v>
      </c>
      <c r="T65" t="s">
        <v>7256</v>
      </c>
      <c r="U65" t="s">
        <v>7256</v>
      </c>
      <c r="V65" t="s">
        <v>7256</v>
      </c>
      <c r="W65">
        <v>4</v>
      </c>
      <c r="X65" t="s">
        <v>7321</v>
      </c>
      <c r="Y65">
        <v>0.74288028662054917</v>
      </c>
      <c r="Z65" t="str">
        <f>HYPERLINK("Melting_Curves/meltCurve_sp_O14545_TRAD1_HUMAN_.pdf", "Melting_Curves/meltCurve_sp_O14545_TRAD1_HUMAN_.pdf")</f>
        <v>Melting_Curves/meltCurve_sp_O14545_TRAD1_HUMAN_.pdf</v>
      </c>
      <c r="AA65" t="s">
        <v>10945</v>
      </c>
      <c r="AB65" t="s">
        <v>14491</v>
      </c>
    </row>
    <row r="66" spans="1:28" x14ac:dyDescent="0.25">
      <c r="A66" t="s">
        <v>70</v>
      </c>
      <c r="B66">
        <v>0.98018197421672304</v>
      </c>
      <c r="C66">
        <v>0.95185588154703904</v>
      </c>
      <c r="D66">
        <v>0.95849921265527604</v>
      </c>
      <c r="E66">
        <v>0.84297269672976305</v>
      </c>
      <c r="F66">
        <v>0.87507860914172297</v>
      </c>
      <c r="G66">
        <v>0.72942025734577898</v>
      </c>
      <c r="H66">
        <v>0.59165333178717605</v>
      </c>
      <c r="I66">
        <v>0.61659281522572196</v>
      </c>
      <c r="J66">
        <v>0.54823569753847901</v>
      </c>
      <c r="K66">
        <v>0.90426266970369096</v>
      </c>
      <c r="L66">
        <v>903.62178871869105</v>
      </c>
      <c r="M66">
        <v>17.434224412447598</v>
      </c>
      <c r="O66">
        <v>51.162847391824897</v>
      </c>
      <c r="P66">
        <v>-2.8559764618706501E-2</v>
      </c>
      <c r="Q66">
        <v>0.66477037723724097</v>
      </c>
      <c r="R66">
        <v>0.62038589262957999</v>
      </c>
      <c r="S66" t="s">
        <v>3695</v>
      </c>
      <c r="T66" t="s">
        <v>7256</v>
      </c>
      <c r="U66" t="s">
        <v>7256</v>
      </c>
      <c r="V66" t="s">
        <v>7256</v>
      </c>
      <c r="W66">
        <v>2</v>
      </c>
      <c r="X66" t="s">
        <v>7322</v>
      </c>
      <c r="Y66">
        <v>0.80287131230690911</v>
      </c>
      <c r="Z66" t="str">
        <f>HYPERLINK("Melting_Curves/meltCurve_sp_O14561_ACPM_HUMAN_.pdf", "Melting_Curves/meltCurve_sp_O14561_ACPM_HUMAN_.pdf")</f>
        <v>Melting_Curves/meltCurve_sp_O14561_ACPM_HUMAN_.pdf</v>
      </c>
      <c r="AA66" t="s">
        <v>10946</v>
      </c>
      <c r="AB66" t="s">
        <v>14492</v>
      </c>
    </row>
    <row r="67" spans="1:28" x14ac:dyDescent="0.25">
      <c r="A67" t="s">
        <v>71</v>
      </c>
      <c r="B67">
        <v>0.98018197421672304</v>
      </c>
      <c r="C67">
        <v>0.87797441755325401</v>
      </c>
      <c r="D67">
        <v>0.85924772188215204</v>
      </c>
      <c r="E67">
        <v>0.70791121387167399</v>
      </c>
      <c r="F67">
        <v>0.35293454730941098</v>
      </c>
      <c r="G67">
        <v>0.14745293092557901</v>
      </c>
      <c r="H67">
        <v>9.3630621060263403E-2</v>
      </c>
      <c r="I67">
        <v>6.4677074502456203E-2</v>
      </c>
      <c r="J67">
        <v>7.0079442653449703E-2</v>
      </c>
      <c r="K67">
        <v>6.1781859232196097E-2</v>
      </c>
      <c r="L67">
        <v>948.61459222309895</v>
      </c>
      <c r="M67">
        <v>18.4824086176733</v>
      </c>
      <c r="N67">
        <v>51.579036676052297</v>
      </c>
      <c r="O67">
        <v>50.735740882812202</v>
      </c>
      <c r="P67">
        <v>-8.7117788844774904E-2</v>
      </c>
      <c r="Q67">
        <v>4.3460364936551699E-2</v>
      </c>
      <c r="R67">
        <v>0.98638529994628699</v>
      </c>
      <c r="S67" t="s">
        <v>3696</v>
      </c>
      <c r="T67" t="s">
        <v>7256</v>
      </c>
      <c r="U67" t="s">
        <v>7256</v>
      </c>
      <c r="V67" t="s">
        <v>7256</v>
      </c>
      <c r="W67">
        <v>12</v>
      </c>
      <c r="X67" t="s">
        <v>7323</v>
      </c>
      <c r="Y67">
        <v>0.41987876591254059</v>
      </c>
      <c r="Z67" t="str">
        <f>HYPERLINK("Melting_Curves/meltCurve_sp_O14579_COPE_HUMAN_.pdf", "Melting_Curves/meltCurve_sp_O14579_COPE_HUMAN_.pdf")</f>
        <v>Melting_Curves/meltCurve_sp_O14579_COPE_HUMAN_.pdf</v>
      </c>
      <c r="AA67" t="s">
        <v>10947</v>
      </c>
      <c r="AB67" t="s">
        <v>14493</v>
      </c>
    </row>
    <row r="68" spans="1:28" x14ac:dyDescent="0.25">
      <c r="A68" t="s">
        <v>72</v>
      </c>
      <c r="B68">
        <v>0.98018197421672304</v>
      </c>
      <c r="C68">
        <v>0.85531132862302495</v>
      </c>
      <c r="D68">
        <v>0.92415204758153302</v>
      </c>
      <c r="E68">
        <v>0.71355188285978099</v>
      </c>
      <c r="F68">
        <v>0.720763288425736</v>
      </c>
      <c r="G68">
        <v>0.30940286820979102</v>
      </c>
      <c r="H68">
        <v>0.36418172507881902</v>
      </c>
      <c r="I68">
        <v>0.37558169441496397</v>
      </c>
      <c r="J68">
        <v>0.423863905153536</v>
      </c>
      <c r="K68">
        <v>0.51401285724686196</v>
      </c>
      <c r="L68">
        <v>927.196592605614</v>
      </c>
      <c r="M68">
        <v>18.242411169489198</v>
      </c>
      <c r="N68">
        <v>55.464171643809699</v>
      </c>
      <c r="O68">
        <v>50.227446079017099</v>
      </c>
      <c r="P68">
        <v>-5.52783066411138E-2</v>
      </c>
      <c r="Q68">
        <v>0.39122970362366</v>
      </c>
      <c r="R68">
        <v>0.86374157053740297</v>
      </c>
      <c r="S68" t="s">
        <v>3697</v>
      </c>
      <c r="T68" t="s">
        <v>7256</v>
      </c>
      <c r="U68" t="s">
        <v>7256</v>
      </c>
      <c r="V68" t="s">
        <v>7256</v>
      </c>
      <c r="W68">
        <v>1</v>
      </c>
      <c r="X68" t="s">
        <v>7324</v>
      </c>
      <c r="Y68">
        <v>0.62095356535689517</v>
      </c>
      <c r="Z68" t="str">
        <f>HYPERLINK("Melting_Curves/meltCurve_sp_O14686_MLL2_HUMAN_.pdf", "Melting_Curves/meltCurve_sp_O14686_MLL2_HUMAN_.pdf")</f>
        <v>Melting_Curves/meltCurve_sp_O14686_MLL2_HUMAN_.pdf</v>
      </c>
      <c r="AA68" t="s">
        <v>10948</v>
      </c>
      <c r="AB68" t="s">
        <v>14494</v>
      </c>
    </row>
    <row r="69" spans="1:28" x14ac:dyDescent="0.25">
      <c r="A69" t="s">
        <v>73</v>
      </c>
      <c r="B69">
        <v>0.98018197421672304</v>
      </c>
      <c r="C69">
        <v>0.954309894762436</v>
      </c>
      <c r="D69">
        <v>0.87216636001562198</v>
      </c>
      <c r="E69">
        <v>0.63811146010473496</v>
      </c>
      <c r="F69">
        <v>0.33224214494294202</v>
      </c>
      <c r="G69">
        <v>0.14264414490090299</v>
      </c>
      <c r="H69">
        <v>0.105194159673622</v>
      </c>
      <c r="I69">
        <v>7.4449396041374905E-2</v>
      </c>
      <c r="J69">
        <v>6.9032391754415404E-2</v>
      </c>
      <c r="K69">
        <v>9.1839888676068696E-2</v>
      </c>
      <c r="L69">
        <v>1027.9706112178701</v>
      </c>
      <c r="M69">
        <v>20.243233813559801</v>
      </c>
      <c r="N69">
        <v>51.1465218765982</v>
      </c>
      <c r="O69">
        <v>50.293207154599401</v>
      </c>
      <c r="P69">
        <v>-9.3851392940555098E-2</v>
      </c>
      <c r="Q69">
        <v>6.7354750135421401E-2</v>
      </c>
      <c r="R69">
        <v>0.99742472080415001</v>
      </c>
      <c r="S69" t="s">
        <v>3698</v>
      </c>
      <c r="T69" t="s">
        <v>7256</v>
      </c>
      <c r="U69" t="s">
        <v>7256</v>
      </c>
      <c r="V69" t="s">
        <v>7256</v>
      </c>
      <c r="W69">
        <v>2</v>
      </c>
      <c r="X69" t="s">
        <v>7325</v>
      </c>
      <c r="Y69">
        <v>0.41517535013919471</v>
      </c>
      <c r="Z69" t="str">
        <f>HYPERLINK("Melting_Curves/meltCurve_sp_O14732_2_IMPA2_HUMAN_.pdf", "Melting_Curves/meltCurve_sp_O14732_2_IMPA2_HUMAN_.pdf")</f>
        <v>Melting_Curves/meltCurve_sp_O14732_2_IMPA2_HUMAN_.pdf</v>
      </c>
      <c r="AA69" t="s">
        <v>10949</v>
      </c>
      <c r="AB69" t="s">
        <v>14495</v>
      </c>
    </row>
    <row r="70" spans="1:28" x14ac:dyDescent="0.25">
      <c r="A70" t="s">
        <v>74</v>
      </c>
      <c r="B70">
        <v>0.98018197421672304</v>
      </c>
      <c r="C70">
        <v>0.91363951927235099</v>
      </c>
      <c r="D70">
        <v>0.76057975952664503</v>
      </c>
      <c r="E70">
        <v>0.43801324944771503</v>
      </c>
      <c r="F70">
        <v>0.16696757152168801</v>
      </c>
      <c r="G70">
        <v>6.8399723478162297E-2</v>
      </c>
      <c r="H70">
        <v>3.5919019558094401E-2</v>
      </c>
      <c r="I70">
        <v>2.4155613552636901E-2</v>
      </c>
      <c r="J70">
        <v>2.5494027274998301E-2</v>
      </c>
      <c r="K70">
        <v>1.5977238889954299E-2</v>
      </c>
      <c r="L70">
        <v>910.48214376327803</v>
      </c>
      <c r="M70">
        <v>18.615384139957801</v>
      </c>
      <c r="N70">
        <v>48.961265813618397</v>
      </c>
      <c r="O70">
        <v>48.356273942990299</v>
      </c>
      <c r="P70">
        <v>-9.5319576191792696E-2</v>
      </c>
      <c r="Q70">
        <v>9.6150943581661298E-3</v>
      </c>
      <c r="R70">
        <v>0.99812040449756101</v>
      </c>
      <c r="S70" t="s">
        <v>3699</v>
      </c>
      <c r="T70" t="s">
        <v>7256</v>
      </c>
      <c r="U70" t="s">
        <v>7256</v>
      </c>
      <c r="V70" t="s">
        <v>7256</v>
      </c>
      <c r="W70">
        <v>3</v>
      </c>
      <c r="X70" t="s">
        <v>7326</v>
      </c>
      <c r="Y70">
        <v>0.31982728110550601</v>
      </c>
      <c r="Z70" t="str">
        <f>HYPERLINK("Melting_Curves/meltCurve_sp_O14734_ACOT8_HUMAN_.pdf", "Melting_Curves/meltCurve_sp_O14734_ACOT8_HUMAN_.pdf")</f>
        <v>Melting_Curves/meltCurve_sp_O14734_ACOT8_HUMAN_.pdf</v>
      </c>
      <c r="AA70" t="s">
        <v>10950</v>
      </c>
      <c r="AB70" t="s">
        <v>14496</v>
      </c>
    </row>
    <row r="71" spans="1:28" x14ac:dyDescent="0.25">
      <c r="A71" t="s">
        <v>75</v>
      </c>
      <c r="B71">
        <v>0.98018197421672304</v>
      </c>
      <c r="C71">
        <v>0.97286503046085304</v>
      </c>
      <c r="D71">
        <v>0.88055229808740398</v>
      </c>
      <c r="E71">
        <v>0.73224788430662802</v>
      </c>
      <c r="F71">
        <v>0.67174370862081201</v>
      </c>
      <c r="G71">
        <v>0.41264507718132298</v>
      </c>
      <c r="H71">
        <v>0.40730581607927002</v>
      </c>
      <c r="I71">
        <v>0.42446159010700801</v>
      </c>
      <c r="J71">
        <v>0.54309497157396103</v>
      </c>
      <c r="K71">
        <v>0.51234323125827796</v>
      </c>
      <c r="L71">
        <v>935.88488437399099</v>
      </c>
      <c r="M71">
        <v>18.6854222088181</v>
      </c>
      <c r="N71">
        <v>57.460926233725502</v>
      </c>
      <c r="O71">
        <v>49.523279680121398</v>
      </c>
      <c r="P71">
        <v>-5.1452138066676999E-2</v>
      </c>
      <c r="Q71">
        <v>0.454554557652533</v>
      </c>
      <c r="R71">
        <v>0.93344860121011897</v>
      </c>
      <c r="S71" t="s">
        <v>3700</v>
      </c>
      <c r="T71" t="s">
        <v>7256</v>
      </c>
      <c r="U71" t="s">
        <v>7256</v>
      </c>
      <c r="V71" t="s">
        <v>7256</v>
      </c>
      <c r="W71">
        <v>5</v>
      </c>
      <c r="X71" t="s">
        <v>7327</v>
      </c>
      <c r="Y71">
        <v>0.64659411222213414</v>
      </c>
      <c r="Z71" t="str">
        <f>HYPERLINK("Melting_Curves/meltCurve_sp_O14737_PDCD5_HUMAN_.pdf", "Melting_Curves/meltCurve_sp_O14737_PDCD5_HUMAN_.pdf")</f>
        <v>Melting_Curves/meltCurve_sp_O14737_PDCD5_HUMAN_.pdf</v>
      </c>
      <c r="AA71" t="s">
        <v>10951</v>
      </c>
      <c r="AB71" t="s">
        <v>14497</v>
      </c>
    </row>
    <row r="72" spans="1:28" x14ac:dyDescent="0.25">
      <c r="A72" t="s">
        <v>76</v>
      </c>
      <c r="B72">
        <v>0.98018197421672304</v>
      </c>
      <c r="C72">
        <v>1.0542445578902699</v>
      </c>
      <c r="D72">
        <v>0.91439890208399399</v>
      </c>
      <c r="E72">
        <v>0.80527719566649503</v>
      </c>
      <c r="F72">
        <v>0.42004028358451101</v>
      </c>
      <c r="G72">
        <v>0.12707692837447601</v>
      </c>
      <c r="H72">
        <v>9.1476930481042801E-2</v>
      </c>
      <c r="I72">
        <v>7.9924919505211606E-2</v>
      </c>
      <c r="J72">
        <v>7.9128320868591395E-2</v>
      </c>
      <c r="K72">
        <v>5.3854209689481201E-2</v>
      </c>
      <c r="L72">
        <v>1531.3248350824299</v>
      </c>
      <c r="M72">
        <v>29.383456393937401</v>
      </c>
      <c r="N72">
        <v>52.379479917094898</v>
      </c>
      <c r="O72">
        <v>51.875607768852298</v>
      </c>
      <c r="P72">
        <v>-0.13185081593932299</v>
      </c>
      <c r="Q72">
        <v>6.8892015611661597E-2</v>
      </c>
      <c r="R72">
        <v>0.99465675603137105</v>
      </c>
      <c r="S72" t="s">
        <v>3701</v>
      </c>
      <c r="T72" t="s">
        <v>7256</v>
      </c>
      <c r="U72" t="s">
        <v>7256</v>
      </c>
      <c r="V72" t="s">
        <v>7256</v>
      </c>
      <c r="W72">
        <v>8</v>
      </c>
      <c r="X72" t="s">
        <v>7328</v>
      </c>
      <c r="Y72">
        <v>0.45112047064443439</v>
      </c>
      <c r="Z72" t="str">
        <f>HYPERLINK("Melting_Curves/meltCurve_sp_O14744_ANM5_HUMAN_.pdf", "Melting_Curves/meltCurve_sp_O14744_ANM5_HUMAN_.pdf")</f>
        <v>Melting_Curves/meltCurve_sp_O14744_ANM5_HUMAN_.pdf</v>
      </c>
      <c r="AA72" t="s">
        <v>10952</v>
      </c>
      <c r="AB72" t="s">
        <v>14498</v>
      </c>
    </row>
    <row r="73" spans="1:28" x14ac:dyDescent="0.25">
      <c r="A73" t="s">
        <v>77</v>
      </c>
      <c r="B73">
        <v>0.98018197421672304</v>
      </c>
      <c r="C73">
        <v>0.96670479502804196</v>
      </c>
      <c r="D73">
        <v>0.90166506934330104</v>
      </c>
      <c r="E73">
        <v>0.76301682143299998</v>
      </c>
      <c r="F73">
        <v>0.71781048402596603</v>
      </c>
      <c r="G73">
        <v>0.56504629498991599</v>
      </c>
      <c r="H73">
        <v>0.49333267826216398</v>
      </c>
      <c r="I73">
        <v>0.52539808825815504</v>
      </c>
      <c r="J73">
        <v>0.61373363003813297</v>
      </c>
      <c r="K73">
        <v>0.73750147369665298</v>
      </c>
      <c r="L73">
        <v>956.15142569413104</v>
      </c>
      <c r="M73">
        <v>19.435622507299701</v>
      </c>
      <c r="O73">
        <v>48.683888971601903</v>
      </c>
      <c r="P73">
        <v>-4.1261968469592701E-2</v>
      </c>
      <c r="Q73">
        <v>0.586590063849595</v>
      </c>
      <c r="R73">
        <v>0.85007153962245396</v>
      </c>
      <c r="S73" t="s">
        <v>3702</v>
      </c>
      <c r="T73" t="s">
        <v>7256</v>
      </c>
      <c r="U73" t="s">
        <v>7256</v>
      </c>
      <c r="V73" t="s">
        <v>7256</v>
      </c>
      <c r="W73">
        <v>16</v>
      </c>
      <c r="X73" t="s">
        <v>7329</v>
      </c>
      <c r="Y73">
        <v>0.71943543328334536</v>
      </c>
      <c r="Z73" t="str">
        <f>HYPERLINK("Melting_Curves/meltCurve_sp_O14745_NHRF1_HUMAN_.pdf", "Melting_Curves/meltCurve_sp_O14745_NHRF1_HUMAN_.pdf")</f>
        <v>Melting_Curves/meltCurve_sp_O14745_NHRF1_HUMAN_.pdf</v>
      </c>
      <c r="AA73" t="s">
        <v>10953</v>
      </c>
      <c r="AB73" t="s">
        <v>14499</v>
      </c>
    </row>
    <row r="74" spans="1:28" x14ac:dyDescent="0.25">
      <c r="A74" t="s">
        <v>78</v>
      </c>
      <c r="B74">
        <v>0.98018197421672304</v>
      </c>
      <c r="C74">
        <v>0.94126534746180401</v>
      </c>
      <c r="D74">
        <v>0.72397096822614304</v>
      </c>
      <c r="E74">
        <v>0.36551475359916902</v>
      </c>
      <c r="F74">
        <v>0.19111774636894299</v>
      </c>
      <c r="G74">
        <v>0.106833977919098</v>
      </c>
      <c r="H74">
        <v>7.59606041352512E-2</v>
      </c>
      <c r="I74">
        <v>6.2317191740673801E-2</v>
      </c>
      <c r="J74">
        <v>7.7075540132280199E-2</v>
      </c>
      <c r="K74">
        <v>4.1514224205230002E-2</v>
      </c>
      <c r="L74">
        <v>955.105652774595</v>
      </c>
      <c r="M74">
        <v>19.836310944084602</v>
      </c>
      <c r="N74">
        <v>48.456603277228602</v>
      </c>
      <c r="O74">
        <v>47.668020586997599</v>
      </c>
      <c r="P74">
        <v>-9.7889626937429905E-2</v>
      </c>
      <c r="Q74">
        <v>5.90895968872579E-2</v>
      </c>
      <c r="R74">
        <v>0.99918391482556701</v>
      </c>
      <c r="S74" t="s">
        <v>3703</v>
      </c>
      <c r="T74" t="s">
        <v>7256</v>
      </c>
      <c r="U74" t="s">
        <v>7256</v>
      </c>
      <c r="V74" t="s">
        <v>7256</v>
      </c>
      <c r="W74">
        <v>8</v>
      </c>
      <c r="X74" t="s">
        <v>7330</v>
      </c>
      <c r="Y74">
        <v>0.32824880639943238</v>
      </c>
      <c r="Z74" t="str">
        <f>HYPERLINK("Melting_Curves/meltCurve_sp_O14756_H17B6_HUMAN_.pdf", "Melting_Curves/meltCurve_sp_O14756_H17B6_HUMAN_.pdf")</f>
        <v>Melting_Curves/meltCurve_sp_O14756_H17B6_HUMAN_.pdf</v>
      </c>
      <c r="AA74" t="s">
        <v>10954</v>
      </c>
      <c r="AB74" t="s">
        <v>14500</v>
      </c>
    </row>
    <row r="75" spans="1:28" x14ac:dyDescent="0.25">
      <c r="A75" t="s">
        <v>79</v>
      </c>
      <c r="B75">
        <v>0.98018197421672304</v>
      </c>
      <c r="C75">
        <v>0.96048142569970196</v>
      </c>
      <c r="D75">
        <v>0.89800774545769002</v>
      </c>
      <c r="E75">
        <v>0.61014688327694699</v>
      </c>
      <c r="F75">
        <v>0.230200301315474</v>
      </c>
      <c r="G75">
        <v>0.104986827839438</v>
      </c>
      <c r="H75">
        <v>5.4238589131318897E-2</v>
      </c>
      <c r="I75">
        <v>3.6874083788131201E-2</v>
      </c>
      <c r="J75">
        <v>6.2150183051573098E-2</v>
      </c>
      <c r="K75">
        <v>1.7107582055318999E-2</v>
      </c>
      <c r="L75">
        <v>1272.3567556358601</v>
      </c>
      <c r="M75">
        <v>25.190354260316401</v>
      </c>
      <c r="N75">
        <v>50.6669627994916</v>
      </c>
      <c r="O75">
        <v>50.1945911654553</v>
      </c>
      <c r="P75">
        <v>-0.12074656677781299</v>
      </c>
      <c r="Q75">
        <v>3.7608537003352399E-2</v>
      </c>
      <c r="R75">
        <v>0.99673549447396304</v>
      </c>
      <c r="S75" t="s">
        <v>3704</v>
      </c>
      <c r="T75" t="s">
        <v>7256</v>
      </c>
      <c r="U75" t="s">
        <v>7256</v>
      </c>
      <c r="V75" t="s">
        <v>7256</v>
      </c>
      <c r="W75">
        <v>3</v>
      </c>
      <c r="X75" t="s">
        <v>7331</v>
      </c>
      <c r="Y75">
        <v>0.38327447434390488</v>
      </c>
      <c r="Z75" t="str">
        <f>HYPERLINK("Melting_Curves/meltCurve_sp_O14772_FPGT_HUMAN_.pdf", "Melting_Curves/meltCurve_sp_O14772_FPGT_HUMAN_.pdf")</f>
        <v>Melting_Curves/meltCurve_sp_O14772_FPGT_HUMAN_.pdf</v>
      </c>
      <c r="AA75" t="s">
        <v>10955</v>
      </c>
      <c r="AB75" t="s">
        <v>14501</v>
      </c>
    </row>
    <row r="76" spans="1:28" x14ac:dyDescent="0.25">
      <c r="A76" t="s">
        <v>80</v>
      </c>
      <c r="B76">
        <v>0.98018197421672304</v>
      </c>
      <c r="C76">
        <v>0.81389131122752301</v>
      </c>
      <c r="D76">
        <v>0.39953789165919101</v>
      </c>
      <c r="E76">
        <v>0.19600075389029001</v>
      </c>
      <c r="F76">
        <v>0.12148712228887</v>
      </c>
      <c r="G76">
        <v>6.3912708568617804E-2</v>
      </c>
      <c r="H76">
        <v>3.7843537047878302E-2</v>
      </c>
      <c r="I76">
        <v>2.3862369233223799E-2</v>
      </c>
      <c r="J76">
        <v>2.98275685737023E-2</v>
      </c>
      <c r="K76">
        <v>1.20200412824452E-2</v>
      </c>
      <c r="L76">
        <v>983.29373586709505</v>
      </c>
      <c r="M76">
        <v>21.672045183262799</v>
      </c>
      <c r="N76">
        <v>45.549777687270698</v>
      </c>
      <c r="O76">
        <v>44.990532973695601</v>
      </c>
      <c r="P76">
        <v>-0.11553174326163</v>
      </c>
      <c r="Q76">
        <v>4.0660996671416802E-2</v>
      </c>
      <c r="R76">
        <v>0.991964015140952</v>
      </c>
      <c r="S76" t="s">
        <v>3705</v>
      </c>
      <c r="T76" t="s">
        <v>7256</v>
      </c>
      <c r="U76" t="s">
        <v>7256</v>
      </c>
      <c r="V76" t="s">
        <v>7256</v>
      </c>
      <c r="W76">
        <v>3</v>
      </c>
      <c r="X76" t="s">
        <v>7332</v>
      </c>
      <c r="Y76">
        <v>0.22537974549704401</v>
      </c>
      <c r="Z76" t="str">
        <f>HYPERLINK("Melting_Curves/meltCurve_sp_O14773_2_TPP1_HUMAN_.pdf", "Melting_Curves/meltCurve_sp_O14773_2_TPP1_HUMAN_.pdf")</f>
        <v>Melting_Curves/meltCurve_sp_O14773_2_TPP1_HUMAN_.pdf</v>
      </c>
      <c r="AA76" t="s">
        <v>10956</v>
      </c>
      <c r="AB76" t="s">
        <v>14502</v>
      </c>
    </row>
    <row r="77" spans="1:28" x14ac:dyDescent="0.25">
      <c r="A77" t="s">
        <v>81</v>
      </c>
      <c r="B77">
        <v>0.98018197421672304</v>
      </c>
      <c r="C77">
        <v>1.00224583686164</v>
      </c>
      <c r="D77">
        <v>0.87438277813156795</v>
      </c>
      <c r="E77">
        <v>0.564181724997463</v>
      </c>
      <c r="F77">
        <v>0.25463646911445298</v>
      </c>
      <c r="G77">
        <v>0.17007422933849201</v>
      </c>
      <c r="H77">
        <v>0.12238527859536701</v>
      </c>
      <c r="I77">
        <v>9.6901976407964996E-2</v>
      </c>
      <c r="J77">
        <v>0.117016611618544</v>
      </c>
      <c r="K77">
        <v>8.3173288283787297E-2</v>
      </c>
      <c r="L77">
        <v>1177.4427593755199</v>
      </c>
      <c r="M77">
        <v>23.582802866948999</v>
      </c>
      <c r="N77">
        <v>50.4130194438142</v>
      </c>
      <c r="O77">
        <v>49.573159871434299</v>
      </c>
      <c r="P77">
        <v>-0.106861068329001</v>
      </c>
      <c r="Q77">
        <v>0.10148893413957399</v>
      </c>
      <c r="R77">
        <v>0.99731951199131696</v>
      </c>
      <c r="S77" t="s">
        <v>3706</v>
      </c>
      <c r="T77" t="s">
        <v>7256</v>
      </c>
      <c r="U77" t="s">
        <v>7256</v>
      </c>
      <c r="V77" t="s">
        <v>7256</v>
      </c>
      <c r="W77">
        <v>5</v>
      </c>
      <c r="X77" t="s">
        <v>7333</v>
      </c>
      <c r="Y77">
        <v>0.40786038755561038</v>
      </c>
      <c r="Z77" t="str">
        <f>HYPERLINK("Melting_Curves/meltCurve_sp_O14776_2_TCRG1_HUMAN_.pdf", "Melting_Curves/meltCurve_sp_O14776_2_TCRG1_HUMAN_.pdf")</f>
        <v>Melting_Curves/meltCurve_sp_O14776_2_TCRG1_HUMAN_.pdf</v>
      </c>
      <c r="AA77" t="s">
        <v>10957</v>
      </c>
      <c r="AB77" t="s">
        <v>14503</v>
      </c>
    </row>
    <row r="78" spans="1:28" x14ac:dyDescent="0.25">
      <c r="A78" t="s">
        <v>82</v>
      </c>
      <c r="B78">
        <v>0.98018197421672304</v>
      </c>
      <c r="C78">
        <v>0.85817577635485198</v>
      </c>
      <c r="D78">
        <v>0.85944208931354504</v>
      </c>
      <c r="E78">
        <v>0.66458099513254798</v>
      </c>
      <c r="F78">
        <v>0.36101602462337101</v>
      </c>
      <c r="G78">
        <v>0.19037220484863501</v>
      </c>
      <c r="H78">
        <v>9.2668555905817296E-2</v>
      </c>
      <c r="I78">
        <v>8.1328724313445705E-2</v>
      </c>
      <c r="J78">
        <v>7.5575523801979294E-2</v>
      </c>
      <c r="K78">
        <v>2.9409707027340099E-2</v>
      </c>
      <c r="L78">
        <v>762.72725647271295</v>
      </c>
      <c r="M78">
        <v>14.860012302776999</v>
      </c>
      <c r="N78">
        <v>51.477616521929299</v>
      </c>
      <c r="O78">
        <v>50.4248654855799</v>
      </c>
      <c r="P78">
        <v>-7.2119369265892602E-2</v>
      </c>
      <c r="Q78">
        <v>2.12044823381866E-2</v>
      </c>
      <c r="R78">
        <v>0.98892448700494295</v>
      </c>
      <c r="S78" t="s">
        <v>3707</v>
      </c>
      <c r="T78" t="s">
        <v>7256</v>
      </c>
      <c r="U78" t="s">
        <v>7256</v>
      </c>
      <c r="V78" t="s">
        <v>7256</v>
      </c>
      <c r="W78">
        <v>4</v>
      </c>
      <c r="X78" t="s">
        <v>7334</v>
      </c>
      <c r="Y78">
        <v>0.4135014818300059</v>
      </c>
      <c r="Z78" t="str">
        <f>HYPERLINK("Melting_Curves/meltCurve_sp_O14787_2_TNPO2_HUMAN_.pdf", "Melting_Curves/meltCurve_sp_O14787_2_TNPO2_HUMAN_.pdf")</f>
        <v>Melting_Curves/meltCurve_sp_O14787_2_TNPO2_HUMAN_.pdf</v>
      </c>
      <c r="AA78" t="s">
        <v>10958</v>
      </c>
      <c r="AB78" t="s">
        <v>14504</v>
      </c>
    </row>
    <row r="79" spans="1:28" x14ac:dyDescent="0.25">
      <c r="A79" t="s">
        <v>83</v>
      </c>
      <c r="B79">
        <v>0.98018197421672304</v>
      </c>
      <c r="C79">
        <v>1.01466691123796</v>
      </c>
      <c r="D79">
        <v>0.951792399389773</v>
      </c>
      <c r="E79">
        <v>0.802599867942423</v>
      </c>
      <c r="F79">
        <v>0.71594635106800097</v>
      </c>
      <c r="G79">
        <v>0.59255025407246598</v>
      </c>
      <c r="H79">
        <v>0.46130101767416398</v>
      </c>
      <c r="I79">
        <v>0.45193522966570998</v>
      </c>
      <c r="J79">
        <v>0.37989599118307799</v>
      </c>
      <c r="K79">
        <v>0.32269856741375103</v>
      </c>
      <c r="L79">
        <v>604.98506465847402</v>
      </c>
      <c r="M79">
        <v>10.936093168045799</v>
      </c>
      <c r="N79">
        <v>59.885899279497998</v>
      </c>
      <c r="O79">
        <v>53.566774250952101</v>
      </c>
      <c r="P79">
        <v>-3.6618125243880299E-2</v>
      </c>
      <c r="Q79">
        <v>0.28280117955165002</v>
      </c>
      <c r="R79">
        <v>0.99102908877778895</v>
      </c>
      <c r="S79" t="s">
        <v>3708</v>
      </c>
      <c r="T79" t="s">
        <v>7256</v>
      </c>
      <c r="U79" t="s">
        <v>7256</v>
      </c>
      <c r="V79" t="s">
        <v>7256</v>
      </c>
      <c r="W79">
        <v>12</v>
      </c>
      <c r="X79" t="s">
        <v>7335</v>
      </c>
      <c r="Y79">
        <v>0.66599885626904742</v>
      </c>
      <c r="Z79" t="str">
        <f>HYPERLINK("Melting_Curves/meltCurve_sp_O14818_PSA7_HUMAN_.pdf", "Melting_Curves/meltCurve_sp_O14818_PSA7_HUMAN_.pdf")</f>
        <v>Melting_Curves/meltCurve_sp_O14818_PSA7_HUMAN_.pdf</v>
      </c>
      <c r="AA79" t="s">
        <v>10959</v>
      </c>
      <c r="AB79" t="s">
        <v>14505</v>
      </c>
    </row>
    <row r="80" spans="1:28" x14ac:dyDescent="0.25">
      <c r="A80" t="s">
        <v>84</v>
      </c>
      <c r="B80">
        <v>0.98018197421672304</v>
      </c>
      <c r="C80">
        <v>0.97702597709439398</v>
      </c>
      <c r="D80">
        <v>0.87884311360920697</v>
      </c>
      <c r="E80">
        <v>0.52061832059562396</v>
      </c>
      <c r="F80">
        <v>0.31704901162893001</v>
      </c>
      <c r="G80">
        <v>0.180217550203844</v>
      </c>
      <c r="H80">
        <v>0.110708092580572</v>
      </c>
      <c r="I80">
        <v>8.1498195550624306E-2</v>
      </c>
      <c r="J80">
        <v>7.7662917109104807E-2</v>
      </c>
      <c r="K80">
        <v>4.8506895394728203E-2</v>
      </c>
      <c r="L80">
        <v>952.10183208856495</v>
      </c>
      <c r="M80">
        <v>18.995835260686398</v>
      </c>
      <c r="N80">
        <v>50.5195719825076</v>
      </c>
      <c r="O80">
        <v>49.576041516913101</v>
      </c>
      <c r="P80">
        <v>-8.9138396947347098E-2</v>
      </c>
      <c r="Q80">
        <v>6.94900168208131E-2</v>
      </c>
      <c r="R80">
        <v>0.99792286214155601</v>
      </c>
      <c r="S80" t="s">
        <v>3709</v>
      </c>
      <c r="T80" t="s">
        <v>7256</v>
      </c>
      <c r="U80" t="s">
        <v>7256</v>
      </c>
      <c r="V80" t="s">
        <v>7256</v>
      </c>
      <c r="W80">
        <v>15</v>
      </c>
      <c r="X80" t="s">
        <v>7336</v>
      </c>
      <c r="Y80">
        <v>0.39773299519348732</v>
      </c>
      <c r="Z80" t="str">
        <f>HYPERLINK("Melting_Curves/meltCurve_sp_O14832_PAHX_HUMAN_.pdf", "Melting_Curves/meltCurve_sp_O14832_PAHX_HUMAN_.pdf")</f>
        <v>Melting_Curves/meltCurve_sp_O14832_PAHX_HUMAN_.pdf</v>
      </c>
      <c r="AA80" t="s">
        <v>10960</v>
      </c>
      <c r="AB80" t="s">
        <v>14506</v>
      </c>
    </row>
    <row r="81" spans="1:28" x14ac:dyDescent="0.25">
      <c r="A81" t="s">
        <v>85</v>
      </c>
      <c r="B81">
        <v>0.98018197421672304</v>
      </c>
      <c r="C81">
        <v>0.98140160452659997</v>
      </c>
      <c r="D81">
        <v>0.89600157595528096</v>
      </c>
      <c r="E81">
        <v>0.65600787268942395</v>
      </c>
      <c r="F81">
        <v>0.32471058350332299</v>
      </c>
      <c r="G81">
        <v>0.12897172344255001</v>
      </c>
      <c r="H81">
        <v>5.9860147021885898E-2</v>
      </c>
      <c r="I81">
        <v>5.2223979890424203E-2</v>
      </c>
      <c r="J81">
        <v>5.4940871174579603E-2</v>
      </c>
      <c r="K81">
        <v>4.0147351189599501E-2</v>
      </c>
      <c r="L81">
        <v>1123.27719352597</v>
      </c>
      <c r="M81">
        <v>21.9833618523631</v>
      </c>
      <c r="N81">
        <v>51.288972460084501</v>
      </c>
      <c r="O81">
        <v>50.679503472853902</v>
      </c>
      <c r="P81">
        <v>-0.10415611738763</v>
      </c>
      <c r="Q81">
        <v>3.9553038762623102E-2</v>
      </c>
      <c r="R81">
        <v>0.99875836312680799</v>
      </c>
      <c r="S81" t="s">
        <v>3710</v>
      </c>
      <c r="T81" t="s">
        <v>7256</v>
      </c>
      <c r="U81" t="s">
        <v>7256</v>
      </c>
      <c r="V81" t="s">
        <v>7256</v>
      </c>
      <c r="W81">
        <v>42</v>
      </c>
      <c r="X81" t="s">
        <v>7337</v>
      </c>
      <c r="Y81">
        <v>0.40596038452084859</v>
      </c>
      <c r="Z81" t="str">
        <f>HYPERLINK("Melting_Curves/meltCurve_sp_O14841_OPLA_HUMAN_.pdf", "Melting_Curves/meltCurve_sp_O14841_OPLA_HUMAN_.pdf")</f>
        <v>Melting_Curves/meltCurve_sp_O14841_OPLA_HUMAN_.pdf</v>
      </c>
      <c r="AA81" t="s">
        <v>10961</v>
      </c>
      <c r="AB81" t="s">
        <v>14507</v>
      </c>
    </row>
    <row r="82" spans="1:28" x14ac:dyDescent="0.25">
      <c r="A82" t="s">
        <v>86</v>
      </c>
      <c r="B82">
        <v>0.98018197421672304</v>
      </c>
      <c r="C82">
        <v>0.95245973131133299</v>
      </c>
      <c r="D82">
        <v>0.89263567462593896</v>
      </c>
      <c r="E82">
        <v>0.56126751971810296</v>
      </c>
      <c r="F82">
        <v>0.25909811266008198</v>
      </c>
      <c r="G82">
        <v>0.109898780642237</v>
      </c>
      <c r="H82">
        <v>6.6839109560432194E-2</v>
      </c>
      <c r="I82">
        <v>5.6797444628950797E-2</v>
      </c>
      <c r="J82">
        <v>8.9606302494210505E-2</v>
      </c>
      <c r="K82">
        <v>5.2412271601587901E-2</v>
      </c>
      <c r="L82">
        <v>1163.5947830016401</v>
      </c>
      <c r="M82">
        <v>23.19173700176</v>
      </c>
      <c r="N82">
        <v>50.442859276842597</v>
      </c>
      <c r="O82">
        <v>49.804244775232497</v>
      </c>
      <c r="P82">
        <v>-0.109620329857552</v>
      </c>
      <c r="Q82">
        <v>5.8378602385841603E-2</v>
      </c>
      <c r="R82">
        <v>0.99831091952830797</v>
      </c>
      <c r="S82" t="s">
        <v>3711</v>
      </c>
      <c r="T82" t="s">
        <v>7256</v>
      </c>
      <c r="U82" t="s">
        <v>7256</v>
      </c>
      <c r="V82" t="s">
        <v>7256</v>
      </c>
      <c r="W82">
        <v>8</v>
      </c>
      <c r="X82" t="s">
        <v>7338</v>
      </c>
      <c r="Y82">
        <v>0.38747054024624561</v>
      </c>
      <c r="Z82" t="str">
        <f>HYPERLINK("Melting_Curves/meltCurve_sp_O14879_IFIT3_HUMAN_.pdf", "Melting_Curves/meltCurve_sp_O14879_IFIT3_HUMAN_.pdf")</f>
        <v>Melting_Curves/meltCurve_sp_O14879_IFIT3_HUMAN_.pdf</v>
      </c>
      <c r="AA82" t="s">
        <v>10962</v>
      </c>
      <c r="AB82" t="s">
        <v>14508</v>
      </c>
    </row>
    <row r="83" spans="1:28" x14ac:dyDescent="0.25">
      <c r="A83" t="s">
        <v>87</v>
      </c>
      <c r="B83">
        <v>0.98018197421672304</v>
      </c>
      <c r="C83">
        <v>0.95777463203606705</v>
      </c>
      <c r="D83">
        <v>0.89606550679088104</v>
      </c>
      <c r="E83">
        <v>0.66727168072140497</v>
      </c>
      <c r="F83">
        <v>0.40341785250927198</v>
      </c>
      <c r="G83">
        <v>0.21251716389421199</v>
      </c>
      <c r="H83">
        <v>0.144051829708917</v>
      </c>
      <c r="I83">
        <v>0.13590968735287701</v>
      </c>
      <c r="J83">
        <v>0.173389961645531</v>
      </c>
      <c r="K83">
        <v>0.179063220896302</v>
      </c>
      <c r="L83">
        <v>1072.3327756629201</v>
      </c>
      <c r="M83">
        <v>21.078519762196901</v>
      </c>
      <c r="N83">
        <v>51.717100922745502</v>
      </c>
      <c r="O83">
        <v>50.422000700860899</v>
      </c>
      <c r="P83">
        <v>-8.9305061406577499E-2</v>
      </c>
      <c r="Q83">
        <v>0.145514808679364</v>
      </c>
      <c r="R83">
        <v>0.99622711629696703</v>
      </c>
      <c r="S83" t="s">
        <v>3712</v>
      </c>
      <c r="T83" t="s">
        <v>7256</v>
      </c>
      <c r="U83" t="s">
        <v>7256</v>
      </c>
      <c r="V83" t="s">
        <v>7256</v>
      </c>
      <c r="W83">
        <v>5</v>
      </c>
      <c r="X83" t="s">
        <v>7339</v>
      </c>
      <c r="Y83">
        <v>0.465956576585218</v>
      </c>
      <c r="Z83" t="str">
        <f>HYPERLINK("Melting_Curves/meltCurve_sp_O14896_IRF6_HUMAN_.pdf", "Melting_Curves/meltCurve_sp_O14896_IRF6_HUMAN_.pdf")</f>
        <v>Melting_Curves/meltCurve_sp_O14896_IRF6_HUMAN_.pdf</v>
      </c>
      <c r="AA83" t="s">
        <v>10963</v>
      </c>
      <c r="AB83" t="s">
        <v>14509</v>
      </c>
    </row>
    <row r="84" spans="1:28" x14ac:dyDescent="0.25">
      <c r="A84" t="s">
        <v>88</v>
      </c>
      <c r="B84">
        <v>0.98018197421672304</v>
      </c>
      <c r="C84">
        <v>0.87267646488138795</v>
      </c>
      <c r="D84">
        <v>0.84409171362242696</v>
      </c>
      <c r="E84">
        <v>0.57317282826068205</v>
      </c>
      <c r="F84">
        <v>0.413190691199259</v>
      </c>
      <c r="G84">
        <v>0.24754245252713999</v>
      </c>
      <c r="H84">
        <v>0.125413268686245</v>
      </c>
      <c r="I84">
        <v>0.14429831583248201</v>
      </c>
      <c r="J84">
        <v>0.154308618457174</v>
      </c>
      <c r="K84">
        <v>0.152208488382332</v>
      </c>
      <c r="L84">
        <v>724.17098942684402</v>
      </c>
      <c r="M84">
        <v>14.3968577586006</v>
      </c>
      <c r="N84">
        <v>51.192614741404597</v>
      </c>
      <c r="O84">
        <v>49.3600082673087</v>
      </c>
      <c r="P84">
        <v>-6.4836460970534401E-2</v>
      </c>
      <c r="Q84">
        <v>0.110931361893723</v>
      </c>
      <c r="R84">
        <v>0.99220889902972598</v>
      </c>
      <c r="S84" t="s">
        <v>3713</v>
      </c>
      <c r="T84" t="s">
        <v>7256</v>
      </c>
      <c r="U84" t="s">
        <v>7256</v>
      </c>
      <c r="V84" t="s">
        <v>7256</v>
      </c>
      <c r="W84">
        <v>1</v>
      </c>
      <c r="X84" t="s">
        <v>7340</v>
      </c>
      <c r="Y84">
        <v>0.43873029241369382</v>
      </c>
      <c r="Z84" t="str">
        <f>HYPERLINK("Melting_Curves/meltCurve_sp_O14907_TX1B3_HUMAN_.pdf", "Melting_Curves/meltCurve_sp_O14907_TX1B3_HUMAN_.pdf")</f>
        <v>Melting_Curves/meltCurve_sp_O14907_TX1B3_HUMAN_.pdf</v>
      </c>
      <c r="AA84" t="s">
        <v>10964</v>
      </c>
      <c r="AB84" t="s">
        <v>14510</v>
      </c>
    </row>
    <row r="85" spans="1:28" x14ac:dyDescent="0.25">
      <c r="A85" t="s">
        <v>89</v>
      </c>
      <c r="B85">
        <v>0.98018197421672304</v>
      </c>
      <c r="C85">
        <v>1.0073103028572901</v>
      </c>
      <c r="D85">
        <v>1.2561708226814201</v>
      </c>
      <c r="E85">
        <v>0.66528802220538896</v>
      </c>
      <c r="F85">
        <v>0.39979142443693599</v>
      </c>
      <c r="G85">
        <v>0.31403552181793598</v>
      </c>
      <c r="H85">
        <v>0.39073728911351402</v>
      </c>
      <c r="I85">
        <v>0.336411773063852</v>
      </c>
      <c r="J85">
        <v>0.60193142898233798</v>
      </c>
      <c r="K85">
        <v>0.599423512529073</v>
      </c>
      <c r="L85">
        <v>12480.1191477062</v>
      </c>
      <c r="M85">
        <v>250</v>
      </c>
      <c r="N85">
        <v>50.348805254071301</v>
      </c>
      <c r="O85">
        <v>49.917300636330097</v>
      </c>
      <c r="P85">
        <v>-0.70067359438860399</v>
      </c>
      <c r="Q85">
        <v>0.44038845689473699</v>
      </c>
      <c r="R85">
        <v>0.84384538840524004</v>
      </c>
      <c r="S85" t="s">
        <v>3714</v>
      </c>
      <c r="T85" t="s">
        <v>7256</v>
      </c>
      <c r="U85" t="s">
        <v>7256</v>
      </c>
      <c r="V85" t="s">
        <v>7256</v>
      </c>
      <c r="W85">
        <v>1</v>
      </c>
      <c r="X85" t="s">
        <v>7341</v>
      </c>
      <c r="Y85">
        <v>0.62549125804917449</v>
      </c>
      <c r="Z85" t="str">
        <f>HYPERLINK("Melting_Curves/meltCurve_sp_O14908_GIPC1_HUMAN_.pdf", "Melting_Curves/meltCurve_sp_O14908_GIPC1_HUMAN_.pdf")</f>
        <v>Melting_Curves/meltCurve_sp_O14908_GIPC1_HUMAN_.pdf</v>
      </c>
      <c r="AA85" t="s">
        <v>10965</v>
      </c>
      <c r="AB85" t="s">
        <v>14511</v>
      </c>
    </row>
    <row r="86" spans="1:28" x14ac:dyDescent="0.25">
      <c r="A86" t="s">
        <v>90</v>
      </c>
      <c r="B86">
        <v>0.98018197421672304</v>
      </c>
      <c r="C86">
        <v>0.85987989000700604</v>
      </c>
      <c r="D86">
        <v>0.72426549098978898</v>
      </c>
      <c r="E86">
        <v>0.551692808327649</v>
      </c>
      <c r="F86">
        <v>0.32208094658485498</v>
      </c>
      <c r="G86">
        <v>0.23245464791898099</v>
      </c>
      <c r="H86">
        <v>0.12907373154982499</v>
      </c>
      <c r="I86">
        <v>6.57360245300109E-2</v>
      </c>
      <c r="J86">
        <v>6.6681510854453896E-2</v>
      </c>
      <c r="K86">
        <v>4.2331127968367098E-2</v>
      </c>
      <c r="L86">
        <v>568.08510431787499</v>
      </c>
      <c r="M86">
        <v>11.302746252183701</v>
      </c>
      <c r="N86">
        <v>50.290755174013597</v>
      </c>
      <c r="O86">
        <v>48.764588835557198</v>
      </c>
      <c r="P86">
        <v>-5.7768629856758701E-2</v>
      </c>
      <c r="Q86">
        <v>3.3545285191621502E-3</v>
      </c>
      <c r="R86">
        <v>0.99547148325657397</v>
      </c>
      <c r="S86" t="s">
        <v>3715</v>
      </c>
      <c r="T86" t="s">
        <v>7256</v>
      </c>
      <c r="U86" t="s">
        <v>7256</v>
      </c>
      <c r="V86" t="s">
        <v>7256</v>
      </c>
      <c r="W86">
        <v>1</v>
      </c>
      <c r="X86" t="s">
        <v>7342</v>
      </c>
      <c r="Y86">
        <v>0.38139395332610992</v>
      </c>
      <c r="Z86" t="str">
        <f>HYPERLINK("Melting_Curves/meltCurve_sp_O14929_HAT1_HUMAN_.pdf", "Melting_Curves/meltCurve_sp_O14929_HAT1_HUMAN_.pdf")</f>
        <v>Melting_Curves/meltCurve_sp_O14929_HAT1_HUMAN_.pdf</v>
      </c>
      <c r="AA86" t="s">
        <v>10966</v>
      </c>
      <c r="AB86" t="s">
        <v>14512</v>
      </c>
    </row>
    <row r="87" spans="1:28" x14ac:dyDescent="0.25">
      <c r="A87" t="s">
        <v>91</v>
      </c>
      <c r="B87">
        <v>0.98018197421672304</v>
      </c>
      <c r="C87">
        <v>1.10050230426722</v>
      </c>
      <c r="D87">
        <v>0.93531822691212896</v>
      </c>
      <c r="E87">
        <v>0.72894437049295602</v>
      </c>
      <c r="F87">
        <v>0.46780401630684798</v>
      </c>
      <c r="G87">
        <v>0.241263505698772</v>
      </c>
      <c r="H87">
        <v>0.13887749563358601</v>
      </c>
      <c r="I87">
        <v>6.1286579942704797E-2</v>
      </c>
      <c r="J87">
        <v>9.8175898825349495E-2</v>
      </c>
      <c r="K87">
        <v>2.6489147247349399E-2</v>
      </c>
      <c r="L87">
        <v>996.424906048043</v>
      </c>
      <c r="M87">
        <v>18.988170136476501</v>
      </c>
      <c r="N87">
        <v>52.7898265711029</v>
      </c>
      <c r="O87">
        <v>51.904452155809302</v>
      </c>
      <c r="P87">
        <v>-8.6580860957711503E-2</v>
      </c>
      <c r="Q87">
        <v>5.3357422311802002E-2</v>
      </c>
      <c r="R87">
        <v>0.98944959423155499</v>
      </c>
      <c r="S87" t="s">
        <v>3716</v>
      </c>
      <c r="T87" t="s">
        <v>7256</v>
      </c>
      <c r="U87" t="s">
        <v>7256</v>
      </c>
      <c r="V87" t="s">
        <v>7256</v>
      </c>
      <c r="W87">
        <v>6</v>
      </c>
      <c r="X87" t="s">
        <v>7343</v>
      </c>
      <c r="Y87">
        <v>0.46133465433668291</v>
      </c>
      <c r="Z87" t="str">
        <f>HYPERLINK("Melting_Curves/meltCurve_sp_O14933_UB2L6_HUMAN_.pdf", "Melting_Curves/meltCurve_sp_O14933_UB2L6_HUMAN_.pdf")</f>
        <v>Melting_Curves/meltCurve_sp_O14933_UB2L6_HUMAN_.pdf</v>
      </c>
      <c r="AA87" t="s">
        <v>10967</v>
      </c>
      <c r="AB87" t="s">
        <v>14513</v>
      </c>
    </row>
    <row r="88" spans="1:28" x14ac:dyDescent="0.25">
      <c r="A88" t="s">
        <v>92</v>
      </c>
      <c r="B88">
        <v>0.98018197421672304</v>
      </c>
      <c r="C88">
        <v>0.869290208842465</v>
      </c>
      <c r="D88">
        <v>0.87003644453979401</v>
      </c>
      <c r="E88">
        <v>0.73060003513134497</v>
      </c>
      <c r="F88">
        <v>0.57051420635136796</v>
      </c>
      <c r="G88">
        <v>0.26894698642372</v>
      </c>
      <c r="H88">
        <v>0.133177230243478</v>
      </c>
      <c r="I88">
        <v>0.103662863861854</v>
      </c>
      <c r="J88">
        <v>0.14674093688494899</v>
      </c>
      <c r="K88">
        <v>0.111952283817237</v>
      </c>
      <c r="L88">
        <v>747.08886039983599</v>
      </c>
      <c r="M88">
        <v>14.1401224574344</v>
      </c>
      <c r="N88">
        <v>53.2967205670965</v>
      </c>
      <c r="O88">
        <v>51.811629472853497</v>
      </c>
      <c r="P88">
        <v>-6.4301009682947802E-2</v>
      </c>
      <c r="Q88">
        <v>5.7683948545492102E-2</v>
      </c>
      <c r="R88">
        <v>0.98277354930253802</v>
      </c>
      <c r="S88" t="s">
        <v>3717</v>
      </c>
      <c r="T88" t="s">
        <v>7256</v>
      </c>
      <c r="U88" t="s">
        <v>7256</v>
      </c>
      <c r="V88" t="s">
        <v>7256</v>
      </c>
      <c r="W88">
        <v>8</v>
      </c>
      <c r="X88" t="s">
        <v>7344</v>
      </c>
      <c r="Y88">
        <v>0.48297808326931019</v>
      </c>
      <c r="Z88" t="str">
        <f>HYPERLINK("Melting_Curves/meltCurve_sp_O14936_3_CSKP_HUMAN_.pdf", "Melting_Curves/meltCurve_sp_O14936_3_CSKP_HUMAN_.pdf")</f>
        <v>Melting_Curves/meltCurve_sp_O14936_3_CSKP_HUMAN_.pdf</v>
      </c>
      <c r="AA88" t="s">
        <v>10968</v>
      </c>
      <c r="AB88" t="s">
        <v>14514</v>
      </c>
    </row>
    <row r="89" spans="1:28" x14ac:dyDescent="0.25">
      <c r="A89" t="s">
        <v>93</v>
      </c>
      <c r="B89">
        <v>0.98018197421672304</v>
      </c>
      <c r="C89">
        <v>0.90739406402204004</v>
      </c>
      <c r="D89">
        <v>0.83966250125629305</v>
      </c>
      <c r="E89">
        <v>0.66598877188041605</v>
      </c>
      <c r="F89">
        <v>0.44004666349603699</v>
      </c>
      <c r="G89">
        <v>0.283605161245992</v>
      </c>
      <c r="H89">
        <v>0.20136654153761899</v>
      </c>
      <c r="I89">
        <v>0.155183047925564</v>
      </c>
      <c r="J89">
        <v>0.27316881035375401</v>
      </c>
      <c r="K89">
        <v>0.128794186678063</v>
      </c>
      <c r="L89">
        <v>738.23161802323204</v>
      </c>
      <c r="M89">
        <v>14.5196299917483</v>
      </c>
      <c r="N89">
        <v>52.129376447192499</v>
      </c>
      <c r="O89">
        <v>49.908443752731998</v>
      </c>
      <c r="P89">
        <v>-6.1792458734037402E-2</v>
      </c>
      <c r="Q89">
        <v>0.15049857935974001</v>
      </c>
      <c r="R89">
        <v>0.98369278025181095</v>
      </c>
      <c r="S89" t="s">
        <v>3718</v>
      </c>
      <c r="T89" t="s">
        <v>7256</v>
      </c>
      <c r="U89" t="s">
        <v>7256</v>
      </c>
      <c r="V89" t="s">
        <v>7256</v>
      </c>
      <c r="W89">
        <v>10</v>
      </c>
      <c r="X89" t="s">
        <v>7345</v>
      </c>
      <c r="Y89">
        <v>0.47837429808449378</v>
      </c>
      <c r="Z89" t="str">
        <f>HYPERLINK("Melting_Curves/meltCurve_sp_O14964_HGS_HUMAN_.pdf", "Melting_Curves/meltCurve_sp_O14964_HGS_HUMAN_.pdf")</f>
        <v>Melting_Curves/meltCurve_sp_O14964_HGS_HUMAN_.pdf</v>
      </c>
      <c r="AA89" t="s">
        <v>10969</v>
      </c>
      <c r="AB89" t="s">
        <v>14515</v>
      </c>
    </row>
    <row r="90" spans="1:28" x14ac:dyDescent="0.25">
      <c r="A90" t="s">
        <v>94</v>
      </c>
      <c r="B90">
        <v>0.98018197421672304</v>
      </c>
      <c r="C90">
        <v>0.95240088884089102</v>
      </c>
      <c r="D90">
        <v>0.84530966305583</v>
      </c>
      <c r="E90">
        <v>0.70834290539478295</v>
      </c>
      <c r="F90">
        <v>0.61826226509118498</v>
      </c>
      <c r="G90">
        <v>0.460359912192502</v>
      </c>
      <c r="H90">
        <v>0.48107373697470202</v>
      </c>
      <c r="I90">
        <v>0.51034461783296203</v>
      </c>
      <c r="J90">
        <v>0.712530266286591</v>
      </c>
      <c r="K90">
        <v>0.53073421639921703</v>
      </c>
      <c r="L90">
        <v>953.00722900717699</v>
      </c>
      <c r="M90">
        <v>19.891006923972199</v>
      </c>
      <c r="O90">
        <v>47.4350892526951</v>
      </c>
      <c r="P90">
        <v>-4.82181734781056E-2</v>
      </c>
      <c r="Q90">
        <v>0.54006204040717098</v>
      </c>
      <c r="R90">
        <v>0.86359963337688295</v>
      </c>
      <c r="S90" t="s">
        <v>3719</v>
      </c>
      <c r="T90" t="s">
        <v>7256</v>
      </c>
      <c r="U90" t="s">
        <v>7256</v>
      </c>
      <c r="V90" t="s">
        <v>7256</v>
      </c>
      <c r="W90">
        <v>10</v>
      </c>
      <c r="X90" t="s">
        <v>7346</v>
      </c>
      <c r="Y90">
        <v>0.66798007656585656</v>
      </c>
      <c r="Z90" t="str">
        <f>HYPERLINK("Melting_Curves/meltCurve_sp_O14974_MYPT1_HUMAN_.pdf", "Melting_Curves/meltCurve_sp_O14974_MYPT1_HUMAN_.pdf")</f>
        <v>Melting_Curves/meltCurve_sp_O14974_MYPT1_HUMAN_.pdf</v>
      </c>
      <c r="AA90" t="s">
        <v>10970</v>
      </c>
      <c r="AB90" t="s">
        <v>14516</v>
      </c>
    </row>
    <row r="91" spans="1:28" x14ac:dyDescent="0.25">
      <c r="A91" t="s">
        <v>95</v>
      </c>
      <c r="B91">
        <v>0.98018197421672304</v>
      </c>
      <c r="C91">
        <v>0.82051765490435902</v>
      </c>
      <c r="D91">
        <v>0.79174729302104796</v>
      </c>
      <c r="E91">
        <v>0.53169532407279596</v>
      </c>
      <c r="F91">
        <v>0.285054623539789</v>
      </c>
      <c r="G91">
        <v>0.17004342277715501</v>
      </c>
      <c r="H91">
        <v>0.103281714122705</v>
      </c>
      <c r="I91">
        <v>8.6776150750376396E-2</v>
      </c>
      <c r="J91">
        <v>0.121811803954056</v>
      </c>
      <c r="K91">
        <v>9.5674795756283904E-2</v>
      </c>
      <c r="L91">
        <v>713.83029669991197</v>
      </c>
      <c r="M91">
        <v>14.463801715330201</v>
      </c>
      <c r="N91">
        <v>49.855841951485303</v>
      </c>
      <c r="O91">
        <v>48.4382472783577</v>
      </c>
      <c r="P91">
        <v>-6.9591213218700307E-2</v>
      </c>
      <c r="Q91">
        <v>6.7884406725234103E-2</v>
      </c>
      <c r="R91">
        <v>0.987916992498445</v>
      </c>
      <c r="S91" t="s">
        <v>3720</v>
      </c>
      <c r="T91" t="s">
        <v>7256</v>
      </c>
      <c r="U91" t="s">
        <v>7256</v>
      </c>
      <c r="V91" t="s">
        <v>7256</v>
      </c>
      <c r="W91">
        <v>3</v>
      </c>
      <c r="X91" t="s">
        <v>7347</v>
      </c>
      <c r="Y91">
        <v>0.38276079124358531</v>
      </c>
      <c r="Z91" t="str">
        <f>HYPERLINK("Melting_Curves/meltCurve_sp_O14975_2_S27A2_HUMAN_.pdf", "Melting_Curves/meltCurve_sp_O14975_2_S27A2_HUMAN_.pdf")</f>
        <v>Melting_Curves/meltCurve_sp_O14975_2_S27A2_HUMAN_.pdf</v>
      </c>
      <c r="AA91" t="s">
        <v>10971</v>
      </c>
      <c r="AB91" t="s">
        <v>14517</v>
      </c>
    </row>
    <row r="92" spans="1:28" x14ac:dyDescent="0.25">
      <c r="A92" t="s">
        <v>96</v>
      </c>
      <c r="B92">
        <v>0.98018197421672304</v>
      </c>
      <c r="C92">
        <v>1.0517688660189499</v>
      </c>
      <c r="D92">
        <v>0.92151130871794795</v>
      </c>
      <c r="E92">
        <v>0.76693314047435801</v>
      </c>
      <c r="F92">
        <v>0.63189923358028899</v>
      </c>
      <c r="G92">
        <v>0.494611935082853</v>
      </c>
      <c r="H92">
        <v>0.42098873448781099</v>
      </c>
      <c r="I92">
        <v>0.48113597288728099</v>
      </c>
      <c r="J92">
        <v>0.48383030408341499</v>
      </c>
      <c r="K92">
        <v>0.569651006903933</v>
      </c>
      <c r="L92">
        <v>1198.4946321023899</v>
      </c>
      <c r="M92">
        <v>23.768189573428</v>
      </c>
      <c r="N92">
        <v>59.084518110790597</v>
      </c>
      <c r="O92">
        <v>50.0714406609493</v>
      </c>
      <c r="P92">
        <v>-6.1157794512041799E-2</v>
      </c>
      <c r="Q92">
        <v>0.48465433560545701</v>
      </c>
      <c r="R92">
        <v>0.96268899870931601</v>
      </c>
      <c r="S92" t="s">
        <v>3721</v>
      </c>
      <c r="T92" t="s">
        <v>7256</v>
      </c>
      <c r="U92" t="s">
        <v>7256</v>
      </c>
      <c r="V92" t="s">
        <v>7256</v>
      </c>
      <c r="W92">
        <v>4</v>
      </c>
      <c r="X92" t="s">
        <v>7348</v>
      </c>
      <c r="Y92">
        <v>0.66884016446622951</v>
      </c>
      <c r="Z92" t="str">
        <f>HYPERLINK("Melting_Curves/meltCurve_sp_O14979_3_HNRDL_HUMAN_.pdf", "Melting_Curves/meltCurve_sp_O14979_3_HNRDL_HUMAN_.pdf")</f>
        <v>Melting_Curves/meltCurve_sp_O14979_3_HNRDL_HUMAN_.pdf</v>
      </c>
      <c r="AA92" t="s">
        <v>10972</v>
      </c>
      <c r="AB92" t="s">
        <v>14518</v>
      </c>
    </row>
    <row r="93" spans="1:28" x14ac:dyDescent="0.25">
      <c r="A93" t="s">
        <v>97</v>
      </c>
      <c r="B93">
        <v>0.98018197421672304</v>
      </c>
      <c r="C93">
        <v>0.92817874242273901</v>
      </c>
      <c r="D93">
        <v>0.88058846383158096</v>
      </c>
      <c r="E93">
        <v>0.69645146956091797</v>
      </c>
      <c r="F93">
        <v>0.18730585878492501</v>
      </c>
      <c r="G93">
        <v>0.10728522577885601</v>
      </c>
      <c r="H93">
        <v>6.3891126371613899E-2</v>
      </c>
      <c r="I93">
        <v>4.38728251523086E-2</v>
      </c>
      <c r="J93">
        <v>5.54409033980265E-2</v>
      </c>
      <c r="K93">
        <v>3.7235861816435303E-2</v>
      </c>
      <c r="L93">
        <v>1953.6318097098499</v>
      </c>
      <c r="M93">
        <v>38.437045527241999</v>
      </c>
      <c r="N93">
        <v>50.980030437103302</v>
      </c>
      <c r="O93">
        <v>50.689813278484301</v>
      </c>
      <c r="P93">
        <v>-0.17922819636207599</v>
      </c>
      <c r="Q93">
        <v>5.4555887361167101E-2</v>
      </c>
      <c r="R93">
        <v>0.98752333775271395</v>
      </c>
      <c r="S93" t="s">
        <v>3722</v>
      </c>
      <c r="T93" t="s">
        <v>7256</v>
      </c>
      <c r="U93" t="s">
        <v>7256</v>
      </c>
      <c r="V93" t="s">
        <v>7256</v>
      </c>
      <c r="W93">
        <v>21</v>
      </c>
      <c r="X93" t="s">
        <v>7349</v>
      </c>
      <c r="Y93">
        <v>0.39935960348971811</v>
      </c>
      <c r="Z93" t="str">
        <f>HYPERLINK("Melting_Curves/meltCurve_sp_O14980_XPO1_HUMAN_.pdf", "Melting_Curves/meltCurve_sp_O14980_XPO1_HUMAN_.pdf")</f>
        <v>Melting_Curves/meltCurve_sp_O14980_XPO1_HUMAN_.pdf</v>
      </c>
      <c r="AA93" t="s">
        <v>10973</v>
      </c>
      <c r="AB93" t="s">
        <v>14519</v>
      </c>
    </row>
    <row r="94" spans="1:28" x14ac:dyDescent="0.25">
      <c r="A94" t="s">
        <v>98</v>
      </c>
      <c r="B94">
        <v>0.98018197421672304</v>
      </c>
      <c r="C94">
        <v>0.95318842071895304</v>
      </c>
      <c r="D94">
        <v>0.83843906885554198</v>
      </c>
      <c r="E94">
        <v>0.50295190167106996</v>
      </c>
      <c r="F94">
        <v>0.22243048784014999</v>
      </c>
      <c r="G94">
        <v>0.140566473543911</v>
      </c>
      <c r="H94">
        <v>9.2866965283651196E-2</v>
      </c>
      <c r="I94">
        <v>7.9596723970513497E-2</v>
      </c>
      <c r="J94">
        <v>0.10069070684456</v>
      </c>
      <c r="K94">
        <v>7.9080665626456104E-2</v>
      </c>
      <c r="L94">
        <v>1072.4433366025501</v>
      </c>
      <c r="M94">
        <v>21.7122145893739</v>
      </c>
      <c r="N94">
        <v>49.799605235924801</v>
      </c>
      <c r="O94">
        <v>48.980258433871597</v>
      </c>
      <c r="P94">
        <v>-0.101833197368827</v>
      </c>
      <c r="Q94">
        <v>8.1125350656744602E-2</v>
      </c>
      <c r="R94">
        <v>0.99827047684055203</v>
      </c>
      <c r="S94" t="s">
        <v>3723</v>
      </c>
      <c r="T94" t="s">
        <v>7256</v>
      </c>
      <c r="U94" t="s">
        <v>7256</v>
      </c>
      <c r="V94" t="s">
        <v>7256</v>
      </c>
      <c r="W94">
        <v>45</v>
      </c>
      <c r="X94" t="s">
        <v>7350</v>
      </c>
      <c r="Y94">
        <v>0.3797187281665898</v>
      </c>
      <c r="Z94" t="str">
        <f>HYPERLINK("Melting_Curves/meltCurve_sp_O15020_SPTN2_HUMAN_.pdf", "Melting_Curves/meltCurve_sp_O15020_SPTN2_HUMAN_.pdf")</f>
        <v>Melting_Curves/meltCurve_sp_O15020_SPTN2_HUMAN_.pdf</v>
      </c>
      <c r="AA94" t="s">
        <v>10974</v>
      </c>
      <c r="AB94" t="s">
        <v>14520</v>
      </c>
    </row>
    <row r="95" spans="1:28" x14ac:dyDescent="0.25">
      <c r="A95" t="s">
        <v>99</v>
      </c>
      <c r="B95">
        <v>0.98018197421672304</v>
      </c>
      <c r="C95">
        <v>0.95613382861487795</v>
      </c>
      <c r="D95">
        <v>0.86281260033308005</v>
      </c>
      <c r="E95">
        <v>0.72068634603293702</v>
      </c>
      <c r="F95">
        <v>0.71746408147610397</v>
      </c>
      <c r="G95">
        <v>0.56526575739945495</v>
      </c>
      <c r="H95">
        <v>0.50858101222253205</v>
      </c>
      <c r="I95">
        <v>0.539362425897707</v>
      </c>
      <c r="J95">
        <v>0.69246151839763104</v>
      </c>
      <c r="K95">
        <v>0.72171569851619999</v>
      </c>
      <c r="L95">
        <v>903.88293554799395</v>
      </c>
      <c r="M95">
        <v>18.967160272024898</v>
      </c>
      <c r="O95">
        <v>47.134905517950401</v>
      </c>
      <c r="P95">
        <v>-3.9256422204566099E-2</v>
      </c>
      <c r="Q95">
        <v>0.609794328616999</v>
      </c>
      <c r="R95">
        <v>0.82488015548819205</v>
      </c>
      <c r="S95" t="s">
        <v>3724</v>
      </c>
      <c r="T95" t="s">
        <v>7256</v>
      </c>
      <c r="U95" t="s">
        <v>7256</v>
      </c>
      <c r="V95" t="s">
        <v>7256</v>
      </c>
      <c r="W95">
        <v>4</v>
      </c>
      <c r="X95" t="s">
        <v>7351</v>
      </c>
      <c r="Y95">
        <v>0.71562776914861792</v>
      </c>
      <c r="Z95" t="str">
        <f>HYPERLINK("Melting_Curves/meltCurve_sp_O15021_2_MAST4_HUMAN_.pdf", "Melting_Curves/meltCurve_sp_O15021_2_MAST4_HUMAN_.pdf")</f>
        <v>Melting_Curves/meltCurve_sp_O15021_2_MAST4_HUMAN_.pdf</v>
      </c>
      <c r="AA95" t="s">
        <v>10975</v>
      </c>
      <c r="AB95" t="s">
        <v>14521</v>
      </c>
    </row>
    <row r="96" spans="1:28" x14ac:dyDescent="0.25">
      <c r="A96" t="s">
        <v>100</v>
      </c>
      <c r="B96">
        <v>0.98018197421672304</v>
      </c>
      <c r="C96">
        <v>0.94353286164158001</v>
      </c>
      <c r="D96">
        <v>0.870587120548172</v>
      </c>
      <c r="E96">
        <v>0.31600227305649897</v>
      </c>
      <c r="F96">
        <v>0.13300149019907501</v>
      </c>
      <c r="G96">
        <v>7.5696325680391405E-2</v>
      </c>
      <c r="H96">
        <v>5.1029830247956501E-2</v>
      </c>
      <c r="I96">
        <v>4.1459539259149698E-2</v>
      </c>
      <c r="J96">
        <v>3.6265216164540197E-2</v>
      </c>
      <c r="K96">
        <v>2.91329991677804E-2</v>
      </c>
      <c r="L96">
        <v>1465.06872499613</v>
      </c>
      <c r="M96">
        <v>30.153911208179501</v>
      </c>
      <c r="N96">
        <v>48.739571788616402</v>
      </c>
      <c r="O96">
        <v>48.374174546667</v>
      </c>
      <c r="P96">
        <v>-0.148791228263664</v>
      </c>
      <c r="Q96">
        <v>4.5217532722454101E-2</v>
      </c>
      <c r="R96">
        <v>0.99774150071432899</v>
      </c>
      <c r="S96" t="s">
        <v>3725</v>
      </c>
      <c r="T96" t="s">
        <v>7256</v>
      </c>
      <c r="U96" t="s">
        <v>7256</v>
      </c>
      <c r="V96" t="s">
        <v>7256</v>
      </c>
      <c r="W96">
        <v>15</v>
      </c>
      <c r="X96" t="s">
        <v>7352</v>
      </c>
      <c r="Y96">
        <v>0.32420992698362439</v>
      </c>
      <c r="Z96" t="str">
        <f>HYPERLINK("Melting_Curves/meltCurve_sp_O15067_PUR4_HUMAN_.pdf", "Melting_Curves/meltCurve_sp_O15067_PUR4_HUMAN_.pdf")</f>
        <v>Melting_Curves/meltCurve_sp_O15067_PUR4_HUMAN_.pdf</v>
      </c>
      <c r="AA96" t="s">
        <v>10976</v>
      </c>
      <c r="AB96" t="s">
        <v>14522</v>
      </c>
    </row>
    <row r="97" spans="1:28" x14ac:dyDescent="0.25">
      <c r="A97" t="s">
        <v>101</v>
      </c>
      <c r="B97">
        <v>0.98018197421672304</v>
      </c>
      <c r="C97">
        <v>0.93178633883106499</v>
      </c>
      <c r="D97">
        <v>0.83043534617762804</v>
      </c>
      <c r="E97">
        <v>0.58765396826062999</v>
      </c>
      <c r="F97">
        <v>0.296735383198868</v>
      </c>
      <c r="G97">
        <v>0.147399282744171</v>
      </c>
      <c r="H97">
        <v>0.10282332927466201</v>
      </c>
      <c r="I97">
        <v>7.9214969813808794E-2</v>
      </c>
      <c r="J97">
        <v>8.4063437500192101E-2</v>
      </c>
      <c r="K97">
        <v>5.3765827343221502E-2</v>
      </c>
      <c r="L97">
        <v>888.17714010866496</v>
      </c>
      <c r="M97">
        <v>17.677569349616402</v>
      </c>
      <c r="N97">
        <v>50.584608205841</v>
      </c>
      <c r="O97">
        <v>49.613447540362301</v>
      </c>
      <c r="P97">
        <v>-8.4071451392751295E-2</v>
      </c>
      <c r="Q97">
        <v>5.6238318904585402E-2</v>
      </c>
      <c r="R97">
        <v>0.99710771048602198</v>
      </c>
      <c r="S97" t="s">
        <v>3726</v>
      </c>
      <c r="T97" t="s">
        <v>7256</v>
      </c>
      <c r="U97" t="s">
        <v>7256</v>
      </c>
      <c r="V97" t="s">
        <v>7256</v>
      </c>
      <c r="W97">
        <v>4</v>
      </c>
      <c r="X97" t="s">
        <v>7353</v>
      </c>
      <c r="Y97">
        <v>0.39507192422026921</v>
      </c>
      <c r="Z97" t="str">
        <f>HYPERLINK("Melting_Curves/meltCurve_sp_O15084_ANR28_HUMAN_.pdf", "Melting_Curves/meltCurve_sp_O15084_ANR28_HUMAN_.pdf")</f>
        <v>Melting_Curves/meltCurve_sp_O15084_ANR28_HUMAN_.pdf</v>
      </c>
      <c r="AA97" t="s">
        <v>10977</v>
      </c>
      <c r="AB97" t="s">
        <v>14523</v>
      </c>
    </row>
    <row r="98" spans="1:28" x14ac:dyDescent="0.25">
      <c r="A98" t="s">
        <v>102</v>
      </c>
      <c r="B98">
        <v>0.98018197421672304</v>
      </c>
      <c r="C98">
        <v>0.95539530011820495</v>
      </c>
      <c r="D98">
        <v>0.89783288933906102</v>
      </c>
      <c r="E98">
        <v>0.81074661500830003</v>
      </c>
      <c r="F98">
        <v>0.68214862483939198</v>
      </c>
      <c r="G98">
        <v>0.39608709553280003</v>
      </c>
      <c r="H98">
        <v>0.11331338109893201</v>
      </c>
      <c r="I98">
        <v>8.3476962402370694E-2</v>
      </c>
      <c r="J98">
        <v>8.5348427068770605E-2</v>
      </c>
      <c r="K98">
        <v>7.8947144478956593E-2</v>
      </c>
      <c r="L98">
        <v>879.29770709718605</v>
      </c>
      <c r="M98">
        <v>16.0122947665357</v>
      </c>
      <c r="N98">
        <v>55.014509274941297</v>
      </c>
      <c r="O98">
        <v>54.078845556680299</v>
      </c>
      <c r="P98">
        <v>-7.2960762332873699E-2</v>
      </c>
      <c r="Q98">
        <v>1.44263667042435E-2</v>
      </c>
      <c r="R98">
        <v>0.98996786831454298</v>
      </c>
      <c r="S98" t="s">
        <v>3727</v>
      </c>
      <c r="T98" t="s">
        <v>7256</v>
      </c>
      <c r="U98" t="s">
        <v>7256</v>
      </c>
      <c r="V98" t="s">
        <v>7256</v>
      </c>
      <c r="W98">
        <v>14</v>
      </c>
      <c r="X98" t="s">
        <v>7354</v>
      </c>
      <c r="Y98">
        <v>0.5221427350404263</v>
      </c>
      <c r="Z98" t="str">
        <f>HYPERLINK("Melting_Curves/meltCurve_sp_O15143_ARC1B_HUMAN_.pdf", "Melting_Curves/meltCurve_sp_O15143_ARC1B_HUMAN_.pdf")</f>
        <v>Melting_Curves/meltCurve_sp_O15143_ARC1B_HUMAN_.pdf</v>
      </c>
      <c r="AA98" t="s">
        <v>10978</v>
      </c>
      <c r="AB98" t="s">
        <v>14524</v>
      </c>
    </row>
    <row r="99" spans="1:28" x14ac:dyDescent="0.25">
      <c r="A99" t="s">
        <v>103</v>
      </c>
      <c r="B99">
        <v>0.98018197421672304</v>
      </c>
      <c r="C99">
        <v>0.95162155321755104</v>
      </c>
      <c r="D99">
        <v>0.89529376487189705</v>
      </c>
      <c r="E99">
        <v>0.81978582687065205</v>
      </c>
      <c r="F99">
        <v>0.66294981392449104</v>
      </c>
      <c r="G99">
        <v>0.40421173074841898</v>
      </c>
      <c r="H99">
        <v>0.130979587114158</v>
      </c>
      <c r="I99">
        <v>6.6051165960874805E-2</v>
      </c>
      <c r="J99">
        <v>6.9283206460399302E-2</v>
      </c>
      <c r="K99">
        <v>5.6618624935597203E-2</v>
      </c>
      <c r="L99">
        <v>855.89947872950904</v>
      </c>
      <c r="M99">
        <v>15.5572216527612</v>
      </c>
      <c r="N99">
        <v>55.016207644655204</v>
      </c>
      <c r="O99">
        <v>54.131246049984597</v>
      </c>
      <c r="P99">
        <v>-7.1855849315779194E-2</v>
      </c>
      <c r="Q99">
        <v>0</v>
      </c>
      <c r="R99">
        <v>0.99235432667062196</v>
      </c>
      <c r="S99" t="s">
        <v>3728</v>
      </c>
      <c r="T99" t="s">
        <v>7256</v>
      </c>
      <c r="U99" t="s">
        <v>7256</v>
      </c>
      <c r="V99" t="s">
        <v>7256</v>
      </c>
      <c r="W99">
        <v>15</v>
      </c>
      <c r="X99" t="s">
        <v>7355</v>
      </c>
      <c r="Y99">
        <v>0.51905034619296031</v>
      </c>
      <c r="Z99" t="str">
        <f>HYPERLINK("Melting_Curves/meltCurve_sp_O15144_ARPC2_HUMAN_.pdf", "Melting_Curves/meltCurve_sp_O15144_ARPC2_HUMAN_.pdf")</f>
        <v>Melting_Curves/meltCurve_sp_O15144_ARPC2_HUMAN_.pdf</v>
      </c>
      <c r="AA99" t="s">
        <v>10979</v>
      </c>
      <c r="AB99" t="s">
        <v>14525</v>
      </c>
    </row>
    <row r="100" spans="1:28" x14ac:dyDescent="0.25">
      <c r="A100" t="s">
        <v>104</v>
      </c>
      <c r="B100">
        <v>0.98018197421672304</v>
      </c>
      <c r="C100">
        <v>0.98953415075611395</v>
      </c>
      <c r="D100">
        <v>0.91050826414600805</v>
      </c>
      <c r="E100">
        <v>0.90214277935883702</v>
      </c>
      <c r="F100">
        <v>0.93128947462382095</v>
      </c>
      <c r="G100">
        <v>0.75324797347382899</v>
      </c>
      <c r="H100">
        <v>0.33032613397815602</v>
      </c>
      <c r="I100">
        <v>0.18283829853907299</v>
      </c>
      <c r="J100">
        <v>0.110443051478762</v>
      </c>
      <c r="K100">
        <v>0.19227133539959801</v>
      </c>
      <c r="L100">
        <v>1777.4154817582801</v>
      </c>
      <c r="M100">
        <v>30.355496239117102</v>
      </c>
      <c r="N100">
        <v>59.164012689421199</v>
      </c>
      <c r="O100">
        <v>58.301004205816199</v>
      </c>
      <c r="P100">
        <v>-0.11266126259263801</v>
      </c>
      <c r="Q100">
        <v>0.134493329315517</v>
      </c>
      <c r="R100">
        <v>0.98159797059396503</v>
      </c>
      <c r="S100" t="s">
        <v>3729</v>
      </c>
      <c r="T100" t="s">
        <v>7256</v>
      </c>
      <c r="U100" t="s">
        <v>7256</v>
      </c>
      <c r="V100" t="s">
        <v>7256</v>
      </c>
      <c r="W100">
        <v>9</v>
      </c>
      <c r="X100" t="s">
        <v>7356</v>
      </c>
      <c r="Y100">
        <v>0.6752824781813519</v>
      </c>
      <c r="Z100" t="str">
        <f>HYPERLINK("Melting_Curves/meltCurve_sp_O15145_ARPC3_HUMAN_.pdf", "Melting_Curves/meltCurve_sp_O15145_ARPC3_HUMAN_.pdf")</f>
        <v>Melting_Curves/meltCurve_sp_O15145_ARPC3_HUMAN_.pdf</v>
      </c>
      <c r="AA100" t="s">
        <v>10980</v>
      </c>
      <c r="AB100" t="s">
        <v>14526</v>
      </c>
    </row>
    <row r="101" spans="1:28" x14ac:dyDescent="0.25">
      <c r="A101" t="s">
        <v>105</v>
      </c>
      <c r="B101">
        <v>0.98018197421672304</v>
      </c>
      <c r="C101">
        <v>0.96238445154003005</v>
      </c>
      <c r="D101">
        <v>0.85875982819074903</v>
      </c>
      <c r="E101">
        <v>0.71491239020368003</v>
      </c>
      <c r="F101">
        <v>0.59575487853297104</v>
      </c>
      <c r="G101">
        <v>0.40896684539851402</v>
      </c>
      <c r="H101">
        <v>0.31926597151993003</v>
      </c>
      <c r="I101">
        <v>0.23580512917376101</v>
      </c>
      <c r="J101">
        <v>0.216105332438355</v>
      </c>
      <c r="K101">
        <v>0.23852786072600199</v>
      </c>
      <c r="L101">
        <v>622.27665348681796</v>
      </c>
      <c r="M101">
        <v>11.770247052897099</v>
      </c>
      <c r="N101">
        <v>54.748183921975503</v>
      </c>
      <c r="O101">
        <v>51.411760545331099</v>
      </c>
      <c r="P101">
        <v>-4.7734727455964097E-2</v>
      </c>
      <c r="Q101">
        <v>0.16620647316144499</v>
      </c>
      <c r="R101">
        <v>0.99689589859324401</v>
      </c>
      <c r="S101" t="s">
        <v>3730</v>
      </c>
      <c r="T101" t="s">
        <v>7256</v>
      </c>
      <c r="U101" t="s">
        <v>7256</v>
      </c>
      <c r="V101" t="s">
        <v>7256</v>
      </c>
      <c r="W101">
        <v>5</v>
      </c>
      <c r="X101" t="s">
        <v>7357</v>
      </c>
      <c r="Y101">
        <v>0.54837551850526511</v>
      </c>
      <c r="Z101" t="str">
        <f>HYPERLINK("Melting_Curves/meltCurve_sp_O15212_PFD6_HUMAN_.pdf", "Melting_Curves/meltCurve_sp_O15212_PFD6_HUMAN_.pdf")</f>
        <v>Melting_Curves/meltCurve_sp_O15212_PFD6_HUMAN_.pdf</v>
      </c>
      <c r="AA101" t="s">
        <v>10981</v>
      </c>
      <c r="AB101" t="s">
        <v>14527</v>
      </c>
    </row>
    <row r="102" spans="1:28" x14ac:dyDescent="0.25">
      <c r="A102" t="s">
        <v>106</v>
      </c>
      <c r="B102">
        <v>0.98018197421672304</v>
      </c>
      <c r="C102">
        <v>1.0685439392860101</v>
      </c>
      <c r="D102">
        <v>0.750648760885259</v>
      </c>
      <c r="E102">
        <v>0.487542175702461</v>
      </c>
      <c r="F102">
        <v>0.411505128272382</v>
      </c>
      <c r="G102">
        <v>0.300698272667063</v>
      </c>
      <c r="H102">
        <v>0.20130944551677399</v>
      </c>
      <c r="I102">
        <v>0.226707273900984</v>
      </c>
      <c r="J102">
        <v>0.30763461489896099</v>
      </c>
      <c r="K102">
        <v>0.39506191448161798</v>
      </c>
      <c r="L102">
        <v>1115.03000222586</v>
      </c>
      <c r="M102">
        <v>23.272488055179501</v>
      </c>
      <c r="N102">
        <v>49.7649983223655</v>
      </c>
      <c r="O102">
        <v>47.562383609763003</v>
      </c>
      <c r="P102">
        <v>-8.6876772231483407E-2</v>
      </c>
      <c r="Q102">
        <v>0.289806482069556</v>
      </c>
      <c r="R102">
        <v>0.95109579347048601</v>
      </c>
      <c r="S102" t="s">
        <v>3731</v>
      </c>
      <c r="T102" t="s">
        <v>7256</v>
      </c>
      <c r="U102" t="s">
        <v>7256</v>
      </c>
      <c r="V102" t="s">
        <v>7256</v>
      </c>
      <c r="W102">
        <v>1</v>
      </c>
      <c r="X102" t="s">
        <v>7358</v>
      </c>
      <c r="Y102">
        <v>0.48442216082902489</v>
      </c>
      <c r="Z102" t="str">
        <f>HYPERLINK("Melting_Curves/meltCurve_sp_O15217_GSTA4_HUMAN_.pdf", "Melting_Curves/meltCurve_sp_O15217_GSTA4_HUMAN_.pdf")</f>
        <v>Melting_Curves/meltCurve_sp_O15217_GSTA4_HUMAN_.pdf</v>
      </c>
      <c r="AA102" t="s">
        <v>10982</v>
      </c>
      <c r="AB102" t="s">
        <v>14528</v>
      </c>
    </row>
    <row r="103" spans="1:28" x14ac:dyDescent="0.25">
      <c r="A103" t="s">
        <v>107</v>
      </c>
      <c r="B103">
        <v>0.98018197421672304</v>
      </c>
      <c r="C103">
        <v>0.91255172147907004</v>
      </c>
      <c r="D103">
        <v>0.90179521173971799</v>
      </c>
      <c r="E103">
        <v>0.65697624546255395</v>
      </c>
      <c r="F103">
        <v>0.117721509845731</v>
      </c>
      <c r="G103">
        <v>7.8081410584586203E-2</v>
      </c>
      <c r="H103">
        <v>5.7315034526172398E-2</v>
      </c>
      <c r="I103">
        <v>5.4384872895120298E-2</v>
      </c>
      <c r="J103">
        <v>7.0561858501487301E-2</v>
      </c>
      <c r="K103">
        <v>5.1808727785221803E-2</v>
      </c>
      <c r="L103">
        <v>2685.5063831717798</v>
      </c>
      <c r="M103">
        <v>53.182617679564999</v>
      </c>
      <c r="N103">
        <v>50.617489016754298</v>
      </c>
      <c r="O103">
        <v>50.4246972139726</v>
      </c>
      <c r="P103">
        <v>-0.24786774243372101</v>
      </c>
      <c r="Q103">
        <v>5.9944918017201601E-2</v>
      </c>
      <c r="R103">
        <v>0.988918752712037</v>
      </c>
      <c r="S103" t="s">
        <v>3732</v>
      </c>
      <c r="T103" t="s">
        <v>7256</v>
      </c>
      <c r="U103" t="s">
        <v>7256</v>
      </c>
      <c r="V103" t="s">
        <v>7256</v>
      </c>
      <c r="W103">
        <v>2</v>
      </c>
      <c r="X103" t="s">
        <v>7359</v>
      </c>
      <c r="Y103">
        <v>0.39068659300326319</v>
      </c>
      <c r="Z103" t="str">
        <f>HYPERLINK("Melting_Curves/meltCurve_sp_O15229_3_KMO_HUMAN_.pdf", "Melting_Curves/meltCurve_sp_O15229_3_KMO_HUMAN_.pdf")</f>
        <v>Melting_Curves/meltCurve_sp_O15229_3_KMO_HUMAN_.pdf</v>
      </c>
      <c r="AA103" t="s">
        <v>10983</v>
      </c>
      <c r="AB103" t="s">
        <v>14529</v>
      </c>
    </row>
    <row r="104" spans="1:28" x14ac:dyDescent="0.25">
      <c r="A104" t="s">
        <v>108</v>
      </c>
      <c r="B104">
        <v>0.98018197421672304</v>
      </c>
      <c r="C104">
        <v>0.958671121010224</v>
      </c>
      <c r="D104">
        <v>0.86971752426054205</v>
      </c>
      <c r="E104">
        <v>0.65815291283614696</v>
      </c>
      <c r="F104">
        <v>0.41024205805462399</v>
      </c>
      <c r="G104">
        <v>0.232540641731593</v>
      </c>
      <c r="H104">
        <v>0.147563332368321</v>
      </c>
      <c r="I104">
        <v>9.21261607454264E-2</v>
      </c>
      <c r="J104">
        <v>9.6432886894069397E-2</v>
      </c>
      <c r="K104">
        <v>5.5828362976362803E-2</v>
      </c>
      <c r="L104">
        <v>801.12193292272605</v>
      </c>
      <c r="M104">
        <v>15.5384889809644</v>
      </c>
      <c r="N104">
        <v>51.9543963711426</v>
      </c>
      <c r="O104">
        <v>50.725984207936797</v>
      </c>
      <c r="P104">
        <v>-7.2298684738417801E-2</v>
      </c>
      <c r="Q104">
        <v>5.59961044180253E-2</v>
      </c>
      <c r="R104">
        <v>0.99882915592115296</v>
      </c>
      <c r="S104" t="s">
        <v>3733</v>
      </c>
      <c r="T104" t="s">
        <v>7256</v>
      </c>
      <c r="U104" t="s">
        <v>7256</v>
      </c>
      <c r="V104" t="s">
        <v>7256</v>
      </c>
      <c r="W104">
        <v>14</v>
      </c>
      <c r="X104" t="s">
        <v>7360</v>
      </c>
      <c r="Y104">
        <v>0.43991264001189351</v>
      </c>
      <c r="Z104" t="str">
        <f>HYPERLINK("Melting_Curves/meltCurve_sp_O15254_ACOX3_HUMAN_.pdf", "Melting_Curves/meltCurve_sp_O15254_ACOX3_HUMAN_.pdf")</f>
        <v>Melting_Curves/meltCurve_sp_O15254_ACOX3_HUMAN_.pdf</v>
      </c>
      <c r="AA104" t="s">
        <v>10984</v>
      </c>
      <c r="AB104" t="s">
        <v>14530</v>
      </c>
    </row>
    <row r="105" spans="1:28" x14ac:dyDescent="0.25">
      <c r="A105" t="s">
        <v>109</v>
      </c>
      <c r="B105">
        <v>0.98018197421672304</v>
      </c>
      <c r="C105">
        <v>0.74750772107662899</v>
      </c>
      <c r="D105">
        <v>0.77906642820280603</v>
      </c>
      <c r="E105">
        <v>0.725890564581404</v>
      </c>
      <c r="F105">
        <v>0.50486166455138803</v>
      </c>
      <c r="G105">
        <v>0.18203467811044499</v>
      </c>
      <c r="H105">
        <v>0.102793164434641</v>
      </c>
      <c r="I105">
        <v>8.5931817017837295E-2</v>
      </c>
      <c r="J105">
        <v>8.7932143049671896E-2</v>
      </c>
      <c r="K105">
        <v>7.0645916541176898E-2</v>
      </c>
      <c r="L105">
        <v>588.91086456750202</v>
      </c>
      <c r="M105">
        <v>11.3301666677669</v>
      </c>
      <c r="N105">
        <v>51.977236287324203</v>
      </c>
      <c r="O105">
        <v>50.437028739735403</v>
      </c>
      <c r="P105">
        <v>-5.6176844015958197E-2</v>
      </c>
      <c r="Q105">
        <v>0</v>
      </c>
      <c r="R105">
        <v>0.94921669731772196</v>
      </c>
      <c r="S105" t="s">
        <v>3734</v>
      </c>
      <c r="T105" t="s">
        <v>7256</v>
      </c>
      <c r="U105" t="s">
        <v>7256</v>
      </c>
      <c r="V105" t="s">
        <v>7256</v>
      </c>
      <c r="W105">
        <v>5</v>
      </c>
      <c r="X105" t="s">
        <v>7361</v>
      </c>
      <c r="Y105">
        <v>0.43218295607281149</v>
      </c>
      <c r="Z105" t="str">
        <f>HYPERLINK("Melting_Curves/meltCurve_sp_O15294_3_OGT1_HUMAN_.pdf", "Melting_Curves/meltCurve_sp_O15294_3_OGT1_HUMAN_.pdf")</f>
        <v>Melting_Curves/meltCurve_sp_O15294_3_OGT1_HUMAN_.pdf</v>
      </c>
      <c r="AA105" t="s">
        <v>10985</v>
      </c>
      <c r="AB105" t="s">
        <v>14531</v>
      </c>
    </row>
    <row r="106" spans="1:28" x14ac:dyDescent="0.25">
      <c r="A106" t="s">
        <v>110</v>
      </c>
      <c r="B106">
        <v>0.98018197421672304</v>
      </c>
      <c r="C106">
        <v>0.92413613023334795</v>
      </c>
      <c r="D106">
        <v>0.899884866110643</v>
      </c>
      <c r="E106">
        <v>0.67244016771908099</v>
      </c>
      <c r="F106">
        <v>0.477689662937409</v>
      </c>
      <c r="G106">
        <v>0.19196883063055301</v>
      </c>
      <c r="H106">
        <v>6.8352376156073202E-2</v>
      </c>
      <c r="I106">
        <v>5.0363825856448302E-2</v>
      </c>
      <c r="J106">
        <v>5.1541332522142998E-2</v>
      </c>
      <c r="K106">
        <v>4.1954910512388602E-2</v>
      </c>
      <c r="L106">
        <v>847.46643480656599</v>
      </c>
      <c r="M106">
        <v>16.222142168293299</v>
      </c>
      <c r="N106">
        <v>52.296151102084998</v>
      </c>
      <c r="O106">
        <v>51.466818804724099</v>
      </c>
      <c r="P106">
        <v>-7.8140726569974797E-2</v>
      </c>
      <c r="Q106">
        <v>8.4279267683907699E-3</v>
      </c>
      <c r="R106">
        <v>0.996424302550318</v>
      </c>
      <c r="S106" t="s">
        <v>3735</v>
      </c>
      <c r="T106" t="s">
        <v>7256</v>
      </c>
      <c r="U106" t="s">
        <v>7256</v>
      </c>
      <c r="V106" t="s">
        <v>7256</v>
      </c>
      <c r="W106">
        <v>11</v>
      </c>
      <c r="X106" t="s">
        <v>7362</v>
      </c>
      <c r="Y106">
        <v>0.43251753299183482</v>
      </c>
      <c r="Z106" t="str">
        <f>HYPERLINK("Melting_Curves/meltCurve_sp_O15305_PMM2_HUMAN_.pdf", "Melting_Curves/meltCurve_sp_O15305_PMM2_HUMAN_.pdf")</f>
        <v>Melting_Curves/meltCurve_sp_O15305_PMM2_HUMAN_.pdf</v>
      </c>
      <c r="AA106" t="s">
        <v>10986</v>
      </c>
      <c r="AB106" t="s">
        <v>14532</v>
      </c>
    </row>
    <row r="107" spans="1:28" x14ac:dyDescent="0.25">
      <c r="A107" t="s">
        <v>111</v>
      </c>
      <c r="B107">
        <v>0.98018197421672304</v>
      </c>
      <c r="C107">
        <v>0.77081675184578602</v>
      </c>
      <c r="D107">
        <v>0.71880859020880905</v>
      </c>
      <c r="E107">
        <v>0.56815717559817103</v>
      </c>
      <c r="F107">
        <v>0.426924894891063</v>
      </c>
      <c r="G107">
        <v>0.30261146479445999</v>
      </c>
      <c r="H107">
        <v>0.27885350649375701</v>
      </c>
      <c r="I107">
        <v>0.28394810807783799</v>
      </c>
      <c r="J107">
        <v>0.30944471054299799</v>
      </c>
      <c r="K107">
        <v>0.253617687953471</v>
      </c>
      <c r="L107">
        <v>549.46447487393698</v>
      </c>
      <c r="M107">
        <v>11.4833981021445</v>
      </c>
      <c r="N107">
        <v>50.751946174204598</v>
      </c>
      <c r="O107">
        <v>46.466545079170302</v>
      </c>
      <c r="P107">
        <v>-4.6920474262344802E-2</v>
      </c>
      <c r="Q107">
        <v>0.24077896063388399</v>
      </c>
      <c r="R107">
        <v>0.97758673852479305</v>
      </c>
      <c r="S107" t="s">
        <v>3736</v>
      </c>
      <c r="T107" t="s">
        <v>7256</v>
      </c>
      <c r="U107" t="s">
        <v>7256</v>
      </c>
      <c r="V107" t="s">
        <v>7256</v>
      </c>
      <c r="W107">
        <v>11</v>
      </c>
      <c r="X107" t="s">
        <v>7363</v>
      </c>
      <c r="Y107">
        <v>0.47182415831180052</v>
      </c>
      <c r="Z107" t="str">
        <f>HYPERLINK("Melting_Curves/meltCurve_sp_O15355_PPM1G_HUMAN_.pdf", "Melting_Curves/meltCurve_sp_O15355_PPM1G_HUMAN_.pdf")</f>
        <v>Melting_Curves/meltCurve_sp_O15355_PPM1G_HUMAN_.pdf</v>
      </c>
      <c r="AA107" t="s">
        <v>10987</v>
      </c>
      <c r="AB107" t="s">
        <v>14533</v>
      </c>
    </row>
    <row r="108" spans="1:28" x14ac:dyDescent="0.25">
      <c r="A108" t="s">
        <v>112</v>
      </c>
      <c r="B108">
        <v>0.98018197421672304</v>
      </c>
      <c r="C108">
        <v>0.82425548166540197</v>
      </c>
      <c r="D108">
        <v>0.779778874424508</v>
      </c>
      <c r="E108">
        <v>0.76426829666642704</v>
      </c>
      <c r="F108">
        <v>0.45710774377466501</v>
      </c>
      <c r="G108">
        <v>0.191389710399022</v>
      </c>
      <c r="H108">
        <v>9.6433026562964805E-2</v>
      </c>
      <c r="I108">
        <v>7.4876540281411705E-2</v>
      </c>
      <c r="J108">
        <v>7.1320507065905897E-2</v>
      </c>
      <c r="K108">
        <v>8.6294906710393804E-2</v>
      </c>
      <c r="L108">
        <v>663.47060351911898</v>
      </c>
      <c r="M108">
        <v>12.709929609827601</v>
      </c>
      <c r="N108">
        <v>52.200944754387002</v>
      </c>
      <c r="O108">
        <v>50.959330540029498</v>
      </c>
      <c r="P108">
        <v>-6.2365325818847503E-2</v>
      </c>
      <c r="Q108">
        <v>0</v>
      </c>
      <c r="R108">
        <v>0.96522749716044098</v>
      </c>
      <c r="S108" t="s">
        <v>3737</v>
      </c>
      <c r="T108" t="s">
        <v>7256</v>
      </c>
      <c r="U108" t="s">
        <v>7256</v>
      </c>
      <c r="V108" t="s">
        <v>7256</v>
      </c>
      <c r="W108">
        <v>2</v>
      </c>
      <c r="X108" t="s">
        <v>7364</v>
      </c>
      <c r="Y108">
        <v>0.43473841953804793</v>
      </c>
      <c r="Z108" t="str">
        <f>HYPERLINK("Melting_Curves/meltCurve_sp_O15357_SHIP2_HUMAN_.pdf", "Melting_Curves/meltCurve_sp_O15357_SHIP2_HUMAN_.pdf")</f>
        <v>Melting_Curves/meltCurve_sp_O15357_SHIP2_HUMAN_.pdf</v>
      </c>
      <c r="AA108" t="s">
        <v>10988</v>
      </c>
      <c r="AB108" t="s">
        <v>14534</v>
      </c>
    </row>
    <row r="109" spans="1:28" x14ac:dyDescent="0.25">
      <c r="A109" t="s">
        <v>113</v>
      </c>
      <c r="B109">
        <v>0.98018197421672304</v>
      </c>
      <c r="C109">
        <v>0.88636145165274505</v>
      </c>
      <c r="D109">
        <v>0.83317790155012805</v>
      </c>
      <c r="E109">
        <v>0.57113390899324101</v>
      </c>
      <c r="F109">
        <v>0.319034764824906</v>
      </c>
      <c r="G109">
        <v>0.17587442832633099</v>
      </c>
      <c r="H109">
        <v>0.16709760634441401</v>
      </c>
      <c r="I109">
        <v>8.9289682557634101E-2</v>
      </c>
      <c r="J109">
        <v>0.11565012053248</v>
      </c>
      <c r="K109">
        <v>6.2923189224126999E-2</v>
      </c>
      <c r="L109">
        <v>784.98067542705701</v>
      </c>
      <c r="M109">
        <v>15.674861633358599</v>
      </c>
      <c r="N109">
        <v>50.601740202366202</v>
      </c>
      <c r="O109">
        <v>49.285113761796403</v>
      </c>
      <c r="P109">
        <v>-7.3573509079886995E-2</v>
      </c>
      <c r="Q109">
        <v>7.4755140889660204E-2</v>
      </c>
      <c r="R109">
        <v>0.993414354592005</v>
      </c>
      <c r="S109" t="s">
        <v>3738</v>
      </c>
      <c r="T109" t="s">
        <v>7256</v>
      </c>
      <c r="U109" t="s">
        <v>7256</v>
      </c>
      <c r="V109" t="s">
        <v>7256</v>
      </c>
      <c r="W109">
        <v>6</v>
      </c>
      <c r="X109" t="s">
        <v>7365</v>
      </c>
      <c r="Y109">
        <v>0.40595463589863368</v>
      </c>
      <c r="Z109" t="str">
        <f>HYPERLINK("Melting_Curves/meltCurve_sp_O15372_EIF3H_HUMAN_.pdf", "Melting_Curves/meltCurve_sp_O15372_EIF3H_HUMAN_.pdf")</f>
        <v>Melting_Curves/meltCurve_sp_O15372_EIF3H_HUMAN_.pdf</v>
      </c>
      <c r="AA109" t="s">
        <v>10989</v>
      </c>
      <c r="AB109" t="s">
        <v>14535</v>
      </c>
    </row>
    <row r="110" spans="1:28" x14ac:dyDescent="0.25">
      <c r="A110" t="s">
        <v>114</v>
      </c>
      <c r="B110">
        <v>0.98018197421672304</v>
      </c>
      <c r="C110">
        <v>0.94689558994763801</v>
      </c>
      <c r="D110">
        <v>0.84621680873500404</v>
      </c>
      <c r="E110">
        <v>0.72783071119439902</v>
      </c>
      <c r="F110">
        <v>0.53318385959033898</v>
      </c>
      <c r="G110">
        <v>0.32592494300510499</v>
      </c>
      <c r="H110">
        <v>0.19748403093658801</v>
      </c>
      <c r="I110">
        <v>0.102256514076359</v>
      </c>
      <c r="J110">
        <v>0.21725792651383399</v>
      </c>
      <c r="K110">
        <v>9.9813097968987394E-2</v>
      </c>
      <c r="L110">
        <v>693.88273653378099</v>
      </c>
      <c r="M110">
        <v>13.160339359530999</v>
      </c>
      <c r="N110">
        <v>53.443916453691102</v>
      </c>
      <c r="O110">
        <v>51.552461223772703</v>
      </c>
      <c r="P110">
        <v>-5.8654662115674903E-2</v>
      </c>
      <c r="Q110">
        <v>8.1092589394365103E-2</v>
      </c>
      <c r="R110">
        <v>0.98783401915081603</v>
      </c>
      <c r="S110" t="s">
        <v>3739</v>
      </c>
      <c r="T110" t="s">
        <v>7256</v>
      </c>
      <c r="U110" t="s">
        <v>7256</v>
      </c>
      <c r="V110" t="s">
        <v>7256</v>
      </c>
      <c r="W110">
        <v>3</v>
      </c>
      <c r="X110" t="s">
        <v>7366</v>
      </c>
      <c r="Y110">
        <v>0.4947429235883829</v>
      </c>
      <c r="Z110" t="str">
        <f>HYPERLINK("Melting_Curves/meltCurve_sp_O15379_HDAC3_HUMAN_.pdf", "Melting_Curves/meltCurve_sp_O15379_HDAC3_HUMAN_.pdf")</f>
        <v>Melting_Curves/meltCurve_sp_O15379_HDAC3_HUMAN_.pdf</v>
      </c>
      <c r="AA110" t="s">
        <v>10990</v>
      </c>
      <c r="AB110" t="s">
        <v>14536</v>
      </c>
    </row>
    <row r="111" spans="1:28" x14ac:dyDescent="0.25">
      <c r="A111" t="s">
        <v>115</v>
      </c>
      <c r="B111">
        <v>0.98018197421672304</v>
      </c>
      <c r="C111">
        <v>0.95360747041104599</v>
      </c>
      <c r="D111">
        <v>0.92854727371910395</v>
      </c>
      <c r="E111">
        <v>0.76451863950043397</v>
      </c>
      <c r="F111">
        <v>0.630078010595162</v>
      </c>
      <c r="G111">
        <v>0.45856783614820901</v>
      </c>
      <c r="H111">
        <v>0.27123478873822299</v>
      </c>
      <c r="I111">
        <v>0.202803543978888</v>
      </c>
      <c r="J111">
        <v>0.217030082357342</v>
      </c>
      <c r="K111">
        <v>0.10373864789642499</v>
      </c>
      <c r="L111">
        <v>621.51659107370801</v>
      </c>
      <c r="M111">
        <v>11.264699802171</v>
      </c>
      <c r="N111">
        <v>55.711328806892297</v>
      </c>
      <c r="O111">
        <v>53.520788308400398</v>
      </c>
      <c r="P111">
        <v>-4.9924274683109601E-2</v>
      </c>
      <c r="Q111">
        <v>5.1492073365101199E-2</v>
      </c>
      <c r="R111">
        <v>0.99528597139973896</v>
      </c>
      <c r="S111" t="s">
        <v>3740</v>
      </c>
      <c r="T111" t="s">
        <v>7256</v>
      </c>
      <c r="U111" t="s">
        <v>7256</v>
      </c>
      <c r="V111" t="s">
        <v>7256</v>
      </c>
      <c r="W111">
        <v>10</v>
      </c>
      <c r="X111" t="s">
        <v>7367</v>
      </c>
      <c r="Y111">
        <v>0.55383491390975459</v>
      </c>
      <c r="Z111" t="str">
        <f>HYPERLINK("Melting_Curves/meltCurve_sp_O15382_BCAT2_HUMAN_.pdf", "Melting_Curves/meltCurve_sp_O15382_BCAT2_HUMAN_.pdf")</f>
        <v>Melting_Curves/meltCurve_sp_O15382_BCAT2_HUMAN_.pdf</v>
      </c>
      <c r="AA111" t="s">
        <v>10991</v>
      </c>
      <c r="AB111" t="s">
        <v>14537</v>
      </c>
    </row>
    <row r="112" spans="1:28" x14ac:dyDescent="0.25">
      <c r="A112" t="s">
        <v>116</v>
      </c>
      <c r="B112">
        <v>0.98018197421672304</v>
      </c>
      <c r="C112">
        <v>0.87453287965069604</v>
      </c>
      <c r="D112">
        <v>0.75000334519728096</v>
      </c>
      <c r="E112">
        <v>0.45011015929937398</v>
      </c>
      <c r="F112">
        <v>0.24106771574518701</v>
      </c>
      <c r="G112">
        <v>0.121860802160234</v>
      </c>
      <c r="H112">
        <v>5.6551781389148598E-2</v>
      </c>
      <c r="I112">
        <v>5.23134600736525E-2</v>
      </c>
      <c r="J112">
        <v>4.8749700096565499E-2</v>
      </c>
      <c r="K112">
        <v>5.2160876383017203E-2</v>
      </c>
      <c r="L112">
        <v>769.20281272501904</v>
      </c>
      <c r="M112">
        <v>15.7140880630074</v>
      </c>
      <c r="N112">
        <v>49.140728981829596</v>
      </c>
      <c r="O112">
        <v>48.177721341217797</v>
      </c>
      <c r="P112">
        <v>-7.9135203111469002E-2</v>
      </c>
      <c r="Q112">
        <v>2.9601256178441199E-2</v>
      </c>
      <c r="R112">
        <v>0.99849427457369999</v>
      </c>
      <c r="S112" t="s">
        <v>3741</v>
      </c>
      <c r="T112" t="s">
        <v>7256</v>
      </c>
      <c r="U112" t="s">
        <v>7256</v>
      </c>
      <c r="V112" t="s">
        <v>7256</v>
      </c>
      <c r="W112">
        <v>5</v>
      </c>
      <c r="X112" t="s">
        <v>7368</v>
      </c>
      <c r="Y112">
        <v>0.34106183098389697</v>
      </c>
      <c r="Z112" t="str">
        <f>HYPERLINK("Melting_Curves/meltCurve_sp_O15397_IPO8_HUMAN_.pdf", "Melting_Curves/meltCurve_sp_O15397_IPO8_HUMAN_.pdf")</f>
        <v>Melting_Curves/meltCurve_sp_O15397_IPO8_HUMAN_.pdf</v>
      </c>
      <c r="AA112" t="s">
        <v>10992</v>
      </c>
      <c r="AB112" t="s">
        <v>14538</v>
      </c>
    </row>
    <row r="113" spans="1:28" x14ac:dyDescent="0.25">
      <c r="A113" t="s">
        <v>117</v>
      </c>
      <c r="B113">
        <v>0.98018197421672304</v>
      </c>
      <c r="C113">
        <v>0.94503089140112995</v>
      </c>
      <c r="D113">
        <v>0.86099968990623799</v>
      </c>
      <c r="E113">
        <v>0.82936850721320898</v>
      </c>
      <c r="F113">
        <v>0.76614998358666897</v>
      </c>
      <c r="G113">
        <v>0.629449580554583</v>
      </c>
      <c r="H113">
        <v>0.55390406552383797</v>
      </c>
      <c r="I113">
        <v>0.56520972981814399</v>
      </c>
      <c r="J113">
        <v>0.75233950168409203</v>
      </c>
      <c r="K113">
        <v>0.64650739358825204</v>
      </c>
      <c r="L113">
        <v>669.89650356625702</v>
      </c>
      <c r="M113">
        <v>13.579671809100599</v>
      </c>
      <c r="O113">
        <v>48.297933391974198</v>
      </c>
      <c r="P113">
        <v>-2.6924107535942699E-2</v>
      </c>
      <c r="Q113">
        <v>0.61702021250151695</v>
      </c>
      <c r="R113">
        <v>0.83154260905854605</v>
      </c>
      <c r="S113" t="s">
        <v>3742</v>
      </c>
      <c r="T113" t="s">
        <v>7256</v>
      </c>
      <c r="U113" t="s">
        <v>7256</v>
      </c>
      <c r="V113" t="s">
        <v>7256</v>
      </c>
      <c r="W113">
        <v>2</v>
      </c>
      <c r="X113" t="s">
        <v>7369</v>
      </c>
      <c r="Y113">
        <v>0.74731353478663087</v>
      </c>
      <c r="Z113" t="str">
        <f>HYPERLINK("Melting_Curves/meltCurve_sp_O15400_2_STX7_HUMAN_.pdf", "Melting_Curves/meltCurve_sp_O15400_2_STX7_HUMAN_.pdf")</f>
        <v>Melting_Curves/meltCurve_sp_O15400_2_STX7_HUMAN_.pdf</v>
      </c>
      <c r="AA113" t="s">
        <v>10993</v>
      </c>
      <c r="AB113" t="s">
        <v>14539</v>
      </c>
    </row>
    <row r="114" spans="1:28" x14ac:dyDescent="0.25">
      <c r="A114" t="s">
        <v>118</v>
      </c>
      <c r="B114">
        <v>0.98018197421672304</v>
      </c>
      <c r="C114">
        <v>0.95027275747497697</v>
      </c>
      <c r="D114">
        <v>0.93298871813649797</v>
      </c>
      <c r="E114">
        <v>0.79733164323169303</v>
      </c>
      <c r="F114">
        <v>0.67146010387387201</v>
      </c>
      <c r="G114">
        <v>0.46791917007380202</v>
      </c>
      <c r="H114">
        <v>0.410532188447299</v>
      </c>
      <c r="I114">
        <v>0.35025697635195702</v>
      </c>
      <c r="J114">
        <v>0.42101718062950799</v>
      </c>
      <c r="K114">
        <v>0.40133076068144402</v>
      </c>
      <c r="L114">
        <v>908.65566877388403</v>
      </c>
      <c r="M114">
        <v>17.416617050864399</v>
      </c>
      <c r="N114">
        <v>56.608077138303102</v>
      </c>
      <c r="O114">
        <v>51.498545632888202</v>
      </c>
      <c r="P114">
        <v>-5.3074513763673697E-2</v>
      </c>
      <c r="Q114">
        <v>0.37229906049621098</v>
      </c>
      <c r="R114">
        <v>0.98847927437340499</v>
      </c>
      <c r="S114" t="s">
        <v>3743</v>
      </c>
      <c r="T114" t="s">
        <v>7256</v>
      </c>
      <c r="U114" t="s">
        <v>7256</v>
      </c>
      <c r="V114" t="s">
        <v>7256</v>
      </c>
      <c r="W114">
        <v>3</v>
      </c>
      <c r="X114" t="s">
        <v>7370</v>
      </c>
      <c r="Y114">
        <v>0.6379840786376062</v>
      </c>
      <c r="Z114" t="str">
        <f>HYPERLINK("Melting_Curves/meltCurve_sp_O15488_4_GLYG2_HUMAN_.pdf", "Melting_Curves/meltCurve_sp_O15488_4_GLYG2_HUMAN_.pdf")</f>
        <v>Melting_Curves/meltCurve_sp_O15488_4_GLYG2_HUMAN_.pdf</v>
      </c>
      <c r="AA114" t="s">
        <v>10994</v>
      </c>
      <c r="AB114" t="s">
        <v>14540</v>
      </c>
    </row>
    <row r="115" spans="1:28" x14ac:dyDescent="0.25">
      <c r="A115" t="s">
        <v>119</v>
      </c>
      <c r="B115">
        <v>0.98018197421672304</v>
      </c>
      <c r="C115">
        <v>0.945726765749619</v>
      </c>
      <c r="D115">
        <v>0.94387934819020503</v>
      </c>
      <c r="E115">
        <v>0.82431772966392602</v>
      </c>
      <c r="F115">
        <v>0.55932889557914101</v>
      </c>
      <c r="G115">
        <v>0.30654442854650699</v>
      </c>
      <c r="H115">
        <v>0.320262955874071</v>
      </c>
      <c r="I115">
        <v>0.14539129988000299</v>
      </c>
      <c r="J115">
        <v>9.8368258009629006E-2</v>
      </c>
      <c r="K115">
        <v>7.4370520932985004E-2</v>
      </c>
      <c r="L115">
        <v>776.89124208317605</v>
      </c>
      <c r="M115">
        <v>14.3861708267094</v>
      </c>
      <c r="N115">
        <v>54.517880380492599</v>
      </c>
      <c r="O115">
        <v>52.991341544068902</v>
      </c>
      <c r="P115">
        <v>-6.3564075629121794E-2</v>
      </c>
      <c r="Q115">
        <v>6.3560424221803996E-2</v>
      </c>
      <c r="R115">
        <v>0.98387592006827196</v>
      </c>
      <c r="S115" t="s">
        <v>3744</v>
      </c>
      <c r="T115" t="s">
        <v>7256</v>
      </c>
      <c r="U115" t="s">
        <v>7256</v>
      </c>
      <c r="V115" t="s">
        <v>7256</v>
      </c>
      <c r="W115">
        <v>4</v>
      </c>
      <c r="X115" t="s">
        <v>7371</v>
      </c>
      <c r="Y115">
        <v>0.52085475427714534</v>
      </c>
      <c r="Z115" t="str">
        <f>HYPERLINK("Melting_Curves/meltCurve_sp_O15498_YKT6_HUMAN_.pdf", "Melting_Curves/meltCurve_sp_O15498_YKT6_HUMAN_.pdf")</f>
        <v>Melting_Curves/meltCurve_sp_O15498_YKT6_HUMAN_.pdf</v>
      </c>
      <c r="AA115" t="s">
        <v>10995</v>
      </c>
      <c r="AB115" t="s">
        <v>14541</v>
      </c>
    </row>
    <row r="116" spans="1:28" x14ac:dyDescent="0.25">
      <c r="A116" t="s">
        <v>120</v>
      </c>
      <c r="B116">
        <v>0.98018197421672304</v>
      </c>
      <c r="C116">
        <v>0.99170297648304295</v>
      </c>
      <c r="D116">
        <v>0.88890361404457097</v>
      </c>
      <c r="E116">
        <v>0.77731827991399105</v>
      </c>
      <c r="F116">
        <v>0.60384669174222905</v>
      </c>
      <c r="G116">
        <v>0.38603736444460901</v>
      </c>
      <c r="H116">
        <v>0.17389863487201099</v>
      </c>
      <c r="I116">
        <v>0.13239797410686099</v>
      </c>
      <c r="J116">
        <v>0.119549551973808</v>
      </c>
      <c r="K116">
        <v>0.110750059252388</v>
      </c>
      <c r="L116">
        <v>761.31303920427297</v>
      </c>
      <c r="M116">
        <v>14.070670044769701</v>
      </c>
      <c r="N116">
        <v>54.529411044217397</v>
      </c>
      <c r="O116">
        <v>53.048671672805398</v>
      </c>
      <c r="P116">
        <v>-6.28897776445035E-2</v>
      </c>
      <c r="Q116">
        <v>5.1705050054263998E-2</v>
      </c>
      <c r="R116">
        <v>0.99625006433223295</v>
      </c>
      <c r="S116" t="s">
        <v>3745</v>
      </c>
      <c r="T116" t="s">
        <v>7256</v>
      </c>
      <c r="U116" t="s">
        <v>7256</v>
      </c>
      <c r="V116" t="s">
        <v>7256</v>
      </c>
      <c r="W116">
        <v>5</v>
      </c>
      <c r="X116" t="s">
        <v>7372</v>
      </c>
      <c r="Y116">
        <v>0.5184607027392355</v>
      </c>
      <c r="Z116" t="str">
        <f>HYPERLINK("Melting_Curves/meltCurve_sp_O15511_ARPC5_HUMAN_.pdf", "Melting_Curves/meltCurve_sp_O15511_ARPC5_HUMAN_.pdf")</f>
        <v>Melting_Curves/meltCurve_sp_O15511_ARPC5_HUMAN_.pdf</v>
      </c>
      <c r="AA116" t="s">
        <v>10996</v>
      </c>
      <c r="AB116" t="s">
        <v>14542</v>
      </c>
    </row>
    <row r="117" spans="1:28" x14ac:dyDescent="0.25">
      <c r="A117" t="s">
        <v>121</v>
      </c>
      <c r="B117">
        <v>0.98018197421672304</v>
      </c>
      <c r="C117">
        <v>0.994551665217008</v>
      </c>
      <c r="D117">
        <v>0.89414102614878699</v>
      </c>
      <c r="E117">
        <v>0.76245490371620905</v>
      </c>
      <c r="F117">
        <v>0.70509990466031403</v>
      </c>
      <c r="G117">
        <v>0.45128632021285398</v>
      </c>
      <c r="H117">
        <v>0.48703771054528799</v>
      </c>
      <c r="I117">
        <v>0.501775233292726</v>
      </c>
      <c r="J117">
        <v>0.67003767586418705</v>
      </c>
      <c r="K117">
        <v>0.74758530691687097</v>
      </c>
      <c r="L117">
        <v>1137.20770298458</v>
      </c>
      <c r="M117">
        <v>23.132104725428</v>
      </c>
      <c r="O117">
        <v>48.798460669596999</v>
      </c>
      <c r="P117">
        <v>-4.9945259501035601E-2</v>
      </c>
      <c r="Q117">
        <v>0.57855849771332002</v>
      </c>
      <c r="R117">
        <v>0.77829484168629404</v>
      </c>
      <c r="S117" t="s">
        <v>3746</v>
      </c>
      <c r="T117" t="s">
        <v>7256</v>
      </c>
      <c r="U117" t="s">
        <v>7256</v>
      </c>
      <c r="V117" t="s">
        <v>7256</v>
      </c>
      <c r="W117">
        <v>2</v>
      </c>
      <c r="X117" t="s">
        <v>7373</v>
      </c>
      <c r="Y117">
        <v>0.71164284813390355</v>
      </c>
      <c r="Z117" t="str">
        <f>HYPERLINK("Melting_Curves/meltCurve_sp_O15541_R113A_HUMAN_.pdf", "Melting_Curves/meltCurve_sp_O15541_R113A_HUMAN_.pdf")</f>
        <v>Melting_Curves/meltCurve_sp_O15541_R113A_HUMAN_.pdf</v>
      </c>
      <c r="AA117" t="s">
        <v>10997</v>
      </c>
      <c r="AB117" t="s">
        <v>14543</v>
      </c>
    </row>
    <row r="118" spans="1:28" x14ac:dyDescent="0.25">
      <c r="A118" t="s">
        <v>122</v>
      </c>
      <c r="B118">
        <v>0.98018197421672304</v>
      </c>
      <c r="C118">
        <v>0.902868319555171</v>
      </c>
      <c r="D118">
        <v>0.83444218904494005</v>
      </c>
      <c r="E118">
        <v>0.53469822607239204</v>
      </c>
      <c r="F118">
        <v>0.22968633885373599</v>
      </c>
      <c r="G118">
        <v>0.111080527755264</v>
      </c>
      <c r="H118">
        <v>5.2320206274718298E-2</v>
      </c>
      <c r="I118">
        <v>4.0902551890123602E-2</v>
      </c>
      <c r="J118">
        <v>3.4903906092245203E-2</v>
      </c>
      <c r="K118">
        <v>3.2365558876678302E-2</v>
      </c>
      <c r="L118">
        <v>927.92078495395003</v>
      </c>
      <c r="M118">
        <v>18.605305212412201</v>
      </c>
      <c r="N118">
        <v>49.996913025849899</v>
      </c>
      <c r="O118">
        <v>49.308525065633198</v>
      </c>
      <c r="P118">
        <v>-9.2226137248039602E-2</v>
      </c>
      <c r="Q118">
        <v>2.2356592425139099E-2</v>
      </c>
      <c r="R118">
        <v>0.99614801669339803</v>
      </c>
      <c r="S118" t="s">
        <v>3747</v>
      </c>
      <c r="T118" t="s">
        <v>7256</v>
      </c>
      <c r="U118" t="s">
        <v>7256</v>
      </c>
      <c r="V118" t="s">
        <v>7256</v>
      </c>
      <c r="W118">
        <v>16</v>
      </c>
      <c r="X118" t="s">
        <v>7374</v>
      </c>
      <c r="Y118">
        <v>0.35980412186836619</v>
      </c>
      <c r="Z118" t="str">
        <f>HYPERLINK("Melting_Curves/meltCurve_sp_O43143_DHX15_HUMAN_.pdf", "Melting_Curves/meltCurve_sp_O43143_DHX15_HUMAN_.pdf")</f>
        <v>Melting_Curves/meltCurve_sp_O43143_DHX15_HUMAN_.pdf</v>
      </c>
      <c r="AA118" t="s">
        <v>10998</v>
      </c>
      <c r="AB118" t="s">
        <v>14544</v>
      </c>
    </row>
    <row r="119" spans="1:28" x14ac:dyDescent="0.25">
      <c r="A119" t="s">
        <v>123</v>
      </c>
      <c r="B119">
        <v>0.98018197421672304</v>
      </c>
      <c r="C119">
        <v>0.93392422239693496</v>
      </c>
      <c r="D119">
        <v>0.93198990032645002</v>
      </c>
      <c r="E119">
        <v>0.75976589887454504</v>
      </c>
      <c r="F119">
        <v>0.59264255584113901</v>
      </c>
      <c r="G119">
        <v>0.27742307321853199</v>
      </c>
      <c r="H119">
        <v>8.7875339895187102E-2</v>
      </c>
      <c r="I119">
        <v>7.5730477318194503E-2</v>
      </c>
      <c r="J119">
        <v>8.34462157014354E-2</v>
      </c>
      <c r="K119">
        <v>5.75485690341552E-2</v>
      </c>
      <c r="L119">
        <v>917.97631794232598</v>
      </c>
      <c r="M119">
        <v>17.144899449632799</v>
      </c>
      <c r="N119">
        <v>53.716306452547698</v>
      </c>
      <c r="O119">
        <v>52.829748320101899</v>
      </c>
      <c r="P119">
        <v>-7.8945271969264194E-2</v>
      </c>
      <c r="Q119">
        <v>2.7020343003119601E-2</v>
      </c>
      <c r="R119">
        <v>0.99455696453167797</v>
      </c>
      <c r="S119" t="s">
        <v>3748</v>
      </c>
      <c r="T119" t="s">
        <v>7256</v>
      </c>
      <c r="U119" t="s">
        <v>7256</v>
      </c>
      <c r="V119" t="s">
        <v>7256</v>
      </c>
      <c r="W119">
        <v>6</v>
      </c>
      <c r="X119" t="s">
        <v>7375</v>
      </c>
      <c r="Y119">
        <v>0.48318290951572368</v>
      </c>
      <c r="Z119" t="str">
        <f>HYPERLINK("Melting_Curves/meltCurve_sp_O43148_MCES_HUMAN_.pdf", "Melting_Curves/meltCurve_sp_O43148_MCES_HUMAN_.pdf")</f>
        <v>Melting_Curves/meltCurve_sp_O43148_MCES_HUMAN_.pdf</v>
      </c>
      <c r="AA119" t="s">
        <v>10999</v>
      </c>
      <c r="AB119" t="s">
        <v>14545</v>
      </c>
    </row>
    <row r="120" spans="1:28" x14ac:dyDescent="0.25">
      <c r="A120" t="s">
        <v>124</v>
      </c>
      <c r="B120">
        <v>0.98018197421672304</v>
      </c>
      <c r="C120">
        <v>0.81627036339570502</v>
      </c>
      <c r="D120">
        <v>0.82135201347831599</v>
      </c>
      <c r="E120">
        <v>0.66846387696376797</v>
      </c>
      <c r="F120">
        <v>0.41534957915896398</v>
      </c>
      <c r="G120">
        <v>0.23107558520690899</v>
      </c>
      <c r="H120">
        <v>0.134484908291059</v>
      </c>
      <c r="I120">
        <v>0.110026507741458</v>
      </c>
      <c r="J120">
        <v>0.14668576239817499</v>
      </c>
      <c r="K120">
        <v>0.103181558956126</v>
      </c>
      <c r="L120">
        <v>631.51314234772599</v>
      </c>
      <c r="M120">
        <v>12.3340054160308</v>
      </c>
      <c r="N120">
        <v>51.680442550939397</v>
      </c>
      <c r="O120">
        <v>49.910886183397899</v>
      </c>
      <c r="P120">
        <v>-5.8452837489616598E-2</v>
      </c>
      <c r="Q120">
        <v>5.4062114156435803E-2</v>
      </c>
      <c r="R120">
        <v>0.98040302934432899</v>
      </c>
      <c r="S120" t="s">
        <v>3749</v>
      </c>
      <c r="T120" t="s">
        <v>7256</v>
      </c>
      <c r="U120" t="s">
        <v>7256</v>
      </c>
      <c r="V120" t="s">
        <v>7256</v>
      </c>
      <c r="W120">
        <v>2</v>
      </c>
      <c r="X120" t="s">
        <v>7376</v>
      </c>
      <c r="Y120">
        <v>0.43655353852252687</v>
      </c>
      <c r="Z120" t="str">
        <f>HYPERLINK("Melting_Curves/meltCurve_sp_O43149_ZZEF1_HUMAN_.pdf", "Melting_Curves/meltCurve_sp_O43149_ZZEF1_HUMAN_.pdf")</f>
        <v>Melting_Curves/meltCurve_sp_O43149_ZZEF1_HUMAN_.pdf</v>
      </c>
      <c r="AA120" t="s">
        <v>11000</v>
      </c>
      <c r="AB120" t="s">
        <v>14546</v>
      </c>
    </row>
    <row r="121" spans="1:28" x14ac:dyDescent="0.25">
      <c r="A121" t="s">
        <v>125</v>
      </c>
      <c r="B121">
        <v>0.98018197421672304</v>
      </c>
      <c r="C121">
        <v>0.83371441645070798</v>
      </c>
      <c r="D121">
        <v>0.75848523921782796</v>
      </c>
      <c r="E121">
        <v>0.58791298231441802</v>
      </c>
      <c r="F121">
        <v>0.43235493483731002</v>
      </c>
      <c r="G121">
        <v>0.20053731210679701</v>
      </c>
      <c r="H121">
        <v>0.14153954630919499</v>
      </c>
      <c r="I121">
        <v>0.102214808418744</v>
      </c>
      <c r="J121">
        <v>3.0182702673319399E-2</v>
      </c>
      <c r="K121">
        <v>2.74900769057306E-2</v>
      </c>
      <c r="L121">
        <v>570.59619603430895</v>
      </c>
      <c r="M121">
        <v>11.1799479749911</v>
      </c>
      <c r="N121">
        <v>51.037464365009797</v>
      </c>
      <c r="O121">
        <v>49.486250922591097</v>
      </c>
      <c r="P121">
        <v>-5.6497980344338998E-2</v>
      </c>
      <c r="Q121">
        <v>0</v>
      </c>
      <c r="R121">
        <v>0.99194099520880896</v>
      </c>
      <c r="S121" t="s">
        <v>3750</v>
      </c>
      <c r="T121" t="s">
        <v>7256</v>
      </c>
      <c r="U121" t="s">
        <v>7256</v>
      </c>
      <c r="V121" t="s">
        <v>7256</v>
      </c>
      <c r="W121">
        <v>2</v>
      </c>
      <c r="X121" t="s">
        <v>7377</v>
      </c>
      <c r="Y121">
        <v>0.40381510068816517</v>
      </c>
      <c r="Z121" t="str">
        <f>HYPERLINK("Melting_Curves/meltCurve_sp_O43172_2_PRP4_HUMAN_.pdf", "Melting_Curves/meltCurve_sp_O43172_2_PRP4_HUMAN_.pdf")</f>
        <v>Melting_Curves/meltCurve_sp_O43172_2_PRP4_HUMAN_.pdf</v>
      </c>
      <c r="AA121" t="s">
        <v>11001</v>
      </c>
      <c r="AB121" t="s">
        <v>14547</v>
      </c>
    </row>
    <row r="122" spans="1:28" x14ac:dyDescent="0.25">
      <c r="A122" t="s">
        <v>126</v>
      </c>
      <c r="B122">
        <v>0.98018197421672304</v>
      </c>
      <c r="C122">
        <v>0.91727258484183904</v>
      </c>
      <c r="D122">
        <v>0.87076807065740802</v>
      </c>
      <c r="E122">
        <v>0.66326181088472103</v>
      </c>
      <c r="F122">
        <v>0.42865633186542101</v>
      </c>
      <c r="G122">
        <v>0.197509183001571</v>
      </c>
      <c r="H122">
        <v>5.2417149809752497E-2</v>
      </c>
      <c r="I122">
        <v>3.4657866009783697E-2</v>
      </c>
      <c r="J122">
        <v>3.7346237166199302E-2</v>
      </c>
      <c r="K122">
        <v>3.8291155536693801E-2</v>
      </c>
      <c r="L122">
        <v>814.36026167283001</v>
      </c>
      <c r="M122">
        <v>15.6861415251189</v>
      </c>
      <c r="N122">
        <v>51.915882731088999</v>
      </c>
      <c r="O122">
        <v>51.094111827474201</v>
      </c>
      <c r="P122">
        <v>-7.6757727844031301E-2</v>
      </c>
      <c r="Q122">
        <v>0</v>
      </c>
      <c r="R122">
        <v>0.99665023759428595</v>
      </c>
      <c r="S122" t="s">
        <v>3751</v>
      </c>
      <c r="T122" t="s">
        <v>7256</v>
      </c>
      <c r="U122" t="s">
        <v>7256</v>
      </c>
      <c r="V122" t="s">
        <v>7256</v>
      </c>
      <c r="W122">
        <v>25</v>
      </c>
      <c r="X122" t="s">
        <v>7378</v>
      </c>
      <c r="Y122">
        <v>0.41810577674542643</v>
      </c>
      <c r="Z122" t="str">
        <f>HYPERLINK("Melting_Curves/meltCurve_sp_O43175_SERA_HUMAN_.pdf", "Melting_Curves/meltCurve_sp_O43175_SERA_HUMAN_.pdf")</f>
        <v>Melting_Curves/meltCurve_sp_O43175_SERA_HUMAN_.pdf</v>
      </c>
      <c r="AA122" t="s">
        <v>11002</v>
      </c>
      <c r="AB122" t="s">
        <v>14548</v>
      </c>
    </row>
    <row r="123" spans="1:28" x14ac:dyDescent="0.25">
      <c r="A123" t="s">
        <v>127</v>
      </c>
      <c r="B123">
        <v>0.98018197421672304</v>
      </c>
      <c r="C123">
        <v>0.97499707175658701</v>
      </c>
      <c r="D123">
        <v>0.92715449922769699</v>
      </c>
      <c r="E123">
        <v>0.76810753917608299</v>
      </c>
      <c r="F123">
        <v>0.52033362870182098</v>
      </c>
      <c r="G123">
        <v>0.22014682064319299</v>
      </c>
      <c r="H123">
        <v>7.1410968746817197E-2</v>
      </c>
      <c r="I123">
        <v>4.27981490202878E-2</v>
      </c>
      <c r="J123">
        <v>4.4899501778390499E-2</v>
      </c>
      <c r="K123">
        <v>3.60250602038776E-2</v>
      </c>
      <c r="L123">
        <v>1011.01690652055</v>
      </c>
      <c r="M123">
        <v>19.060671318967</v>
      </c>
      <c r="N123">
        <v>53.125985052692897</v>
      </c>
      <c r="O123">
        <v>52.468547493287502</v>
      </c>
      <c r="P123">
        <v>-8.9475793424904998E-2</v>
      </c>
      <c r="Q123">
        <v>1.48342529989173E-2</v>
      </c>
      <c r="R123">
        <v>0.99884946628224602</v>
      </c>
      <c r="S123" t="s">
        <v>3752</v>
      </c>
      <c r="T123" t="s">
        <v>7256</v>
      </c>
      <c r="U123" t="s">
        <v>7256</v>
      </c>
      <c r="V123" t="s">
        <v>7256</v>
      </c>
      <c r="W123">
        <v>5</v>
      </c>
      <c r="X123" t="s">
        <v>7379</v>
      </c>
      <c r="Y123">
        <v>0.45780472016970208</v>
      </c>
      <c r="Z123" t="str">
        <f>HYPERLINK("Melting_Curves/meltCurve_sp_O43236_5_SEPT4_HUMAN_.pdf", "Melting_Curves/meltCurve_sp_O43236_5_SEPT4_HUMAN_.pdf")</f>
        <v>Melting_Curves/meltCurve_sp_O43236_5_SEPT4_HUMAN_.pdf</v>
      </c>
      <c r="AA123" t="s">
        <v>11003</v>
      </c>
      <c r="AB123" t="s">
        <v>14549</v>
      </c>
    </row>
    <row r="124" spans="1:28" x14ac:dyDescent="0.25">
      <c r="A124" t="s">
        <v>128</v>
      </c>
      <c r="B124">
        <v>0.98018197421672304</v>
      </c>
      <c r="C124">
        <v>1.03358001045851</v>
      </c>
      <c r="D124">
        <v>0.82852320411763203</v>
      </c>
      <c r="E124">
        <v>0.50770217437701304</v>
      </c>
      <c r="F124">
        <v>0.234942807342543</v>
      </c>
      <c r="G124">
        <v>0.12881489926255499</v>
      </c>
      <c r="H124">
        <v>8.5750392423970895E-2</v>
      </c>
      <c r="I124">
        <v>7.0938224888625501E-2</v>
      </c>
      <c r="J124">
        <v>0.12752127272730199</v>
      </c>
      <c r="K124">
        <v>0.10024563750514</v>
      </c>
      <c r="L124">
        <v>1151.85686764251</v>
      </c>
      <c r="M124">
        <v>23.296780757013799</v>
      </c>
      <c r="N124">
        <v>49.870539126458198</v>
      </c>
      <c r="O124">
        <v>49.082777272837802</v>
      </c>
      <c r="P124">
        <v>-0.107915685745996</v>
      </c>
      <c r="Q124">
        <v>9.0568534728436303E-2</v>
      </c>
      <c r="R124">
        <v>0.99446214459304305</v>
      </c>
      <c r="S124" t="s">
        <v>3753</v>
      </c>
      <c r="T124" t="s">
        <v>7256</v>
      </c>
      <c r="U124" t="s">
        <v>7256</v>
      </c>
      <c r="V124" t="s">
        <v>7256</v>
      </c>
      <c r="W124">
        <v>6</v>
      </c>
      <c r="X124" t="s">
        <v>7380</v>
      </c>
      <c r="Y124">
        <v>0.38615354333442881</v>
      </c>
      <c r="Z124" t="str">
        <f>HYPERLINK("Melting_Curves/meltCurve_sp_O43237_DC1L2_HUMAN_.pdf", "Melting_Curves/meltCurve_sp_O43237_DC1L2_HUMAN_.pdf")</f>
        <v>Melting_Curves/meltCurve_sp_O43237_DC1L2_HUMAN_.pdf</v>
      </c>
      <c r="AA124" t="s">
        <v>11004</v>
      </c>
      <c r="AB124" t="s">
        <v>14550</v>
      </c>
    </row>
    <row r="125" spans="1:28" x14ac:dyDescent="0.25">
      <c r="A125" t="s">
        <v>129</v>
      </c>
      <c r="B125">
        <v>0.98018197421672304</v>
      </c>
      <c r="C125">
        <v>0.90500346114237695</v>
      </c>
      <c r="D125">
        <v>0.709469237230962</v>
      </c>
      <c r="E125">
        <v>0.43368899459823401</v>
      </c>
      <c r="F125">
        <v>0.220867803611179</v>
      </c>
      <c r="G125">
        <v>0.11930311324829899</v>
      </c>
      <c r="H125">
        <v>7.2448982320921798E-2</v>
      </c>
      <c r="I125">
        <v>5.2345650185504598E-2</v>
      </c>
      <c r="J125">
        <v>6.3575661447461296E-2</v>
      </c>
      <c r="K125">
        <v>5.63057135013297E-2</v>
      </c>
      <c r="L125">
        <v>796.66591695737304</v>
      </c>
      <c r="M125">
        <v>16.4079257906781</v>
      </c>
      <c r="N125">
        <v>48.8251722127821</v>
      </c>
      <c r="O125">
        <v>47.8496873956474</v>
      </c>
      <c r="P125">
        <v>-8.1995220067884303E-2</v>
      </c>
      <c r="Q125">
        <v>4.3592059346628603E-2</v>
      </c>
      <c r="R125">
        <v>0.99890860005561899</v>
      </c>
      <c r="S125" t="s">
        <v>3754</v>
      </c>
      <c r="T125" t="s">
        <v>7256</v>
      </c>
      <c r="U125" t="s">
        <v>7256</v>
      </c>
      <c r="V125" t="s">
        <v>7256</v>
      </c>
      <c r="W125">
        <v>16</v>
      </c>
      <c r="X125" t="s">
        <v>7381</v>
      </c>
      <c r="Y125">
        <v>0.33643616338959598</v>
      </c>
      <c r="Z125" t="str">
        <f>HYPERLINK("Melting_Curves/meltCurve_sp_O43242_PSMD3_HUMAN_.pdf", "Melting_Curves/meltCurve_sp_O43242_PSMD3_HUMAN_.pdf")</f>
        <v>Melting_Curves/meltCurve_sp_O43242_PSMD3_HUMAN_.pdf</v>
      </c>
      <c r="AA125" t="s">
        <v>11005</v>
      </c>
      <c r="AB125" t="s">
        <v>14551</v>
      </c>
    </row>
    <row r="126" spans="1:28" x14ac:dyDescent="0.25">
      <c r="A126" t="s">
        <v>130</v>
      </c>
      <c r="B126">
        <v>0.98018197421672304</v>
      </c>
      <c r="C126">
        <v>0.92065761236918298</v>
      </c>
      <c r="D126">
        <v>0.80987055721886503</v>
      </c>
      <c r="E126">
        <v>0.493210533042171</v>
      </c>
      <c r="F126">
        <v>0.179655163626012</v>
      </c>
      <c r="G126">
        <v>9.8385576395949595E-2</v>
      </c>
      <c r="H126">
        <v>5.9994791596111E-2</v>
      </c>
      <c r="I126">
        <v>5.2065815754545899E-2</v>
      </c>
      <c r="J126">
        <v>5.4480478543293798E-2</v>
      </c>
      <c r="K126">
        <v>5.09963869333728E-2</v>
      </c>
      <c r="L126">
        <v>1004.66276958477</v>
      </c>
      <c r="M126">
        <v>20.385171852971499</v>
      </c>
      <c r="N126">
        <v>49.494209549990501</v>
      </c>
      <c r="O126">
        <v>48.8170788746827</v>
      </c>
      <c r="P126">
        <v>-0.10006955546228</v>
      </c>
      <c r="Q126">
        <v>4.1468777545184299E-2</v>
      </c>
      <c r="R126">
        <v>0.99601137008557195</v>
      </c>
      <c r="S126" t="s">
        <v>3755</v>
      </c>
      <c r="T126" t="s">
        <v>7256</v>
      </c>
      <c r="U126" t="s">
        <v>7256</v>
      </c>
      <c r="V126" t="s">
        <v>7256</v>
      </c>
      <c r="W126">
        <v>6</v>
      </c>
      <c r="X126" t="s">
        <v>7382</v>
      </c>
      <c r="Y126">
        <v>0.35099315806692449</v>
      </c>
      <c r="Z126" t="str">
        <f>HYPERLINK("Melting_Curves/meltCurve_sp_O43252_PAPS1_HUMAN_.pdf", "Melting_Curves/meltCurve_sp_O43252_PAPS1_HUMAN_.pdf")</f>
        <v>Melting_Curves/meltCurve_sp_O43252_PAPS1_HUMAN_.pdf</v>
      </c>
      <c r="AA126" t="s">
        <v>11006</v>
      </c>
      <c r="AB126" t="s">
        <v>14552</v>
      </c>
    </row>
    <row r="127" spans="1:28" x14ac:dyDescent="0.25">
      <c r="A127" t="s">
        <v>131</v>
      </c>
      <c r="B127">
        <v>0.98018197421672304</v>
      </c>
      <c r="C127">
        <v>0.92174811803295298</v>
      </c>
      <c r="D127">
        <v>0.92194586722580696</v>
      </c>
      <c r="E127">
        <v>0.78363938743765205</v>
      </c>
      <c r="F127">
        <v>0.51458771256289604</v>
      </c>
      <c r="G127">
        <v>0.37375350200783503</v>
      </c>
      <c r="H127">
        <v>0.390642069454395</v>
      </c>
      <c r="I127">
        <v>0.35220447046255499</v>
      </c>
      <c r="J127">
        <v>0.34905651943369698</v>
      </c>
      <c r="K127">
        <v>0.42696548005146501</v>
      </c>
      <c r="L127">
        <v>1395.10424311119</v>
      </c>
      <c r="M127">
        <v>27.432197616307199</v>
      </c>
      <c r="N127">
        <v>53.486209912611002</v>
      </c>
      <c r="O127">
        <v>50.588498667203503</v>
      </c>
      <c r="P127">
        <v>-8.5377315913465701E-2</v>
      </c>
      <c r="Q127">
        <v>0.370218876521555</v>
      </c>
      <c r="R127">
        <v>0.97853028437057799</v>
      </c>
      <c r="S127" t="s">
        <v>3756</v>
      </c>
      <c r="T127" t="s">
        <v>7256</v>
      </c>
      <c r="U127" t="s">
        <v>7256</v>
      </c>
      <c r="V127" t="s">
        <v>7256</v>
      </c>
      <c r="W127">
        <v>3</v>
      </c>
      <c r="X127" t="s">
        <v>7383</v>
      </c>
      <c r="Y127">
        <v>0.60284985531226665</v>
      </c>
      <c r="Z127" t="str">
        <f>HYPERLINK("Melting_Curves/meltCurve_sp_O43290_SNUT1_HUMAN_.pdf", "Melting_Curves/meltCurve_sp_O43290_SNUT1_HUMAN_.pdf")</f>
        <v>Melting_Curves/meltCurve_sp_O43290_SNUT1_HUMAN_.pdf</v>
      </c>
      <c r="AA127" t="s">
        <v>11007</v>
      </c>
      <c r="AB127" t="s">
        <v>14553</v>
      </c>
    </row>
    <row r="128" spans="1:28" x14ac:dyDescent="0.25">
      <c r="A128" t="s">
        <v>132</v>
      </c>
      <c r="B128">
        <v>0.98018197421672304</v>
      </c>
      <c r="C128">
        <v>0.79354985577765103</v>
      </c>
      <c r="D128">
        <v>0.82193801477036899</v>
      </c>
      <c r="E128">
        <v>0.67368540047338998</v>
      </c>
      <c r="F128">
        <v>0.60676593408158597</v>
      </c>
      <c r="G128">
        <v>0.47084793960679999</v>
      </c>
      <c r="H128">
        <v>0.42364192144399199</v>
      </c>
      <c r="I128">
        <v>0.400705385471326</v>
      </c>
      <c r="J128">
        <v>0.454294847520338</v>
      </c>
      <c r="K128">
        <v>0.49007591815656298</v>
      </c>
      <c r="L128">
        <v>514.37698455446002</v>
      </c>
      <c r="M128">
        <v>10.614874186757399</v>
      </c>
      <c r="N128">
        <v>57.482430515694197</v>
      </c>
      <c r="O128">
        <v>46.833176914541703</v>
      </c>
      <c r="P128">
        <v>-3.3696923043421999E-2</v>
      </c>
      <c r="Q128">
        <v>0.40554225855974402</v>
      </c>
      <c r="R128">
        <v>0.940943928162289</v>
      </c>
      <c r="S128" t="s">
        <v>3757</v>
      </c>
      <c r="T128" t="s">
        <v>7256</v>
      </c>
      <c r="U128" t="s">
        <v>7256</v>
      </c>
      <c r="V128" t="s">
        <v>7256</v>
      </c>
      <c r="W128">
        <v>6</v>
      </c>
      <c r="X128" t="s">
        <v>7384</v>
      </c>
      <c r="Y128">
        <v>0.60082002152334468</v>
      </c>
      <c r="Z128" t="str">
        <f>HYPERLINK("Melting_Curves/meltCurve_sp_O43312_4_MTSS1_HUMAN_.pdf", "Melting_Curves/meltCurve_sp_O43312_4_MTSS1_HUMAN_.pdf")</f>
        <v>Melting_Curves/meltCurve_sp_O43312_4_MTSS1_HUMAN_.pdf</v>
      </c>
      <c r="AA128" t="s">
        <v>11008</v>
      </c>
      <c r="AB128" t="s">
        <v>14554</v>
      </c>
    </row>
    <row r="129" spans="1:28" x14ac:dyDescent="0.25">
      <c r="A129" t="s">
        <v>133</v>
      </c>
      <c r="B129">
        <v>0.98018197421672304</v>
      </c>
      <c r="C129">
        <v>0.91385698717060704</v>
      </c>
      <c r="D129">
        <v>0.77102704079138895</v>
      </c>
      <c r="E129">
        <v>0.41923244550259398</v>
      </c>
      <c r="F129">
        <v>0.365571427690214</v>
      </c>
      <c r="G129">
        <v>0.24518571296789499</v>
      </c>
      <c r="H129">
        <v>0.22270245885011</v>
      </c>
      <c r="I129">
        <v>0.22015492802477901</v>
      </c>
      <c r="J129">
        <v>0.24482754115375499</v>
      </c>
      <c r="K129">
        <v>0.28644222969772498</v>
      </c>
      <c r="L129">
        <v>983.79384368399803</v>
      </c>
      <c r="M129">
        <v>20.655308646723999</v>
      </c>
      <c r="N129">
        <v>49.189232921026203</v>
      </c>
      <c r="O129">
        <v>47.189419040459804</v>
      </c>
      <c r="P129">
        <v>-8.3133438275614494E-2</v>
      </c>
      <c r="Q129">
        <v>0.240310464037748</v>
      </c>
      <c r="R129">
        <v>0.99168349339748796</v>
      </c>
      <c r="S129" t="s">
        <v>3758</v>
      </c>
      <c r="T129" t="s">
        <v>7256</v>
      </c>
      <c r="U129" t="s">
        <v>7256</v>
      </c>
      <c r="V129" t="s">
        <v>7256</v>
      </c>
      <c r="W129">
        <v>3</v>
      </c>
      <c r="X129" t="s">
        <v>7385</v>
      </c>
      <c r="Y129">
        <v>0.4436619632765732</v>
      </c>
      <c r="Z129" t="str">
        <f>HYPERLINK("Melting_Curves/meltCurve_sp_O43314_2_VIP2_HUMAN_.pdf", "Melting_Curves/meltCurve_sp_O43314_2_VIP2_HUMAN_.pdf")</f>
        <v>Melting_Curves/meltCurve_sp_O43314_2_VIP2_HUMAN_.pdf</v>
      </c>
      <c r="AA129" t="s">
        <v>11009</v>
      </c>
      <c r="AB129" t="s">
        <v>14555</v>
      </c>
    </row>
    <row r="130" spans="1:28" x14ac:dyDescent="0.25">
      <c r="A130" t="s">
        <v>134</v>
      </c>
      <c r="B130">
        <v>0.98018197421672304</v>
      </c>
      <c r="C130">
        <v>0.94628869926033099</v>
      </c>
      <c r="D130">
        <v>0.88791586418598301</v>
      </c>
      <c r="E130">
        <v>0.66627479207378704</v>
      </c>
      <c r="F130">
        <v>0.38134373413623801</v>
      </c>
      <c r="G130">
        <v>0.232322991185476</v>
      </c>
      <c r="H130">
        <v>0.267606170585929</v>
      </c>
      <c r="I130">
        <v>0.30549408773801601</v>
      </c>
      <c r="J130">
        <v>0.33980710977116702</v>
      </c>
      <c r="K130">
        <v>0.38843214422474098</v>
      </c>
      <c r="L130">
        <v>1444.3839943626499</v>
      </c>
      <c r="M130">
        <v>29.020880263137101</v>
      </c>
      <c r="N130">
        <v>51.411928517958899</v>
      </c>
      <c r="O130">
        <v>49.5359835682276</v>
      </c>
      <c r="P130">
        <v>-0.10222648580124299</v>
      </c>
      <c r="Q130">
        <v>0.30204021037594198</v>
      </c>
      <c r="R130">
        <v>0.96883547523251101</v>
      </c>
      <c r="S130" t="s">
        <v>3759</v>
      </c>
      <c r="T130" t="s">
        <v>7256</v>
      </c>
      <c r="U130" t="s">
        <v>7256</v>
      </c>
      <c r="V130" t="s">
        <v>7256</v>
      </c>
      <c r="W130">
        <v>2</v>
      </c>
      <c r="X130" t="s">
        <v>7386</v>
      </c>
      <c r="Y130">
        <v>0.5339549424984471</v>
      </c>
      <c r="Z130" t="str">
        <f>HYPERLINK("Melting_Curves/meltCurve_sp_O43318_2_M3K7_HUMAN_.pdf", "Melting_Curves/meltCurve_sp_O43318_2_M3K7_HUMAN_.pdf")</f>
        <v>Melting_Curves/meltCurve_sp_O43318_2_M3K7_HUMAN_.pdf</v>
      </c>
      <c r="AA130" t="s">
        <v>11010</v>
      </c>
      <c r="AB130" t="s">
        <v>14556</v>
      </c>
    </row>
    <row r="131" spans="1:28" x14ac:dyDescent="0.25">
      <c r="A131" t="s">
        <v>135</v>
      </c>
      <c r="B131">
        <v>0.98018197421672304</v>
      </c>
      <c r="C131">
        <v>0.87274173199516603</v>
      </c>
      <c r="D131">
        <v>0.47671551618208602</v>
      </c>
      <c r="E131">
        <v>0.193699339189214</v>
      </c>
      <c r="F131">
        <v>0.11454573189091399</v>
      </c>
      <c r="G131">
        <v>6.2115045235947797E-2</v>
      </c>
      <c r="H131">
        <v>2.6850719818197099E-2</v>
      </c>
      <c r="I131">
        <v>1.8930756724525499E-2</v>
      </c>
      <c r="J131">
        <v>2.1353598914020999E-2</v>
      </c>
      <c r="K131">
        <v>1.5481136041332199E-2</v>
      </c>
      <c r="L131">
        <v>1015.65855583108</v>
      </c>
      <c r="M131">
        <v>22.0791961470402</v>
      </c>
      <c r="N131">
        <v>46.1381792543974</v>
      </c>
      <c r="O131">
        <v>45.628330763431599</v>
      </c>
      <c r="P131">
        <v>-0.11712456070576301</v>
      </c>
      <c r="Q131">
        <v>3.1834088131175699E-2</v>
      </c>
      <c r="R131">
        <v>0.99549727405150101</v>
      </c>
      <c r="S131" t="s">
        <v>3760</v>
      </c>
      <c r="T131" t="s">
        <v>7256</v>
      </c>
      <c r="U131" t="s">
        <v>7256</v>
      </c>
      <c r="V131" t="s">
        <v>7256</v>
      </c>
      <c r="W131">
        <v>1</v>
      </c>
      <c r="X131" t="s">
        <v>7387</v>
      </c>
      <c r="Y131">
        <v>0.2374082826997608</v>
      </c>
      <c r="Z131" t="str">
        <f>HYPERLINK("Melting_Curves/meltCurve_sp_O43324_MCA3_HUMAN_.pdf", "Melting_Curves/meltCurve_sp_O43324_MCA3_HUMAN_.pdf")</f>
        <v>Melting_Curves/meltCurve_sp_O43324_MCA3_HUMAN_.pdf</v>
      </c>
      <c r="AA131" t="s">
        <v>11011</v>
      </c>
      <c r="AB131" t="s">
        <v>14557</v>
      </c>
    </row>
    <row r="132" spans="1:28" x14ac:dyDescent="0.25">
      <c r="A132" t="s">
        <v>136</v>
      </c>
      <c r="B132">
        <v>0.98018197421672304</v>
      </c>
      <c r="C132">
        <v>0.99504787167598296</v>
      </c>
      <c r="D132">
        <v>0.89861119239722997</v>
      </c>
      <c r="E132">
        <v>0.73346063353746105</v>
      </c>
      <c r="F132">
        <v>0.45493456401684301</v>
      </c>
      <c r="G132">
        <v>0.15321112945829099</v>
      </c>
      <c r="H132">
        <v>7.5608281114422193E-2</v>
      </c>
      <c r="I132">
        <v>5.7725404386649103E-2</v>
      </c>
      <c r="J132">
        <v>6.1983661278081199E-2</v>
      </c>
      <c r="K132">
        <v>4.1358554070164498E-2</v>
      </c>
      <c r="L132">
        <v>1077.18013286409</v>
      </c>
      <c r="M132">
        <v>20.6425957992683</v>
      </c>
      <c r="N132">
        <v>52.368359942443</v>
      </c>
      <c r="O132">
        <v>51.700084024433004</v>
      </c>
      <c r="P132">
        <v>-9.6293835953686693E-2</v>
      </c>
      <c r="Q132">
        <v>3.53429463999545E-2</v>
      </c>
      <c r="R132">
        <v>0.99764976845844999</v>
      </c>
      <c r="S132" t="s">
        <v>3761</v>
      </c>
      <c r="T132" t="s">
        <v>7256</v>
      </c>
      <c r="U132" t="s">
        <v>7256</v>
      </c>
      <c r="V132" t="s">
        <v>7256</v>
      </c>
      <c r="W132">
        <v>4</v>
      </c>
      <c r="X132" t="s">
        <v>7388</v>
      </c>
      <c r="Y132">
        <v>0.43967573738910071</v>
      </c>
      <c r="Z132" t="str">
        <f>HYPERLINK("Melting_Curves/meltCurve_sp_O43325_LYRM1_HUMAN_.pdf", "Melting_Curves/meltCurve_sp_O43325_LYRM1_HUMAN_.pdf")</f>
        <v>Melting_Curves/meltCurve_sp_O43325_LYRM1_HUMAN_.pdf</v>
      </c>
      <c r="AA132" t="s">
        <v>11012</v>
      </c>
      <c r="AB132" t="s">
        <v>14558</v>
      </c>
    </row>
    <row r="133" spans="1:28" x14ac:dyDescent="0.25">
      <c r="A133" t="s">
        <v>137</v>
      </c>
      <c r="B133">
        <v>0.98018197421672304</v>
      </c>
      <c r="C133">
        <v>0.96731186109763201</v>
      </c>
      <c r="D133">
        <v>0.88187847887917103</v>
      </c>
      <c r="E133">
        <v>0.65312955452165999</v>
      </c>
      <c r="F133">
        <v>0.32921446310599101</v>
      </c>
      <c r="G133">
        <v>0.138676853113225</v>
      </c>
      <c r="H133">
        <v>9.3792060483990802E-2</v>
      </c>
      <c r="I133">
        <v>9.0248416227452694E-2</v>
      </c>
      <c r="J133">
        <v>0.101128565600411</v>
      </c>
      <c r="K133">
        <v>6.1888750532692098E-2</v>
      </c>
      <c r="L133">
        <v>1107.5205634336201</v>
      </c>
      <c r="M133">
        <v>21.774488375342901</v>
      </c>
      <c r="N133">
        <v>51.231126047901</v>
      </c>
      <c r="O133">
        <v>50.4400235147111</v>
      </c>
      <c r="P133">
        <v>-0.100113669936745</v>
      </c>
      <c r="Q133">
        <v>7.2378518556038898E-2</v>
      </c>
      <c r="R133">
        <v>0.99722081177076505</v>
      </c>
      <c r="S133" t="s">
        <v>3762</v>
      </c>
      <c r="T133" t="s">
        <v>7256</v>
      </c>
      <c r="U133" t="s">
        <v>7256</v>
      </c>
      <c r="V133" t="s">
        <v>7256</v>
      </c>
      <c r="W133">
        <v>13</v>
      </c>
      <c r="X133" t="s">
        <v>7389</v>
      </c>
      <c r="Y133">
        <v>0.41923284554637269</v>
      </c>
      <c r="Z133" t="str">
        <f>HYPERLINK("Melting_Curves/meltCurve_sp_O43390_HNRPR_HUMAN_.pdf", "Melting_Curves/meltCurve_sp_O43390_HNRPR_HUMAN_.pdf")</f>
        <v>Melting_Curves/meltCurve_sp_O43390_HNRPR_HUMAN_.pdf</v>
      </c>
      <c r="AA133" t="s">
        <v>11013</v>
      </c>
      <c r="AB133" t="s">
        <v>14559</v>
      </c>
    </row>
    <row r="134" spans="1:28" x14ac:dyDescent="0.25">
      <c r="A134" t="s">
        <v>138</v>
      </c>
      <c r="B134">
        <v>0.98018197421672304</v>
      </c>
      <c r="C134">
        <v>0.92800500562559995</v>
      </c>
      <c r="D134">
        <v>0.82631554360891302</v>
      </c>
      <c r="E134">
        <v>0.58506510673276002</v>
      </c>
      <c r="F134">
        <v>0.357397286486</v>
      </c>
      <c r="G134">
        <v>0.15957669911465999</v>
      </c>
      <c r="H134">
        <v>9.1787498089666505E-2</v>
      </c>
      <c r="I134">
        <v>6.4544759622228595E-2</v>
      </c>
      <c r="J134">
        <v>6.7944907514181696E-2</v>
      </c>
      <c r="K134">
        <v>5.80813696268037E-2</v>
      </c>
      <c r="L134">
        <v>794.67994281915401</v>
      </c>
      <c r="M134">
        <v>15.692375153978</v>
      </c>
      <c r="N134">
        <v>50.881037410495999</v>
      </c>
      <c r="O134">
        <v>49.840153729171298</v>
      </c>
      <c r="P134">
        <v>-7.5913274899583993E-2</v>
      </c>
      <c r="Q134">
        <v>3.5656738931483502E-2</v>
      </c>
      <c r="R134">
        <v>0.99887752869785496</v>
      </c>
      <c r="S134" t="s">
        <v>3763</v>
      </c>
      <c r="T134" t="s">
        <v>7256</v>
      </c>
      <c r="U134" t="s">
        <v>7256</v>
      </c>
      <c r="V134" t="s">
        <v>7256</v>
      </c>
      <c r="W134">
        <v>6</v>
      </c>
      <c r="X134" t="s">
        <v>7390</v>
      </c>
      <c r="Y134">
        <v>0.39856870798947741</v>
      </c>
      <c r="Z134" t="str">
        <f>HYPERLINK("Melting_Curves/meltCurve_sp_O43396_TXNL1_HUMAN_.pdf", "Melting_Curves/meltCurve_sp_O43396_TXNL1_HUMAN_.pdf")</f>
        <v>Melting_Curves/meltCurve_sp_O43396_TXNL1_HUMAN_.pdf</v>
      </c>
      <c r="AA134" t="s">
        <v>11014</v>
      </c>
      <c r="AB134" t="s">
        <v>14560</v>
      </c>
    </row>
    <row r="135" spans="1:28" x14ac:dyDescent="0.25">
      <c r="A135" t="s">
        <v>139</v>
      </c>
      <c r="B135">
        <v>0.98018197421672304</v>
      </c>
      <c r="C135">
        <v>0.82132491737075597</v>
      </c>
      <c r="D135">
        <v>0.83721390005405305</v>
      </c>
      <c r="E135">
        <v>0.71107744360538905</v>
      </c>
      <c r="F135">
        <v>0.62203969947992099</v>
      </c>
      <c r="G135">
        <v>0.45881408261957002</v>
      </c>
      <c r="H135">
        <v>0.48700499794198099</v>
      </c>
      <c r="I135">
        <v>0.45929326407251198</v>
      </c>
      <c r="J135">
        <v>0.48232282215476002</v>
      </c>
      <c r="K135">
        <v>0.401779188124682</v>
      </c>
      <c r="L135">
        <v>485.18944347296798</v>
      </c>
      <c r="M135">
        <v>9.77384174604782</v>
      </c>
      <c r="N135">
        <v>58.953224686745401</v>
      </c>
      <c r="O135">
        <v>47.6973295417299</v>
      </c>
      <c r="P135">
        <v>-3.1101286042328102E-2</v>
      </c>
      <c r="Q135">
        <v>0.39321247833850598</v>
      </c>
      <c r="R135">
        <v>0.95784622409503695</v>
      </c>
      <c r="S135" t="s">
        <v>3764</v>
      </c>
      <c r="T135" t="s">
        <v>7256</v>
      </c>
      <c r="U135" t="s">
        <v>7256</v>
      </c>
      <c r="V135" t="s">
        <v>7256</v>
      </c>
      <c r="W135">
        <v>5</v>
      </c>
      <c r="X135" t="s">
        <v>7391</v>
      </c>
      <c r="Y135">
        <v>0.61737045796988321</v>
      </c>
      <c r="Z135" t="str">
        <f>HYPERLINK("Melting_Curves/meltCurve_sp_O43399_TPD54_HUMAN_.pdf", "Melting_Curves/meltCurve_sp_O43399_TPD54_HUMAN_.pdf")</f>
        <v>Melting_Curves/meltCurve_sp_O43399_TPD54_HUMAN_.pdf</v>
      </c>
      <c r="AA135" t="s">
        <v>11015</v>
      </c>
      <c r="AB135" t="s">
        <v>14561</v>
      </c>
    </row>
    <row r="136" spans="1:28" x14ac:dyDescent="0.25">
      <c r="A136" t="s">
        <v>140</v>
      </c>
      <c r="B136">
        <v>0.98018197421672304</v>
      </c>
      <c r="C136">
        <v>1.04790426512962</v>
      </c>
      <c r="D136">
        <v>0.86605990926849497</v>
      </c>
      <c r="E136">
        <v>0.56378708670107702</v>
      </c>
      <c r="F136">
        <v>0.24667218757807299</v>
      </c>
      <c r="G136">
        <v>0.145717621502501</v>
      </c>
      <c r="H136">
        <v>0.12497531450779099</v>
      </c>
      <c r="I136">
        <v>5.9420950738842501E-2</v>
      </c>
      <c r="J136">
        <v>0.13508315148226199</v>
      </c>
      <c r="K136">
        <v>4.7656719614204597E-2</v>
      </c>
      <c r="L136">
        <v>1209.4994893318301</v>
      </c>
      <c r="M136">
        <v>24.196129407454499</v>
      </c>
      <c r="N136">
        <v>50.387603912829697</v>
      </c>
      <c r="O136">
        <v>49.649614094761702</v>
      </c>
      <c r="P136">
        <v>-0.111183347620723</v>
      </c>
      <c r="Q136">
        <v>8.7436406260304494E-2</v>
      </c>
      <c r="R136">
        <v>0.99157609054875395</v>
      </c>
      <c r="S136" t="s">
        <v>3765</v>
      </c>
      <c r="T136" t="s">
        <v>7256</v>
      </c>
      <c r="U136" t="s">
        <v>7256</v>
      </c>
      <c r="V136" t="s">
        <v>7256</v>
      </c>
      <c r="W136">
        <v>3</v>
      </c>
      <c r="X136" t="s">
        <v>7392</v>
      </c>
      <c r="Y136">
        <v>0.39994698538236811</v>
      </c>
      <c r="Z136" t="str">
        <f>HYPERLINK("Melting_Curves/meltCurve_sp_O43414_3_ERI3_HUMAN_.pdf", "Melting_Curves/meltCurve_sp_O43414_3_ERI3_HUMAN_.pdf")</f>
        <v>Melting_Curves/meltCurve_sp_O43414_3_ERI3_HUMAN_.pdf</v>
      </c>
      <c r="AA136" t="s">
        <v>11016</v>
      </c>
      <c r="AB136" t="s">
        <v>14562</v>
      </c>
    </row>
    <row r="137" spans="1:28" x14ac:dyDescent="0.25">
      <c r="A137" t="s">
        <v>141</v>
      </c>
      <c r="B137">
        <v>0.98018197421672304</v>
      </c>
      <c r="C137">
        <v>0.92945215830018202</v>
      </c>
      <c r="D137">
        <v>0.83766138257394196</v>
      </c>
      <c r="E137">
        <v>0.58135357116193098</v>
      </c>
      <c r="F137">
        <v>0.40660588403790598</v>
      </c>
      <c r="G137">
        <v>0.26865159798327798</v>
      </c>
      <c r="H137">
        <v>0.17793600235031401</v>
      </c>
      <c r="I137">
        <v>0.148351127624954</v>
      </c>
      <c r="J137">
        <v>0.180103899336089</v>
      </c>
      <c r="K137">
        <v>0.13965021587059301</v>
      </c>
      <c r="L137">
        <v>757.68756852243098</v>
      </c>
      <c r="M137">
        <v>15.067959195919199</v>
      </c>
      <c r="N137">
        <v>51.338405739716698</v>
      </c>
      <c r="O137">
        <v>49.423966905446001</v>
      </c>
      <c r="P137">
        <v>-6.6086848534509995E-2</v>
      </c>
      <c r="Q137">
        <v>0.133008405668087</v>
      </c>
      <c r="R137">
        <v>0.99851972855549598</v>
      </c>
      <c r="S137" t="s">
        <v>3766</v>
      </c>
      <c r="T137" t="s">
        <v>7256</v>
      </c>
      <c r="U137" t="s">
        <v>7256</v>
      </c>
      <c r="V137" t="s">
        <v>7256</v>
      </c>
      <c r="W137">
        <v>8</v>
      </c>
      <c r="X137" t="s">
        <v>7393</v>
      </c>
      <c r="Y137">
        <v>0.45055979117561878</v>
      </c>
      <c r="Z137" t="str">
        <f>HYPERLINK("Melting_Curves/meltCurve_sp_O43432_IF4G3_HUMAN_.pdf", "Melting_Curves/meltCurve_sp_O43432_IF4G3_HUMAN_.pdf")</f>
        <v>Melting_Curves/meltCurve_sp_O43432_IF4G3_HUMAN_.pdf</v>
      </c>
      <c r="AA137" t="s">
        <v>11017</v>
      </c>
      <c r="AB137" t="s">
        <v>14563</v>
      </c>
    </row>
    <row r="138" spans="1:28" x14ac:dyDescent="0.25">
      <c r="A138" t="s">
        <v>142</v>
      </c>
      <c r="B138">
        <v>0.98018197421672304</v>
      </c>
      <c r="C138">
        <v>0.99950848478022003</v>
      </c>
      <c r="D138">
        <v>0.95307489986127703</v>
      </c>
      <c r="E138">
        <v>0.77933443718652795</v>
      </c>
      <c r="F138">
        <v>0.65185601986500097</v>
      </c>
      <c r="G138">
        <v>0.446043383399159</v>
      </c>
      <c r="H138">
        <v>0.36068638903115602</v>
      </c>
      <c r="I138">
        <v>0.34916671254636999</v>
      </c>
      <c r="J138">
        <v>0.36948177497266799</v>
      </c>
      <c r="K138">
        <v>0.32705961470016498</v>
      </c>
      <c r="L138">
        <v>943.89034466232397</v>
      </c>
      <c r="M138">
        <v>18.0260695032675</v>
      </c>
      <c r="N138">
        <v>55.672569197481202</v>
      </c>
      <c r="O138">
        <v>51.730852658245396</v>
      </c>
      <c r="P138">
        <v>-5.8474584818833802E-2</v>
      </c>
      <c r="Q138">
        <v>0.32879616280943103</v>
      </c>
      <c r="R138">
        <v>0.99639154144698705</v>
      </c>
      <c r="S138" t="s">
        <v>3767</v>
      </c>
      <c r="T138" t="s">
        <v>7256</v>
      </c>
      <c r="U138" t="s">
        <v>7256</v>
      </c>
      <c r="V138" t="s">
        <v>7256</v>
      </c>
      <c r="W138">
        <v>5</v>
      </c>
      <c r="X138" t="s">
        <v>7394</v>
      </c>
      <c r="Y138">
        <v>0.61647235904386666</v>
      </c>
      <c r="Z138" t="str">
        <f>HYPERLINK("Melting_Curves/meltCurve_sp_O43464_HTRA2_HUMAN_.pdf", "Melting_Curves/meltCurve_sp_O43464_HTRA2_HUMAN_.pdf")</f>
        <v>Melting_Curves/meltCurve_sp_O43464_HTRA2_HUMAN_.pdf</v>
      </c>
      <c r="AA138" t="s">
        <v>11018</v>
      </c>
      <c r="AB138" t="s">
        <v>14564</v>
      </c>
    </row>
    <row r="139" spans="1:28" x14ac:dyDescent="0.25">
      <c r="A139" t="s">
        <v>143</v>
      </c>
      <c r="B139">
        <v>0.98018197421672304</v>
      </c>
      <c r="C139">
        <v>0.92851242485050001</v>
      </c>
      <c r="D139">
        <v>0.892687776497605</v>
      </c>
      <c r="E139">
        <v>0.73975123931213005</v>
      </c>
      <c r="F139">
        <v>0.66367834356467303</v>
      </c>
      <c r="G139">
        <v>0.472563174379241</v>
      </c>
      <c r="H139">
        <v>0.36290572338624</v>
      </c>
      <c r="I139">
        <v>0.35809741952637703</v>
      </c>
      <c r="J139">
        <v>0.47837940518675398</v>
      </c>
      <c r="K139">
        <v>0.49730386938650301</v>
      </c>
      <c r="L139">
        <v>816.44762500323998</v>
      </c>
      <c r="M139">
        <v>16.084135726749398</v>
      </c>
      <c r="N139">
        <v>56.795912731181502</v>
      </c>
      <c r="O139">
        <v>49.995829284672404</v>
      </c>
      <c r="P139">
        <v>-4.7497731100405602E-2</v>
      </c>
      <c r="Q139">
        <v>0.409478745035467</v>
      </c>
      <c r="R139">
        <v>0.945019130424822</v>
      </c>
      <c r="S139" t="s">
        <v>3768</v>
      </c>
      <c r="T139" t="s">
        <v>7256</v>
      </c>
      <c r="U139" t="s">
        <v>7256</v>
      </c>
      <c r="V139" t="s">
        <v>7256</v>
      </c>
      <c r="W139">
        <v>9</v>
      </c>
      <c r="X139" t="s">
        <v>7395</v>
      </c>
      <c r="Y139">
        <v>0.63349797968453425</v>
      </c>
      <c r="Z139" t="str">
        <f>HYPERLINK("Melting_Curves/meltCurve_sp_O43491_3_E41L2_HUMAN_.pdf", "Melting_Curves/meltCurve_sp_O43491_3_E41L2_HUMAN_.pdf")</f>
        <v>Melting_Curves/meltCurve_sp_O43491_3_E41L2_HUMAN_.pdf</v>
      </c>
      <c r="AA139" t="s">
        <v>11019</v>
      </c>
      <c r="AB139" t="s">
        <v>14565</v>
      </c>
    </row>
    <row r="140" spans="1:28" x14ac:dyDescent="0.25">
      <c r="A140" t="s">
        <v>144</v>
      </c>
      <c r="B140">
        <v>0.98018197421672304</v>
      </c>
      <c r="C140">
        <v>0.96724343812430702</v>
      </c>
      <c r="D140">
        <v>0.89697148254949399</v>
      </c>
      <c r="E140">
        <v>0.69178975283028399</v>
      </c>
      <c r="F140">
        <v>0.92372526327903104</v>
      </c>
      <c r="G140">
        <v>0.69499184105220602</v>
      </c>
      <c r="H140">
        <v>0.48038039379921299</v>
      </c>
      <c r="I140">
        <v>0.65255359533275004</v>
      </c>
      <c r="J140">
        <v>0.73168026482168902</v>
      </c>
      <c r="K140">
        <v>0.66218465368105395</v>
      </c>
      <c r="L140">
        <v>593.81547835042602</v>
      </c>
      <c r="M140">
        <v>11.9701342438106</v>
      </c>
      <c r="O140">
        <v>48.284372660348403</v>
      </c>
      <c r="P140">
        <v>-2.2966714907769002E-2</v>
      </c>
      <c r="Q140">
        <v>0.62952345434160895</v>
      </c>
      <c r="R140">
        <v>0.646734555109302</v>
      </c>
      <c r="S140" t="s">
        <v>3769</v>
      </c>
      <c r="T140" t="s">
        <v>7256</v>
      </c>
      <c r="U140" t="s">
        <v>7256</v>
      </c>
      <c r="V140" t="s">
        <v>7256</v>
      </c>
      <c r="W140">
        <v>7</v>
      </c>
      <c r="X140" t="s">
        <v>7396</v>
      </c>
      <c r="Y140">
        <v>0.76135284400722159</v>
      </c>
      <c r="Z140" t="str">
        <f>HYPERLINK("Melting_Curves/meltCurve_sp_O43493_2_TGON2_HUMAN_.pdf", "Melting_Curves/meltCurve_sp_O43493_2_TGON2_HUMAN_.pdf")</f>
        <v>Melting_Curves/meltCurve_sp_O43493_2_TGON2_HUMAN_.pdf</v>
      </c>
      <c r="AA140" t="s">
        <v>11020</v>
      </c>
      <c r="AB140" t="s">
        <v>14566</v>
      </c>
    </row>
    <row r="141" spans="1:28" x14ac:dyDescent="0.25">
      <c r="A141" t="s">
        <v>145</v>
      </c>
      <c r="B141">
        <v>0.98018197421672304</v>
      </c>
      <c r="C141">
        <v>0.91815282698154299</v>
      </c>
      <c r="D141">
        <v>0.91381653390944195</v>
      </c>
      <c r="E141">
        <v>0.68863311858336496</v>
      </c>
      <c r="F141">
        <v>0.26679090919479398</v>
      </c>
      <c r="G141">
        <v>0.13074554986140699</v>
      </c>
      <c r="H141">
        <v>7.6592108586712004E-2</v>
      </c>
      <c r="I141">
        <v>5.9877403264182699E-2</v>
      </c>
      <c r="J141">
        <v>5.8981437432557203E-2</v>
      </c>
      <c r="K141">
        <v>4.8948331489930101E-2</v>
      </c>
      <c r="L141">
        <v>1411.4779531142201</v>
      </c>
      <c r="M141">
        <v>27.684424330160802</v>
      </c>
      <c r="N141">
        <v>51.2164184324362</v>
      </c>
      <c r="O141">
        <v>50.720754646709203</v>
      </c>
      <c r="P141">
        <v>-0.128419393832467</v>
      </c>
      <c r="Q141">
        <v>5.8897532293415801E-2</v>
      </c>
      <c r="R141">
        <v>0.99256338166786895</v>
      </c>
      <c r="S141" t="s">
        <v>3770</v>
      </c>
      <c r="T141" t="s">
        <v>7256</v>
      </c>
      <c r="U141" t="s">
        <v>7256</v>
      </c>
      <c r="V141" t="s">
        <v>7256</v>
      </c>
      <c r="W141">
        <v>9</v>
      </c>
      <c r="X141" t="s">
        <v>7397</v>
      </c>
      <c r="Y141">
        <v>0.41042924686706522</v>
      </c>
      <c r="Z141" t="str">
        <f>HYPERLINK("Melting_Curves/meltCurve_sp_O43592_XPOT_HUMAN_.pdf", "Melting_Curves/meltCurve_sp_O43592_XPOT_HUMAN_.pdf")</f>
        <v>Melting_Curves/meltCurve_sp_O43592_XPOT_HUMAN_.pdf</v>
      </c>
      <c r="AA141" t="s">
        <v>11021</v>
      </c>
      <c r="AB141" t="s">
        <v>14567</v>
      </c>
    </row>
    <row r="142" spans="1:28" x14ac:dyDescent="0.25">
      <c r="A142" t="s">
        <v>146</v>
      </c>
      <c r="B142">
        <v>0.98018197421672304</v>
      </c>
      <c r="C142">
        <v>1.31483027687359</v>
      </c>
      <c r="D142">
        <v>0.91847911132579196</v>
      </c>
      <c r="E142">
        <v>0.77692189375812504</v>
      </c>
      <c r="F142">
        <v>0.72445111387360495</v>
      </c>
      <c r="G142">
        <v>0.46591496001499899</v>
      </c>
      <c r="H142">
        <v>0.219234120011323</v>
      </c>
      <c r="I142">
        <v>0.169083851796341</v>
      </c>
      <c r="J142">
        <v>0.233474877031041</v>
      </c>
      <c r="K142">
        <v>0.15106905446705601</v>
      </c>
      <c r="L142">
        <v>924.49468154025703</v>
      </c>
      <c r="M142">
        <v>16.877062997022101</v>
      </c>
      <c r="N142">
        <v>55.8301707092009</v>
      </c>
      <c r="O142">
        <v>54.026444636667897</v>
      </c>
      <c r="P142">
        <v>-6.7463665494603905E-2</v>
      </c>
      <c r="Q142">
        <v>0.136202723968218</v>
      </c>
      <c r="R142">
        <v>0.91731616786243797</v>
      </c>
      <c r="S142" t="s">
        <v>3771</v>
      </c>
      <c r="T142" t="s">
        <v>7256</v>
      </c>
      <c r="U142" t="s">
        <v>7256</v>
      </c>
      <c r="V142" t="s">
        <v>7256</v>
      </c>
      <c r="W142">
        <v>5</v>
      </c>
      <c r="X142" t="s">
        <v>7398</v>
      </c>
      <c r="Y142">
        <v>0.57640218872232107</v>
      </c>
      <c r="Z142" t="str">
        <f>HYPERLINK("Melting_Curves/meltCurve_sp_O43598_DNPH1_HUMAN_.pdf", "Melting_Curves/meltCurve_sp_O43598_DNPH1_HUMAN_.pdf")</f>
        <v>Melting_Curves/meltCurve_sp_O43598_DNPH1_HUMAN_.pdf</v>
      </c>
      <c r="AA142" t="s">
        <v>11022</v>
      </c>
      <c r="AB142" t="s">
        <v>14568</v>
      </c>
    </row>
    <row r="143" spans="1:28" x14ac:dyDescent="0.25">
      <c r="A143" t="s">
        <v>147</v>
      </c>
      <c r="B143">
        <v>0.98018197421672304</v>
      </c>
      <c r="C143">
        <v>0.98276852371440404</v>
      </c>
      <c r="D143">
        <v>0.90462922488636199</v>
      </c>
      <c r="E143">
        <v>0.76010616463477298</v>
      </c>
      <c r="F143">
        <v>0.46561839322419701</v>
      </c>
      <c r="G143">
        <v>0.24966847924055999</v>
      </c>
      <c r="H143">
        <v>0.18559506365720499</v>
      </c>
      <c r="I143">
        <v>0.14095079606366101</v>
      </c>
      <c r="J143">
        <v>0.16851842011459101</v>
      </c>
      <c r="K143">
        <v>0.13257065130783699</v>
      </c>
      <c r="L143">
        <v>1071.0657337323901</v>
      </c>
      <c r="M143">
        <v>20.631144129264801</v>
      </c>
      <c r="N143">
        <v>52.741022298323699</v>
      </c>
      <c r="O143">
        <v>51.434640906467699</v>
      </c>
      <c r="P143">
        <v>-8.6436715026432104E-2</v>
      </c>
      <c r="Q143">
        <v>0.13805801707853199</v>
      </c>
      <c r="R143">
        <v>0.99690279890017297</v>
      </c>
      <c r="S143" t="s">
        <v>3772</v>
      </c>
      <c r="T143" t="s">
        <v>7256</v>
      </c>
      <c r="U143" t="s">
        <v>7256</v>
      </c>
      <c r="V143" t="s">
        <v>7256</v>
      </c>
      <c r="W143">
        <v>13</v>
      </c>
      <c r="X143" t="s">
        <v>7399</v>
      </c>
      <c r="Y143">
        <v>0.49167220018851299</v>
      </c>
      <c r="Z143" t="str">
        <f>HYPERLINK("Melting_Curves/meltCurve_sp_O43615_TIM44_HUMAN_.pdf", "Melting_Curves/meltCurve_sp_O43615_TIM44_HUMAN_.pdf")</f>
        <v>Melting_Curves/meltCurve_sp_O43615_TIM44_HUMAN_.pdf</v>
      </c>
      <c r="AA143" t="s">
        <v>11023</v>
      </c>
      <c r="AB143" t="s">
        <v>14569</v>
      </c>
    </row>
    <row r="144" spans="1:28" x14ac:dyDescent="0.25">
      <c r="A144" t="s">
        <v>148</v>
      </c>
      <c r="B144">
        <v>0.98018197421672304</v>
      </c>
      <c r="C144">
        <v>0.92357234943043098</v>
      </c>
      <c r="D144">
        <v>0.79293212071210295</v>
      </c>
      <c r="E144">
        <v>0.63756625605162498</v>
      </c>
      <c r="F144">
        <v>0.51068316115606305</v>
      </c>
      <c r="G144">
        <v>0.36607905304222299</v>
      </c>
      <c r="H144">
        <v>0.25304859915365602</v>
      </c>
      <c r="I144">
        <v>0.227510944495176</v>
      </c>
      <c r="J144">
        <v>0.24449777647211099</v>
      </c>
      <c r="K144">
        <v>9.9460464966699802E-2</v>
      </c>
      <c r="L144">
        <v>519.88370052657604</v>
      </c>
      <c r="M144">
        <v>9.96700869679559</v>
      </c>
      <c r="N144">
        <v>53.247844106808799</v>
      </c>
      <c r="O144">
        <v>50.191086001819997</v>
      </c>
      <c r="P144">
        <v>-4.5096136914225503E-2</v>
      </c>
      <c r="Q144">
        <v>9.2080876877358997E-2</v>
      </c>
      <c r="R144">
        <v>0.99012613339385902</v>
      </c>
      <c r="S144" t="s">
        <v>3773</v>
      </c>
      <c r="T144" t="s">
        <v>7256</v>
      </c>
      <c r="U144" t="s">
        <v>7256</v>
      </c>
      <c r="V144" t="s">
        <v>7256</v>
      </c>
      <c r="W144">
        <v>3</v>
      </c>
      <c r="X144" t="s">
        <v>7400</v>
      </c>
      <c r="Y144">
        <v>0.49415691726129762</v>
      </c>
      <c r="Z144" t="str">
        <f>HYPERLINK("Melting_Curves/meltCurve_sp_O43617_2_TPPC3_HUMAN_.pdf", "Melting_Curves/meltCurve_sp_O43617_2_TPPC3_HUMAN_.pdf")</f>
        <v>Melting_Curves/meltCurve_sp_O43617_2_TPPC3_HUMAN_.pdf</v>
      </c>
      <c r="AA144" t="s">
        <v>11024</v>
      </c>
      <c r="AB144" t="s">
        <v>14570</v>
      </c>
    </row>
    <row r="145" spans="1:28" x14ac:dyDescent="0.25">
      <c r="A145" t="s">
        <v>149</v>
      </c>
      <c r="B145">
        <v>0.98018197421672304</v>
      </c>
      <c r="C145">
        <v>1.0679166757807199</v>
      </c>
      <c r="D145">
        <v>0.91134286390082198</v>
      </c>
      <c r="E145">
        <v>0.82770730891439903</v>
      </c>
      <c r="F145">
        <v>0.509489475661831</v>
      </c>
      <c r="G145">
        <v>0.24961545773612001</v>
      </c>
      <c r="H145">
        <v>0.42490066116105701</v>
      </c>
      <c r="I145">
        <v>0.326689382485429</v>
      </c>
      <c r="J145">
        <v>0.21261187688509001</v>
      </c>
      <c r="K145">
        <v>0.113043934354702</v>
      </c>
      <c r="L145">
        <v>1425.00881363964</v>
      </c>
      <c r="M145">
        <v>27.4766758332531</v>
      </c>
      <c r="N145">
        <v>53.207943452991003</v>
      </c>
      <c r="O145">
        <v>51.590113202528599</v>
      </c>
      <c r="P145">
        <v>-9.9807719380031704E-2</v>
      </c>
      <c r="Q145">
        <v>0.250412408932361</v>
      </c>
      <c r="R145">
        <v>0.94099844351857798</v>
      </c>
      <c r="S145" t="s">
        <v>3774</v>
      </c>
      <c r="T145" t="s">
        <v>7256</v>
      </c>
      <c r="U145" t="s">
        <v>7256</v>
      </c>
      <c r="V145" t="s">
        <v>7256</v>
      </c>
      <c r="W145">
        <v>9</v>
      </c>
      <c r="X145" t="s">
        <v>7401</v>
      </c>
      <c r="Y145">
        <v>0.55249647838853022</v>
      </c>
      <c r="Z145" t="str">
        <f>HYPERLINK("Melting_Curves/meltCurve_sp_O43633_CHM2A_HUMAN_.pdf", "Melting_Curves/meltCurve_sp_O43633_CHM2A_HUMAN_.pdf")</f>
        <v>Melting_Curves/meltCurve_sp_O43633_CHM2A_HUMAN_.pdf</v>
      </c>
      <c r="AA145" t="s">
        <v>11025</v>
      </c>
      <c r="AB145" t="s">
        <v>14571</v>
      </c>
    </row>
    <row r="146" spans="1:28" x14ac:dyDescent="0.25">
      <c r="A146" t="s">
        <v>150</v>
      </c>
      <c r="B146">
        <v>0.98018197421672304</v>
      </c>
      <c r="C146">
        <v>0.95931710778607904</v>
      </c>
      <c r="D146">
        <v>0.90950821444075203</v>
      </c>
      <c r="E146">
        <v>0.76846790615430505</v>
      </c>
      <c r="F146">
        <v>0.69563913672292399</v>
      </c>
      <c r="G146">
        <v>0.49475167053667901</v>
      </c>
      <c r="H146">
        <v>0.37960347671234002</v>
      </c>
      <c r="I146">
        <v>0.30715415107150301</v>
      </c>
      <c r="J146">
        <v>0.28813683071211599</v>
      </c>
      <c r="K146">
        <v>0.24866542630719601</v>
      </c>
      <c r="L146">
        <v>594.96970861370005</v>
      </c>
      <c r="M146">
        <v>10.8424160695412</v>
      </c>
      <c r="N146">
        <v>57.141113131087003</v>
      </c>
      <c r="O146">
        <v>53.1065526182879</v>
      </c>
      <c r="P146">
        <v>-4.2134557478237897E-2</v>
      </c>
      <c r="Q146">
        <v>0.17478786738537</v>
      </c>
      <c r="R146">
        <v>0.99779384848102703</v>
      </c>
      <c r="S146" t="s">
        <v>3775</v>
      </c>
      <c r="T146" t="s">
        <v>7256</v>
      </c>
      <c r="U146" t="s">
        <v>7256</v>
      </c>
      <c r="V146" t="s">
        <v>7256</v>
      </c>
      <c r="W146">
        <v>1</v>
      </c>
      <c r="X146" t="s">
        <v>7402</v>
      </c>
      <c r="Y146">
        <v>0.60489847349750281</v>
      </c>
      <c r="Z146" t="str">
        <f>HYPERLINK("Melting_Curves/meltCurve_sp_O43670_2_ZN207_HUMAN_.pdf", "Melting_Curves/meltCurve_sp_O43670_2_ZN207_HUMAN_.pdf")</f>
        <v>Melting_Curves/meltCurve_sp_O43670_2_ZN207_HUMAN_.pdf</v>
      </c>
      <c r="AA146" t="s">
        <v>11026</v>
      </c>
      <c r="AB146" t="s">
        <v>14572</v>
      </c>
    </row>
    <row r="147" spans="1:28" x14ac:dyDescent="0.25">
      <c r="A147" t="s">
        <v>151</v>
      </c>
      <c r="B147">
        <v>0.98018197421672304</v>
      </c>
      <c r="C147">
        <v>1.08623679079966</v>
      </c>
      <c r="D147">
        <v>0.81483200203656903</v>
      </c>
      <c r="E147">
        <v>0.71029389975351398</v>
      </c>
      <c r="F147">
        <v>0.46283630522449998</v>
      </c>
      <c r="G147">
        <v>0.227171278277571</v>
      </c>
      <c r="H147">
        <v>0.15257278016053</v>
      </c>
      <c r="I147">
        <v>0.16541128680314199</v>
      </c>
      <c r="J147">
        <v>0.20521239407059999</v>
      </c>
      <c r="K147">
        <v>0.20977872921046201</v>
      </c>
      <c r="L147">
        <v>1013.90838615749</v>
      </c>
      <c r="M147">
        <v>19.819470967385602</v>
      </c>
      <c r="N147">
        <v>52.214880570318797</v>
      </c>
      <c r="O147">
        <v>50.644924628131797</v>
      </c>
      <c r="P147">
        <v>-8.1662587087331304E-2</v>
      </c>
      <c r="Q147">
        <v>0.16533471791782001</v>
      </c>
      <c r="R147">
        <v>0.97533375588957805</v>
      </c>
      <c r="S147" t="s">
        <v>3776</v>
      </c>
      <c r="T147" t="s">
        <v>7256</v>
      </c>
      <c r="U147" t="s">
        <v>7256</v>
      </c>
      <c r="V147" t="s">
        <v>7256</v>
      </c>
      <c r="W147">
        <v>3</v>
      </c>
      <c r="X147" t="s">
        <v>7403</v>
      </c>
      <c r="Y147">
        <v>0.48753048858542691</v>
      </c>
      <c r="Z147" t="str">
        <f>HYPERLINK("Melting_Curves/meltCurve_sp_O43678_NDUA2_HUMAN_.pdf", "Melting_Curves/meltCurve_sp_O43678_NDUA2_HUMAN_.pdf")</f>
        <v>Melting_Curves/meltCurve_sp_O43678_NDUA2_HUMAN_.pdf</v>
      </c>
      <c r="AA147" t="s">
        <v>11027</v>
      </c>
      <c r="AB147" t="s">
        <v>14573</v>
      </c>
    </row>
    <row r="148" spans="1:28" x14ac:dyDescent="0.25">
      <c r="A148" t="s">
        <v>152</v>
      </c>
      <c r="B148">
        <v>0.98018197421672304</v>
      </c>
      <c r="C148">
        <v>1.0925136653141201</v>
      </c>
      <c r="D148">
        <v>0.94100400149342001</v>
      </c>
      <c r="E148">
        <v>0.48687759904204903</v>
      </c>
      <c r="F148">
        <v>0.16472674670114101</v>
      </c>
      <c r="G148">
        <v>7.1547677142819399E-2</v>
      </c>
      <c r="H148">
        <v>3.2498362844722302E-2</v>
      </c>
      <c r="I148">
        <v>2.03092692237484E-2</v>
      </c>
      <c r="J148">
        <v>3.72475815940677E-2</v>
      </c>
      <c r="K148">
        <v>1.3241258781068899E-2</v>
      </c>
      <c r="L148">
        <v>1603.45179961505</v>
      </c>
      <c r="M148">
        <v>32.156980338188099</v>
      </c>
      <c r="N148">
        <v>49.964014696134299</v>
      </c>
      <c r="O148">
        <v>49.671598528577903</v>
      </c>
      <c r="P148">
        <v>-0.15676753507177901</v>
      </c>
      <c r="Q148">
        <v>3.13944372056979E-2</v>
      </c>
      <c r="R148">
        <v>0.99396258254663605</v>
      </c>
      <c r="S148" t="s">
        <v>3777</v>
      </c>
      <c r="T148" t="s">
        <v>7256</v>
      </c>
      <c r="U148" t="s">
        <v>7256</v>
      </c>
      <c r="V148" t="s">
        <v>7256</v>
      </c>
      <c r="W148">
        <v>5</v>
      </c>
      <c r="X148" t="s">
        <v>7404</v>
      </c>
      <c r="Y148">
        <v>0.35504117105732108</v>
      </c>
      <c r="Z148" t="str">
        <f>HYPERLINK("Melting_Curves/meltCurve_sp_O43681_ASNA_HUMAN_.pdf", "Melting_Curves/meltCurve_sp_O43681_ASNA_HUMAN_.pdf")</f>
        <v>Melting_Curves/meltCurve_sp_O43681_ASNA_HUMAN_.pdf</v>
      </c>
      <c r="AA148" t="s">
        <v>11028</v>
      </c>
      <c r="AB148" t="s">
        <v>14574</v>
      </c>
    </row>
    <row r="149" spans="1:28" x14ac:dyDescent="0.25">
      <c r="A149" t="s">
        <v>153</v>
      </c>
      <c r="B149">
        <v>0.98018197421672304</v>
      </c>
      <c r="C149">
        <v>1.00938049740558</v>
      </c>
      <c r="D149">
        <v>0.94557480093278901</v>
      </c>
      <c r="E149">
        <v>0.45565523719432999</v>
      </c>
      <c r="F149">
        <v>0.17748485182492099</v>
      </c>
      <c r="G149">
        <v>0.108953261394952</v>
      </c>
      <c r="H149">
        <v>7.9205136529881801E-2</v>
      </c>
      <c r="I149">
        <v>6.65157947430281E-2</v>
      </c>
      <c r="J149">
        <v>7.8678594309555303E-2</v>
      </c>
      <c r="K149">
        <v>6.5079335657850498E-2</v>
      </c>
      <c r="L149">
        <v>1670.5546249326501</v>
      </c>
      <c r="M149">
        <v>33.742832860595698</v>
      </c>
      <c r="N149">
        <v>49.758567969556999</v>
      </c>
      <c r="O149">
        <v>49.335494041533998</v>
      </c>
      <c r="P149">
        <v>-0.15764772575535799</v>
      </c>
      <c r="Q149">
        <v>7.8014681940585806E-2</v>
      </c>
      <c r="R149">
        <v>0.99900080169537397</v>
      </c>
      <c r="S149" t="s">
        <v>3778</v>
      </c>
      <c r="T149" t="s">
        <v>7256</v>
      </c>
      <c r="U149" t="s">
        <v>7256</v>
      </c>
      <c r="V149" t="s">
        <v>7256</v>
      </c>
      <c r="W149">
        <v>4</v>
      </c>
      <c r="X149" t="s">
        <v>7405</v>
      </c>
      <c r="Y149">
        <v>0.37469118823610892</v>
      </c>
      <c r="Z149" t="str">
        <f>HYPERLINK("Melting_Curves/meltCurve_sp_O43704_ST1B1_HUMAN_.pdf", "Melting_Curves/meltCurve_sp_O43704_ST1B1_HUMAN_.pdf")</f>
        <v>Melting_Curves/meltCurve_sp_O43704_ST1B1_HUMAN_.pdf</v>
      </c>
      <c r="AA149" t="s">
        <v>11029</v>
      </c>
      <c r="AB149" t="s">
        <v>14575</v>
      </c>
    </row>
    <row r="150" spans="1:28" x14ac:dyDescent="0.25">
      <c r="A150" t="s">
        <v>154</v>
      </c>
      <c r="B150">
        <v>0.98018197421672304</v>
      </c>
      <c r="C150">
        <v>0.91384957889364704</v>
      </c>
      <c r="D150">
        <v>0.90213740272877496</v>
      </c>
      <c r="E150">
        <v>0.83081026006125602</v>
      </c>
      <c r="F150">
        <v>0.75845996426777396</v>
      </c>
      <c r="G150">
        <v>0.64100409998274699</v>
      </c>
      <c r="H150">
        <v>0.42516791087780798</v>
      </c>
      <c r="I150">
        <v>7.1710730793603503E-2</v>
      </c>
      <c r="J150">
        <v>6.0486955351257601E-2</v>
      </c>
      <c r="K150">
        <v>4.6952721956752597E-2</v>
      </c>
      <c r="L150">
        <v>855.76773258789103</v>
      </c>
      <c r="M150">
        <v>14.7745603279397</v>
      </c>
      <c r="N150">
        <v>57.921705679296501</v>
      </c>
      <c r="O150">
        <v>56.891638677037697</v>
      </c>
      <c r="P150">
        <v>-6.49310889749075E-2</v>
      </c>
      <c r="Q150">
        <v>0</v>
      </c>
      <c r="R150">
        <v>0.95559983631726797</v>
      </c>
      <c r="S150" t="s">
        <v>3779</v>
      </c>
      <c r="T150" t="s">
        <v>7256</v>
      </c>
      <c r="U150" t="s">
        <v>7256</v>
      </c>
      <c r="V150" t="s">
        <v>7256</v>
      </c>
      <c r="W150">
        <v>68</v>
      </c>
      <c r="X150" t="s">
        <v>7406</v>
      </c>
      <c r="Y150">
        <v>0.61106655656963915</v>
      </c>
      <c r="Z150" t="str">
        <f>HYPERLINK("Melting_Curves/meltCurve_sp_O43707_ACTN4_HUMAN_.pdf", "Melting_Curves/meltCurve_sp_O43707_ACTN4_HUMAN_.pdf")</f>
        <v>Melting_Curves/meltCurve_sp_O43707_ACTN4_HUMAN_.pdf</v>
      </c>
      <c r="AA150" t="s">
        <v>11030</v>
      </c>
      <c r="AB150" t="s">
        <v>14576</v>
      </c>
    </row>
    <row r="151" spans="1:28" x14ac:dyDescent="0.25">
      <c r="A151" t="s">
        <v>155</v>
      </c>
      <c r="B151">
        <v>0.98018197421672304</v>
      </c>
      <c r="C151">
        <v>1.0688287118512401</v>
      </c>
      <c r="D151">
        <v>0.96336825082296595</v>
      </c>
      <c r="E151">
        <v>0.688865607927587</v>
      </c>
      <c r="F151">
        <v>0.239285819880662</v>
      </c>
      <c r="G151">
        <v>7.4266216296142301E-2</v>
      </c>
      <c r="H151">
        <v>2.9242639579922101E-2</v>
      </c>
      <c r="I151">
        <v>1.8536128957939099E-2</v>
      </c>
      <c r="J151">
        <v>1.0882144904882899E-2</v>
      </c>
      <c r="K151">
        <v>7.5525823931067802E-3</v>
      </c>
      <c r="L151">
        <v>1700.49065755574</v>
      </c>
      <c r="M151">
        <v>33.269232448025797</v>
      </c>
      <c r="N151">
        <v>51.173912530221102</v>
      </c>
      <c r="O151">
        <v>50.9294015993719</v>
      </c>
      <c r="P151">
        <v>-0.16014176787241899</v>
      </c>
      <c r="Q151">
        <v>1.94076257468291E-2</v>
      </c>
      <c r="R151">
        <v>0.99658750781295002</v>
      </c>
      <c r="S151" t="s">
        <v>3780</v>
      </c>
      <c r="T151" t="s">
        <v>7256</v>
      </c>
      <c r="U151" t="s">
        <v>7256</v>
      </c>
      <c r="V151" t="s">
        <v>7256</v>
      </c>
      <c r="W151">
        <v>8</v>
      </c>
      <c r="X151" t="s">
        <v>7407</v>
      </c>
      <c r="Y151">
        <v>0.38767158645607791</v>
      </c>
      <c r="Z151" t="str">
        <f>HYPERLINK("Melting_Curves/meltCurve_sp_O43708_MAAI_HUMAN_.pdf", "Melting_Curves/meltCurve_sp_O43708_MAAI_HUMAN_.pdf")</f>
        <v>Melting_Curves/meltCurve_sp_O43708_MAAI_HUMAN_.pdf</v>
      </c>
      <c r="AA151" t="s">
        <v>11031</v>
      </c>
      <c r="AB151" t="s">
        <v>14577</v>
      </c>
    </row>
    <row r="152" spans="1:28" x14ac:dyDescent="0.25">
      <c r="A152" t="s">
        <v>156</v>
      </c>
      <c r="B152">
        <v>0.98018197421672304</v>
      </c>
      <c r="C152">
        <v>0.979266929103767</v>
      </c>
      <c r="D152">
        <v>0.91288867623579695</v>
      </c>
      <c r="E152">
        <v>0.77179433221584204</v>
      </c>
      <c r="F152">
        <v>0.69784572706649395</v>
      </c>
      <c r="G152">
        <v>0.54198277841894305</v>
      </c>
      <c r="H152">
        <v>0.46959608055402202</v>
      </c>
      <c r="I152">
        <v>0.515474471598805</v>
      </c>
      <c r="J152">
        <v>0.53712144787961302</v>
      </c>
      <c r="K152">
        <v>0.78057937532213695</v>
      </c>
      <c r="L152">
        <v>1077.1617229225701</v>
      </c>
      <c r="M152">
        <v>21.700286660830301</v>
      </c>
      <c r="O152">
        <v>49.2223419291225</v>
      </c>
      <c r="P152">
        <v>-4.7519195819702903E-2</v>
      </c>
      <c r="Q152">
        <v>0.56886246217472702</v>
      </c>
      <c r="R152">
        <v>0.81223060042878603</v>
      </c>
      <c r="S152" t="s">
        <v>3781</v>
      </c>
      <c r="T152" t="s">
        <v>7256</v>
      </c>
      <c r="U152" t="s">
        <v>7256</v>
      </c>
      <c r="V152" t="s">
        <v>7256</v>
      </c>
      <c r="W152">
        <v>9</v>
      </c>
      <c r="X152" t="s">
        <v>7408</v>
      </c>
      <c r="Y152">
        <v>0.71248402311174119</v>
      </c>
      <c r="Z152" t="str">
        <f>HYPERLINK("Melting_Curves/meltCurve_sp_O43715_TRIA1_HUMAN_.pdf", "Melting_Curves/meltCurve_sp_O43715_TRIA1_HUMAN_.pdf")</f>
        <v>Melting_Curves/meltCurve_sp_O43715_TRIA1_HUMAN_.pdf</v>
      </c>
      <c r="AA152" t="s">
        <v>11032</v>
      </c>
      <c r="AB152" t="s">
        <v>14578</v>
      </c>
    </row>
    <row r="153" spans="1:28" x14ac:dyDescent="0.25">
      <c r="A153" t="s">
        <v>157</v>
      </c>
      <c r="B153">
        <v>0.98018197421672304</v>
      </c>
      <c r="C153">
        <v>0.96097811131059696</v>
      </c>
      <c r="D153">
        <v>0.904583556173857</v>
      </c>
      <c r="E153">
        <v>0.82095913723976999</v>
      </c>
      <c r="F153">
        <v>0.50540169300126503</v>
      </c>
      <c r="G153">
        <v>0.26417085985626698</v>
      </c>
      <c r="H153">
        <v>0.41923666656118402</v>
      </c>
      <c r="I153">
        <v>0.401157231401787</v>
      </c>
      <c r="J153">
        <v>0.48717602950330702</v>
      </c>
      <c r="K153">
        <v>0.70832471116719797</v>
      </c>
      <c r="L153">
        <v>2766.2015410607501</v>
      </c>
      <c r="M153">
        <v>54.630852747858498</v>
      </c>
      <c r="N153">
        <v>53.011006252083199</v>
      </c>
      <c r="O153">
        <v>50.566684565130799</v>
      </c>
      <c r="P153">
        <v>-0.14670955690662299</v>
      </c>
      <c r="Q153">
        <v>0.456818656695343</v>
      </c>
      <c r="R153">
        <v>0.80972433343498496</v>
      </c>
      <c r="S153" t="s">
        <v>3782</v>
      </c>
      <c r="T153" t="s">
        <v>7256</v>
      </c>
      <c r="U153" t="s">
        <v>7256</v>
      </c>
      <c r="V153" t="s">
        <v>7256</v>
      </c>
      <c r="W153">
        <v>3</v>
      </c>
      <c r="X153" t="s">
        <v>7409</v>
      </c>
      <c r="Y153">
        <v>0.65038124804644248</v>
      </c>
      <c r="Z153" t="str">
        <f>HYPERLINK("Melting_Curves/meltCurve_sp_O43716_GATC_HUMAN_.pdf", "Melting_Curves/meltCurve_sp_O43716_GATC_HUMAN_.pdf")</f>
        <v>Melting_Curves/meltCurve_sp_O43716_GATC_HUMAN_.pdf</v>
      </c>
      <c r="AA153" t="s">
        <v>11033</v>
      </c>
      <c r="AB153" t="s">
        <v>14579</v>
      </c>
    </row>
    <row r="154" spans="1:28" x14ac:dyDescent="0.25">
      <c r="A154" t="s">
        <v>158</v>
      </c>
      <c r="B154">
        <v>0.98018197421672304</v>
      </c>
      <c r="C154">
        <v>0.89178727755986398</v>
      </c>
      <c r="D154">
        <v>0.93556627327318598</v>
      </c>
      <c r="E154">
        <v>0.79798382402252699</v>
      </c>
      <c r="F154">
        <v>0.58701598846779701</v>
      </c>
      <c r="G154">
        <v>0.34833499340634599</v>
      </c>
      <c r="H154">
        <v>0.13729516694072799</v>
      </c>
      <c r="I154">
        <v>0.107370426789883</v>
      </c>
      <c r="J154">
        <v>8.6808347802269203E-2</v>
      </c>
      <c r="K154">
        <v>7.4517580897536295E-2</v>
      </c>
      <c r="L154">
        <v>824.44026230312704</v>
      </c>
      <c r="M154">
        <v>15.252508021235</v>
      </c>
      <c r="N154">
        <v>54.268512694254198</v>
      </c>
      <c r="O154">
        <v>53.149168467326596</v>
      </c>
      <c r="P154">
        <v>-6.9639958228968499E-2</v>
      </c>
      <c r="Q154">
        <v>2.94171956650244E-2</v>
      </c>
      <c r="R154">
        <v>0.99200428288402898</v>
      </c>
      <c r="S154" t="s">
        <v>3783</v>
      </c>
      <c r="T154" t="s">
        <v>7256</v>
      </c>
      <c r="U154" t="s">
        <v>7256</v>
      </c>
      <c r="V154" t="s">
        <v>7256</v>
      </c>
      <c r="W154">
        <v>4</v>
      </c>
      <c r="X154" t="s">
        <v>7410</v>
      </c>
      <c r="Y154">
        <v>0.50351228388022407</v>
      </c>
      <c r="Z154" t="str">
        <f>HYPERLINK("Melting_Curves/meltCurve_sp_O43719_HTSF1_HUMAN_.pdf", "Melting_Curves/meltCurve_sp_O43719_HTSF1_HUMAN_.pdf")</f>
        <v>Melting_Curves/meltCurve_sp_O43719_HTSF1_HUMAN_.pdf</v>
      </c>
      <c r="AA154" t="s">
        <v>11034</v>
      </c>
      <c r="AB154" t="s">
        <v>14580</v>
      </c>
    </row>
    <row r="155" spans="1:28" x14ac:dyDescent="0.25">
      <c r="A155" t="s">
        <v>159</v>
      </c>
      <c r="B155">
        <v>0.98018197421672304</v>
      </c>
      <c r="C155">
        <v>0.96818575829524101</v>
      </c>
      <c r="D155">
        <v>0.97314054119638504</v>
      </c>
      <c r="E155">
        <v>0.78270606910448903</v>
      </c>
      <c r="F155">
        <v>0.49469969394075203</v>
      </c>
      <c r="G155">
        <v>0.23856533347665501</v>
      </c>
      <c r="H155">
        <v>0.15200514609341201</v>
      </c>
      <c r="I155">
        <v>0.106315614801843</v>
      </c>
      <c r="J155">
        <v>0.141318523188596</v>
      </c>
      <c r="K155">
        <v>0.124056031777493</v>
      </c>
      <c r="L155">
        <v>1225.4225173643499</v>
      </c>
      <c r="M155">
        <v>23.402248091145999</v>
      </c>
      <c r="N155">
        <v>52.978938194668103</v>
      </c>
      <c r="O155">
        <v>51.985595542726003</v>
      </c>
      <c r="P155">
        <v>-9.9148090050398402E-2</v>
      </c>
      <c r="Q155">
        <v>0.11902781005039401</v>
      </c>
      <c r="R155">
        <v>0.99846720780548204</v>
      </c>
      <c r="S155" t="s">
        <v>3784</v>
      </c>
      <c r="T155" t="s">
        <v>7256</v>
      </c>
      <c r="U155" t="s">
        <v>7256</v>
      </c>
      <c r="V155" t="s">
        <v>7256</v>
      </c>
      <c r="W155">
        <v>4</v>
      </c>
      <c r="X155" t="s">
        <v>7411</v>
      </c>
      <c r="Y155">
        <v>0.4912330850965958</v>
      </c>
      <c r="Z155" t="str">
        <f>HYPERLINK("Melting_Curves/meltCurve_sp_O43741_AAKB2_HUMAN_.pdf", "Melting_Curves/meltCurve_sp_O43741_AAKB2_HUMAN_.pdf")</f>
        <v>Melting_Curves/meltCurve_sp_O43741_AAKB2_HUMAN_.pdf</v>
      </c>
      <c r="AA155" t="s">
        <v>11035</v>
      </c>
      <c r="AB155" t="s">
        <v>14581</v>
      </c>
    </row>
    <row r="156" spans="1:28" x14ac:dyDescent="0.25">
      <c r="A156" t="s">
        <v>160</v>
      </c>
      <c r="B156">
        <v>0.98018197421672304</v>
      </c>
      <c r="C156">
        <v>0.92904058506347797</v>
      </c>
      <c r="D156">
        <v>0.89990582836468203</v>
      </c>
      <c r="E156">
        <v>0.76807713308291103</v>
      </c>
      <c r="F156">
        <v>0.436153924126925</v>
      </c>
      <c r="G156">
        <v>0.167483222794966</v>
      </c>
      <c r="H156">
        <v>7.1380042071039096E-2</v>
      </c>
      <c r="I156">
        <v>3.9468512116880503E-2</v>
      </c>
      <c r="J156">
        <v>4.2082276178784898E-2</v>
      </c>
      <c r="K156">
        <v>2.9713860227151501E-2</v>
      </c>
      <c r="L156">
        <v>1074.7904490598901</v>
      </c>
      <c r="M156">
        <v>20.529432853136601</v>
      </c>
      <c r="N156">
        <v>52.465099323570101</v>
      </c>
      <c r="O156">
        <v>51.864473330474802</v>
      </c>
      <c r="P156">
        <v>-9.6848361835961697E-2</v>
      </c>
      <c r="Q156">
        <v>2.1338413855952799E-2</v>
      </c>
      <c r="R156">
        <v>0.994896330022777</v>
      </c>
      <c r="S156" t="s">
        <v>3785</v>
      </c>
      <c r="T156" t="s">
        <v>7256</v>
      </c>
      <c r="U156" t="s">
        <v>7256</v>
      </c>
      <c r="V156" t="s">
        <v>7256</v>
      </c>
      <c r="W156">
        <v>14</v>
      </c>
      <c r="X156" t="s">
        <v>7412</v>
      </c>
      <c r="Y156">
        <v>0.43724781549764979</v>
      </c>
      <c r="Z156" t="str">
        <f>HYPERLINK("Melting_Curves/meltCurve_sp_O43747_AP1G1_HUMAN_.pdf", "Melting_Curves/meltCurve_sp_O43747_AP1G1_HUMAN_.pdf")</f>
        <v>Melting_Curves/meltCurve_sp_O43747_AP1G1_HUMAN_.pdf</v>
      </c>
      <c r="AA156" t="s">
        <v>11036</v>
      </c>
      <c r="AB156" t="s">
        <v>14582</v>
      </c>
    </row>
    <row r="157" spans="1:28" x14ac:dyDescent="0.25">
      <c r="A157" t="s">
        <v>161</v>
      </c>
      <c r="B157">
        <v>0.98018197421672304</v>
      </c>
      <c r="C157">
        <v>0.97499174027302005</v>
      </c>
      <c r="D157">
        <v>0.93582848394575402</v>
      </c>
      <c r="E157">
        <v>0.82363790759712696</v>
      </c>
      <c r="F157">
        <v>0.66231070124963298</v>
      </c>
      <c r="G157">
        <v>0.40395689705674098</v>
      </c>
      <c r="H157">
        <v>0.25499649438872901</v>
      </c>
      <c r="I157">
        <v>0.25515885602910898</v>
      </c>
      <c r="J157">
        <v>0.217668392331786</v>
      </c>
      <c r="K157">
        <v>0.24448230086209999</v>
      </c>
      <c r="L157">
        <v>972.19058449986699</v>
      </c>
      <c r="M157">
        <v>18.1513783618019</v>
      </c>
      <c r="N157">
        <v>55.193956979475402</v>
      </c>
      <c r="O157">
        <v>52.922756894433398</v>
      </c>
      <c r="P157">
        <v>-6.7926862249075307E-2</v>
      </c>
      <c r="Q157">
        <v>0.207838624082575</v>
      </c>
      <c r="R157">
        <v>0.99645942159343304</v>
      </c>
      <c r="S157" t="s">
        <v>3786</v>
      </c>
      <c r="T157" t="s">
        <v>7256</v>
      </c>
      <c r="U157" t="s">
        <v>7256</v>
      </c>
      <c r="V157" t="s">
        <v>7256</v>
      </c>
      <c r="W157">
        <v>8</v>
      </c>
      <c r="X157" t="s">
        <v>7413</v>
      </c>
      <c r="Y157">
        <v>0.57855277557592477</v>
      </c>
      <c r="Z157" t="str">
        <f>HYPERLINK("Melting_Curves/meltCurve_sp_O43765_SGTA_HUMAN_.pdf", "Melting_Curves/meltCurve_sp_O43765_SGTA_HUMAN_.pdf")</f>
        <v>Melting_Curves/meltCurve_sp_O43765_SGTA_HUMAN_.pdf</v>
      </c>
      <c r="AA157" t="s">
        <v>11037</v>
      </c>
      <c r="AB157" t="s">
        <v>14583</v>
      </c>
    </row>
    <row r="158" spans="1:28" x14ac:dyDescent="0.25">
      <c r="A158" t="s">
        <v>162</v>
      </c>
      <c r="B158">
        <v>0.98018197421672304</v>
      </c>
      <c r="C158">
        <v>0.86648747366084</v>
      </c>
      <c r="D158">
        <v>0.66189299945088298</v>
      </c>
      <c r="E158">
        <v>0.45046254385960299</v>
      </c>
      <c r="F158">
        <v>0.30204126025392097</v>
      </c>
      <c r="G158">
        <v>0.22373558266183899</v>
      </c>
      <c r="H158">
        <v>0.152452329254261</v>
      </c>
      <c r="I158">
        <v>0.105995032738356</v>
      </c>
      <c r="J158">
        <v>0.120755379468725</v>
      </c>
      <c r="K158">
        <v>6.2546341952552695E-2</v>
      </c>
      <c r="L158">
        <v>621.19532651184397</v>
      </c>
      <c r="M158">
        <v>12.819913063389601</v>
      </c>
      <c r="N158">
        <v>49.106578158870001</v>
      </c>
      <c r="O158">
        <v>47.321869450902</v>
      </c>
      <c r="P158">
        <v>-6.2445564228732597E-2</v>
      </c>
      <c r="Q158">
        <v>7.8155717487880097E-2</v>
      </c>
      <c r="R158">
        <v>0.99508252345227699</v>
      </c>
      <c r="S158" t="s">
        <v>3787</v>
      </c>
      <c r="T158" t="s">
        <v>7256</v>
      </c>
      <c r="U158" t="s">
        <v>7256</v>
      </c>
      <c r="V158" t="s">
        <v>7256</v>
      </c>
      <c r="W158">
        <v>3</v>
      </c>
      <c r="X158" t="s">
        <v>7414</v>
      </c>
      <c r="Y158">
        <v>0.36915496329290493</v>
      </c>
      <c r="Z158" t="str">
        <f>HYPERLINK("Melting_Curves/meltCurve_sp_O43766_2_LIAS_HUMAN_.pdf", "Melting_Curves/meltCurve_sp_O43766_2_LIAS_HUMAN_.pdf")</f>
        <v>Melting_Curves/meltCurve_sp_O43766_2_LIAS_HUMAN_.pdf</v>
      </c>
      <c r="AA158" t="s">
        <v>11038</v>
      </c>
      <c r="AB158" t="s">
        <v>14584</v>
      </c>
    </row>
    <row r="159" spans="1:28" x14ac:dyDescent="0.25">
      <c r="A159" t="s">
        <v>163</v>
      </c>
      <c r="B159">
        <v>0.98018197421672304</v>
      </c>
      <c r="C159">
        <v>1.0300494363102399</v>
      </c>
      <c r="D159">
        <v>0.89130568112797004</v>
      </c>
      <c r="E159">
        <v>0.78873059656937305</v>
      </c>
      <c r="F159">
        <v>0.77261181773380305</v>
      </c>
      <c r="G159">
        <v>0.62289017125253299</v>
      </c>
      <c r="H159">
        <v>0.48447673902255001</v>
      </c>
      <c r="I159">
        <v>0.58208724156039504</v>
      </c>
      <c r="J159">
        <v>0.50537687020714495</v>
      </c>
      <c r="K159">
        <v>0.83644967756537103</v>
      </c>
      <c r="L159">
        <v>928.50798016097997</v>
      </c>
      <c r="M159">
        <v>18.5774025976018</v>
      </c>
      <c r="O159">
        <v>49.412171578899503</v>
      </c>
      <c r="P159">
        <v>-3.7329497600601801E-2</v>
      </c>
      <c r="Q159">
        <v>0.60286135497086402</v>
      </c>
      <c r="R159">
        <v>0.72799529427010301</v>
      </c>
      <c r="S159" t="s">
        <v>3788</v>
      </c>
      <c r="T159" t="s">
        <v>7256</v>
      </c>
      <c r="U159" t="s">
        <v>7256</v>
      </c>
      <c r="V159" t="s">
        <v>7256</v>
      </c>
      <c r="W159">
        <v>7</v>
      </c>
      <c r="X159" t="s">
        <v>7415</v>
      </c>
      <c r="Y159">
        <v>0.74136085378117111</v>
      </c>
      <c r="Z159" t="str">
        <f>HYPERLINK("Melting_Curves/meltCurve_sp_O43768_2_ENSA_HUMAN_.pdf", "Melting_Curves/meltCurve_sp_O43768_2_ENSA_HUMAN_.pdf")</f>
        <v>Melting_Curves/meltCurve_sp_O43768_2_ENSA_HUMAN_.pdf</v>
      </c>
      <c r="AA159" t="s">
        <v>11039</v>
      </c>
      <c r="AB159" t="s">
        <v>14585</v>
      </c>
    </row>
    <row r="160" spans="1:28" x14ac:dyDescent="0.25">
      <c r="A160" t="s">
        <v>164</v>
      </c>
      <c r="B160">
        <v>0.98018197421672304</v>
      </c>
      <c r="C160">
        <v>0.92739044901939904</v>
      </c>
      <c r="D160">
        <v>0.84710176334995502</v>
      </c>
      <c r="E160">
        <v>0.46309381365955399</v>
      </c>
      <c r="F160">
        <v>0.13436972375778899</v>
      </c>
      <c r="G160">
        <v>9.2775384510259004E-2</v>
      </c>
      <c r="H160">
        <v>5.6266655098943297E-2</v>
      </c>
      <c r="I160">
        <v>4.33861370973736E-2</v>
      </c>
      <c r="J160">
        <v>4.3892878059339203E-2</v>
      </c>
      <c r="K160">
        <v>2.703191342867E-2</v>
      </c>
      <c r="L160">
        <v>1186.1610997636999</v>
      </c>
      <c r="M160">
        <v>24.087751387819601</v>
      </c>
      <c r="N160">
        <v>49.401809444019598</v>
      </c>
      <c r="O160">
        <v>48.9076995345782</v>
      </c>
      <c r="P160">
        <v>-0.118552406907471</v>
      </c>
      <c r="Q160">
        <v>3.7181172279363503E-2</v>
      </c>
      <c r="R160">
        <v>0.99553423590789902</v>
      </c>
      <c r="S160" t="s">
        <v>3789</v>
      </c>
      <c r="T160" t="s">
        <v>7256</v>
      </c>
      <c r="U160" t="s">
        <v>7256</v>
      </c>
      <c r="V160" t="s">
        <v>7256</v>
      </c>
      <c r="W160">
        <v>13</v>
      </c>
      <c r="X160" t="s">
        <v>7416</v>
      </c>
      <c r="Y160">
        <v>0.3430584796746553</v>
      </c>
      <c r="Z160" t="str">
        <f>HYPERLINK("Melting_Curves/meltCurve_sp_O43776_SYNC_HUMAN_.pdf", "Melting_Curves/meltCurve_sp_O43776_SYNC_HUMAN_.pdf")</f>
        <v>Melting_Curves/meltCurve_sp_O43776_SYNC_HUMAN_.pdf</v>
      </c>
      <c r="AA160" t="s">
        <v>11040</v>
      </c>
      <c r="AB160" t="s">
        <v>14586</v>
      </c>
    </row>
    <row r="161" spans="1:28" x14ac:dyDescent="0.25">
      <c r="A161" t="s">
        <v>165</v>
      </c>
      <c r="B161">
        <v>0.98018197421672304</v>
      </c>
      <c r="C161">
        <v>0.42104709785787398</v>
      </c>
      <c r="D161">
        <v>0.55928855725960802</v>
      </c>
      <c r="E161">
        <v>0.27494771313288202</v>
      </c>
      <c r="F161">
        <v>0.221748622103596</v>
      </c>
      <c r="G161">
        <v>0.13406687989135199</v>
      </c>
      <c r="H161">
        <v>0.103556323230173</v>
      </c>
      <c r="I161">
        <v>7.5515489372251804E-2</v>
      </c>
      <c r="J161">
        <v>0.107013467204135</v>
      </c>
      <c r="K161">
        <v>0.103566824625568</v>
      </c>
      <c r="L161">
        <v>546.963885429637</v>
      </c>
      <c r="M161">
        <v>12.2873290126012</v>
      </c>
      <c r="N161">
        <v>45.194224832358401</v>
      </c>
      <c r="O161">
        <v>43.384683671658301</v>
      </c>
      <c r="P161">
        <v>-6.48450595649704E-2</v>
      </c>
      <c r="Q161">
        <v>8.4369634762930204E-2</v>
      </c>
      <c r="R161">
        <v>0.87809757003860001</v>
      </c>
      <c r="S161" t="s">
        <v>3790</v>
      </c>
      <c r="T161" t="s">
        <v>7256</v>
      </c>
      <c r="U161" t="s">
        <v>7256</v>
      </c>
      <c r="V161" t="s">
        <v>7256</v>
      </c>
      <c r="W161">
        <v>5</v>
      </c>
      <c r="X161" t="s">
        <v>7417</v>
      </c>
      <c r="Y161">
        <v>0.26819687255022567</v>
      </c>
      <c r="Z161" t="str">
        <f>HYPERLINK("Melting_Curves/meltCurve_sp_O43795_2_MYO1B_HUMAN_.pdf", "Melting_Curves/meltCurve_sp_O43795_2_MYO1B_HUMAN_.pdf")</f>
        <v>Melting_Curves/meltCurve_sp_O43795_2_MYO1B_HUMAN_.pdf</v>
      </c>
      <c r="AA161" t="s">
        <v>11041</v>
      </c>
      <c r="AB161" t="s">
        <v>14587</v>
      </c>
    </row>
    <row r="162" spans="1:28" x14ac:dyDescent="0.25">
      <c r="A162" t="s">
        <v>166</v>
      </c>
      <c r="B162">
        <v>0.98018197421672304</v>
      </c>
      <c r="C162">
        <v>0.96058971280870198</v>
      </c>
      <c r="D162">
        <v>0.83198993102846697</v>
      </c>
      <c r="E162">
        <v>0.699060309656932</v>
      </c>
      <c r="F162">
        <v>0.47027220073972198</v>
      </c>
      <c r="G162">
        <v>0.27975840423554998</v>
      </c>
      <c r="H162">
        <v>0.30642435539638302</v>
      </c>
      <c r="I162">
        <v>0.28222291714588499</v>
      </c>
      <c r="J162">
        <v>0.28739976113819599</v>
      </c>
      <c r="K162">
        <v>0.40937804561419799</v>
      </c>
      <c r="L162">
        <v>972.50645088956003</v>
      </c>
      <c r="M162">
        <v>19.489162417992901</v>
      </c>
      <c r="N162">
        <v>52.357090648710198</v>
      </c>
      <c r="O162">
        <v>49.383410003131601</v>
      </c>
      <c r="P162">
        <v>-6.9098297133179498E-2</v>
      </c>
      <c r="Q162">
        <v>0.299675234651267</v>
      </c>
      <c r="R162">
        <v>0.96675676882279704</v>
      </c>
      <c r="S162" t="s">
        <v>3791</v>
      </c>
      <c r="T162" t="s">
        <v>7256</v>
      </c>
      <c r="U162" t="s">
        <v>7256</v>
      </c>
      <c r="V162" t="s">
        <v>7256</v>
      </c>
      <c r="W162">
        <v>1</v>
      </c>
      <c r="X162" t="s">
        <v>7418</v>
      </c>
      <c r="Y162">
        <v>0.54103808170709677</v>
      </c>
      <c r="Z162" t="str">
        <f>HYPERLINK("Melting_Curves/meltCurve_sp_O43805_SSNA1_HUMAN_.pdf", "Melting_Curves/meltCurve_sp_O43805_SSNA1_HUMAN_.pdf")</f>
        <v>Melting_Curves/meltCurve_sp_O43805_SSNA1_HUMAN_.pdf</v>
      </c>
      <c r="AA162" t="s">
        <v>11042</v>
      </c>
      <c r="AB162" t="s">
        <v>14588</v>
      </c>
    </row>
    <row r="163" spans="1:28" x14ac:dyDescent="0.25">
      <c r="A163" t="s">
        <v>167</v>
      </c>
      <c r="B163">
        <v>0.98018197421672304</v>
      </c>
      <c r="C163">
        <v>0.94782671232066795</v>
      </c>
      <c r="D163">
        <v>0.979206814282779</v>
      </c>
      <c r="E163">
        <v>0.86204802522580903</v>
      </c>
      <c r="F163">
        <v>0.68327904622112501</v>
      </c>
      <c r="G163">
        <v>0.22816908899309701</v>
      </c>
      <c r="H163">
        <v>8.9657351100049798E-2</v>
      </c>
      <c r="I163">
        <v>6.01019234207655E-2</v>
      </c>
      <c r="J163">
        <v>6.7061713957445798E-2</v>
      </c>
      <c r="K163">
        <v>4.0004510921020801E-2</v>
      </c>
      <c r="L163">
        <v>1399.7768465829899</v>
      </c>
      <c r="M163">
        <v>25.850893056543899</v>
      </c>
      <c r="N163">
        <v>54.336173305747998</v>
      </c>
      <c r="O163">
        <v>53.827171527436199</v>
      </c>
      <c r="P163">
        <v>-0.114927895620397</v>
      </c>
      <c r="Q163">
        <v>4.2791608206617399E-2</v>
      </c>
      <c r="R163">
        <v>0.99621090065300999</v>
      </c>
      <c r="S163" t="s">
        <v>3792</v>
      </c>
      <c r="T163" t="s">
        <v>7256</v>
      </c>
      <c r="U163" t="s">
        <v>7256</v>
      </c>
      <c r="V163" t="s">
        <v>7256</v>
      </c>
      <c r="W163">
        <v>6</v>
      </c>
      <c r="X163" t="s">
        <v>7419</v>
      </c>
      <c r="Y163">
        <v>0.50255038053700418</v>
      </c>
      <c r="Z163" t="str">
        <f>HYPERLINK("Melting_Curves/meltCurve_sp_O43809_CPSF5_HUMAN_.pdf", "Melting_Curves/meltCurve_sp_O43809_CPSF5_HUMAN_.pdf")</f>
        <v>Melting_Curves/meltCurve_sp_O43809_CPSF5_HUMAN_.pdf</v>
      </c>
      <c r="AA163" t="s">
        <v>11043</v>
      </c>
      <c r="AB163" t="s">
        <v>14589</v>
      </c>
    </row>
    <row r="164" spans="1:28" x14ac:dyDescent="0.25">
      <c r="A164" t="s">
        <v>168</v>
      </c>
      <c r="B164">
        <v>0.98018197421672304</v>
      </c>
      <c r="C164">
        <v>1.08470796208947</v>
      </c>
      <c r="D164">
        <v>0.91209218944725101</v>
      </c>
      <c r="E164">
        <v>0.59531008114696604</v>
      </c>
      <c r="F164">
        <v>0.48910536635844898</v>
      </c>
      <c r="G164">
        <v>0.25335331411286599</v>
      </c>
      <c r="H164">
        <v>0.14767904536776599</v>
      </c>
      <c r="I164">
        <v>8.8676850144452798E-2</v>
      </c>
      <c r="J164">
        <v>0.224337342460219</v>
      </c>
      <c r="K164">
        <v>5.1375262737660403E-2</v>
      </c>
      <c r="L164">
        <v>898.17310617588703</v>
      </c>
      <c r="M164">
        <v>17.459436420362501</v>
      </c>
      <c r="N164">
        <v>52.154967846838197</v>
      </c>
      <c r="O164">
        <v>50.782780256827898</v>
      </c>
      <c r="P164">
        <v>-7.6847153057942194E-2</v>
      </c>
      <c r="Q164">
        <v>0.105974586877604</v>
      </c>
      <c r="R164">
        <v>0.97340950483057198</v>
      </c>
      <c r="S164" t="s">
        <v>3793</v>
      </c>
      <c r="T164" t="s">
        <v>7256</v>
      </c>
      <c r="U164" t="s">
        <v>7256</v>
      </c>
      <c r="V164" t="s">
        <v>7256</v>
      </c>
      <c r="W164">
        <v>7</v>
      </c>
      <c r="X164" t="s">
        <v>7420</v>
      </c>
      <c r="Y164">
        <v>0.46280342165587107</v>
      </c>
      <c r="Z164" t="str">
        <f>HYPERLINK("Melting_Curves/meltCurve_sp_O43813_LANC1_HUMAN_.pdf", "Melting_Curves/meltCurve_sp_O43813_LANC1_HUMAN_.pdf")</f>
        <v>Melting_Curves/meltCurve_sp_O43813_LANC1_HUMAN_.pdf</v>
      </c>
      <c r="AA164" t="s">
        <v>11044</v>
      </c>
      <c r="AB164" t="s">
        <v>14590</v>
      </c>
    </row>
    <row r="165" spans="1:28" x14ac:dyDescent="0.25">
      <c r="A165" t="s">
        <v>169</v>
      </c>
      <c r="B165">
        <v>0.98018197421672304</v>
      </c>
      <c r="C165">
        <v>0.95603094609428496</v>
      </c>
      <c r="D165">
        <v>0.82515267668055703</v>
      </c>
      <c r="E165">
        <v>0.73048886524216095</v>
      </c>
      <c r="F165">
        <v>0.47142168561737502</v>
      </c>
      <c r="G165">
        <v>0.23800682620063801</v>
      </c>
      <c r="H165">
        <v>0.13467694524405899</v>
      </c>
      <c r="I165">
        <v>0.114644162594892</v>
      </c>
      <c r="J165">
        <v>0.19164941580606901</v>
      </c>
      <c r="K165">
        <v>0.12404077389092601</v>
      </c>
      <c r="L165">
        <v>850.29085174728903</v>
      </c>
      <c r="M165">
        <v>16.441517827053801</v>
      </c>
      <c r="N165">
        <v>52.474084849070501</v>
      </c>
      <c r="O165">
        <v>50.969179464594703</v>
      </c>
      <c r="P165">
        <v>-7.21252356897219E-2</v>
      </c>
      <c r="Q165">
        <v>0.10570169044861399</v>
      </c>
      <c r="R165">
        <v>0.98646755674231101</v>
      </c>
      <c r="S165" t="s">
        <v>3794</v>
      </c>
      <c r="T165" t="s">
        <v>7256</v>
      </c>
      <c r="U165" t="s">
        <v>7256</v>
      </c>
      <c r="V165" t="s">
        <v>7256</v>
      </c>
      <c r="W165">
        <v>3</v>
      </c>
      <c r="X165" t="s">
        <v>7421</v>
      </c>
      <c r="Y165">
        <v>0.47237348802904372</v>
      </c>
      <c r="Z165" t="str">
        <f>HYPERLINK("Melting_Curves/meltCurve_sp_O43815_2_STRN_HUMAN_.pdf", "Melting_Curves/meltCurve_sp_O43815_2_STRN_HUMAN_.pdf")</f>
        <v>Melting_Curves/meltCurve_sp_O43815_2_STRN_HUMAN_.pdf</v>
      </c>
      <c r="AA165" t="s">
        <v>11045</v>
      </c>
      <c r="AB165" t="s">
        <v>14591</v>
      </c>
    </row>
    <row r="166" spans="1:28" x14ac:dyDescent="0.25">
      <c r="A166" t="s">
        <v>170</v>
      </c>
      <c r="B166">
        <v>0.98018197421672304</v>
      </c>
      <c r="C166">
        <v>0.99041230338880604</v>
      </c>
      <c r="D166">
        <v>0.92773410167591697</v>
      </c>
      <c r="E166">
        <v>0.82903418416230801</v>
      </c>
      <c r="F166">
        <v>0.90200159034177896</v>
      </c>
      <c r="G166">
        <v>0.74111355871729601</v>
      </c>
      <c r="H166">
        <v>0.50804295055858995</v>
      </c>
      <c r="I166">
        <v>0.57728728608666002</v>
      </c>
      <c r="J166">
        <v>0.51402700530220702</v>
      </c>
      <c r="K166">
        <v>0.64104948701043996</v>
      </c>
      <c r="L166">
        <v>789.33993578090099</v>
      </c>
      <c r="M166">
        <v>14.433680915476399</v>
      </c>
      <c r="O166">
        <v>53.669762641045203</v>
      </c>
      <c r="P166">
        <v>-3.1699102082457901E-2</v>
      </c>
      <c r="Q166">
        <v>0.52857944063539397</v>
      </c>
      <c r="R166">
        <v>0.88063962797523498</v>
      </c>
      <c r="S166" t="s">
        <v>3795</v>
      </c>
      <c r="T166" t="s">
        <v>7256</v>
      </c>
      <c r="U166" t="s">
        <v>7256</v>
      </c>
      <c r="V166" t="s">
        <v>7256</v>
      </c>
      <c r="W166">
        <v>1</v>
      </c>
      <c r="X166" t="s">
        <v>7422</v>
      </c>
      <c r="Y166">
        <v>0.76906134717262797</v>
      </c>
      <c r="Z166" t="str">
        <f>HYPERLINK("Melting_Curves/meltCurve_sp_O43820_4_HYAL3_HUMAN_.pdf", "Melting_Curves/meltCurve_sp_O43820_4_HYAL3_HUMAN_.pdf")</f>
        <v>Melting_Curves/meltCurve_sp_O43820_4_HYAL3_HUMAN_.pdf</v>
      </c>
      <c r="AA166" t="s">
        <v>11046</v>
      </c>
      <c r="AB166" t="s">
        <v>14592</v>
      </c>
    </row>
    <row r="167" spans="1:28" x14ac:dyDescent="0.25">
      <c r="A167" t="s">
        <v>171</v>
      </c>
      <c r="B167">
        <v>0.98018197421672304</v>
      </c>
      <c r="C167">
        <v>0.84908699093106299</v>
      </c>
      <c r="D167">
        <v>0.66411816704809301</v>
      </c>
      <c r="E167">
        <v>0.47118741713843798</v>
      </c>
      <c r="F167">
        <v>0.287527928994042</v>
      </c>
      <c r="G167">
        <v>0.135049925851567</v>
      </c>
      <c r="H167">
        <v>5.5330405661200698E-2</v>
      </c>
      <c r="I167">
        <v>3.7433237477403097E-2</v>
      </c>
      <c r="J167">
        <v>4.4485861693085403E-2</v>
      </c>
      <c r="K167">
        <v>2.4151627128209799E-2</v>
      </c>
      <c r="L167">
        <v>620.29259244489901</v>
      </c>
      <c r="M167">
        <v>12.650270497103801</v>
      </c>
      <c r="N167">
        <v>49.033939041207702</v>
      </c>
      <c r="O167">
        <v>47.857042021537801</v>
      </c>
      <c r="P167">
        <v>-6.6096621944437703E-2</v>
      </c>
      <c r="Q167">
        <v>0</v>
      </c>
      <c r="R167">
        <v>0.996346917569368</v>
      </c>
      <c r="S167" t="s">
        <v>3796</v>
      </c>
      <c r="T167" t="s">
        <v>7256</v>
      </c>
      <c r="U167" t="s">
        <v>7256</v>
      </c>
      <c r="V167" t="s">
        <v>7256</v>
      </c>
      <c r="W167">
        <v>7</v>
      </c>
      <c r="X167" t="s">
        <v>7423</v>
      </c>
      <c r="Y167">
        <v>0.33465170760744151</v>
      </c>
      <c r="Z167" t="str">
        <f>HYPERLINK("Melting_Curves/meltCurve_sp_O43837_IDH3B_HUMAN_.pdf", "Melting_Curves/meltCurve_sp_O43837_IDH3B_HUMAN_.pdf")</f>
        <v>Melting_Curves/meltCurve_sp_O43837_IDH3B_HUMAN_.pdf</v>
      </c>
      <c r="AA167" t="s">
        <v>11047</v>
      </c>
      <c r="AB167" t="s">
        <v>14593</v>
      </c>
    </row>
    <row r="168" spans="1:28" x14ac:dyDescent="0.25">
      <c r="A168" t="s">
        <v>172</v>
      </c>
      <c r="B168">
        <v>0.98018197421672304</v>
      </c>
      <c r="C168">
        <v>0.96458806226390703</v>
      </c>
      <c r="D168">
        <v>0.92374290846088603</v>
      </c>
      <c r="E168">
        <v>0.72717358051326098</v>
      </c>
      <c r="F168">
        <v>0.427331374718601</v>
      </c>
      <c r="G168">
        <v>0.13879802360326299</v>
      </c>
      <c r="H168">
        <v>8.4258483287012798E-2</v>
      </c>
      <c r="I168">
        <v>4.5031287899192002E-2</v>
      </c>
      <c r="J168">
        <v>0.10330226886624801</v>
      </c>
      <c r="K168">
        <v>4.4413562107588303E-2</v>
      </c>
      <c r="L168">
        <v>1179.11913086347</v>
      </c>
      <c r="M168">
        <v>22.717339084512499</v>
      </c>
      <c r="N168">
        <v>52.159802279177697</v>
      </c>
      <c r="O168">
        <v>51.506753936271203</v>
      </c>
      <c r="P168">
        <v>-0.10445193344800401</v>
      </c>
      <c r="Q168">
        <v>5.27281106183752E-2</v>
      </c>
      <c r="R168">
        <v>0.99662338242530302</v>
      </c>
      <c r="S168" t="s">
        <v>3797</v>
      </c>
      <c r="T168" t="s">
        <v>7256</v>
      </c>
      <c r="U168" t="s">
        <v>7256</v>
      </c>
      <c r="V168" t="s">
        <v>7256</v>
      </c>
      <c r="W168">
        <v>10</v>
      </c>
      <c r="X168" t="s">
        <v>7424</v>
      </c>
      <c r="Y168">
        <v>0.43897317123580432</v>
      </c>
      <c r="Z168" t="str">
        <f>HYPERLINK("Melting_Curves/meltCurve_sp_O43847_NRDC_HUMAN_.pdf", "Melting_Curves/meltCurve_sp_O43847_NRDC_HUMAN_.pdf")</f>
        <v>Melting_Curves/meltCurve_sp_O43847_NRDC_HUMAN_.pdf</v>
      </c>
      <c r="AA168" t="s">
        <v>11048</v>
      </c>
      <c r="AB168" t="s">
        <v>14594</v>
      </c>
    </row>
    <row r="169" spans="1:28" x14ac:dyDescent="0.25">
      <c r="A169" t="s">
        <v>173</v>
      </c>
      <c r="B169">
        <v>0.98018197421672304</v>
      </c>
      <c r="C169">
        <v>0.92663806892108103</v>
      </c>
      <c r="D169">
        <v>0.86347023550631397</v>
      </c>
      <c r="E169">
        <v>0.77842195754421895</v>
      </c>
      <c r="F169">
        <v>0.761180104550641</v>
      </c>
      <c r="G169">
        <v>0.55769344505422802</v>
      </c>
      <c r="H169">
        <v>0.52080131612426095</v>
      </c>
      <c r="I169">
        <v>0.563309665771766</v>
      </c>
      <c r="J169">
        <v>0.701677873974212</v>
      </c>
      <c r="K169">
        <v>0.72988390759613397</v>
      </c>
      <c r="L169">
        <v>746.95639817600204</v>
      </c>
      <c r="M169">
        <v>15.4977054899257</v>
      </c>
      <c r="O169">
        <v>47.416784956451401</v>
      </c>
      <c r="P169">
        <v>-3.1313452379689702E-2</v>
      </c>
      <c r="Q169">
        <v>0.61680764813453504</v>
      </c>
      <c r="R169">
        <v>0.78199532583449805</v>
      </c>
      <c r="S169" t="s">
        <v>3798</v>
      </c>
      <c r="T169" t="s">
        <v>7256</v>
      </c>
      <c r="U169" t="s">
        <v>7256</v>
      </c>
      <c r="V169" t="s">
        <v>7256</v>
      </c>
      <c r="W169">
        <v>7</v>
      </c>
      <c r="X169" t="s">
        <v>7425</v>
      </c>
      <c r="Y169">
        <v>0.73068175097415888</v>
      </c>
      <c r="Z169" t="str">
        <f>HYPERLINK("Melting_Curves/meltCurve_sp_O43852_CALU_HUMAN_.pdf", "Melting_Curves/meltCurve_sp_O43852_CALU_HUMAN_.pdf")</f>
        <v>Melting_Curves/meltCurve_sp_O43852_CALU_HUMAN_.pdf</v>
      </c>
      <c r="AA169" t="s">
        <v>11049</v>
      </c>
      <c r="AB169" t="s">
        <v>14595</v>
      </c>
    </row>
    <row r="170" spans="1:28" x14ac:dyDescent="0.25">
      <c r="A170" t="s">
        <v>174</v>
      </c>
      <c r="B170">
        <v>0.98018197421672304</v>
      </c>
      <c r="C170">
        <v>0.93888173606980796</v>
      </c>
      <c r="D170">
        <v>0.747900584112421</v>
      </c>
      <c r="E170">
        <v>0.37947477372751498</v>
      </c>
      <c r="F170">
        <v>0.260634153375843</v>
      </c>
      <c r="G170">
        <v>0.12887415278474701</v>
      </c>
      <c r="H170">
        <v>6.2205961386498698E-2</v>
      </c>
      <c r="I170">
        <v>5.1652355035243E-2</v>
      </c>
      <c r="J170">
        <v>4.6726181726229297E-2</v>
      </c>
      <c r="K170">
        <v>4.4664383880812002E-2</v>
      </c>
      <c r="L170">
        <v>850.33200721496598</v>
      </c>
      <c r="M170">
        <v>17.470416574570599</v>
      </c>
      <c r="N170">
        <v>48.927967717520303</v>
      </c>
      <c r="O170">
        <v>48.048392480416801</v>
      </c>
      <c r="P170">
        <v>-8.6945203407726698E-2</v>
      </c>
      <c r="Q170">
        <v>4.3561350776049799E-2</v>
      </c>
      <c r="R170">
        <v>0.99769368150808502</v>
      </c>
      <c r="S170" t="s">
        <v>3799</v>
      </c>
      <c r="T170" t="s">
        <v>7256</v>
      </c>
      <c r="U170" t="s">
        <v>7256</v>
      </c>
      <c r="V170" t="s">
        <v>7256</v>
      </c>
      <c r="W170">
        <v>10</v>
      </c>
      <c r="X170" t="s">
        <v>7426</v>
      </c>
      <c r="Y170">
        <v>0.33777052322273032</v>
      </c>
      <c r="Z170" t="str">
        <f>HYPERLINK("Melting_Curves/meltCurve_sp_O43865_SAHH2_HUMAN_.pdf", "Melting_Curves/meltCurve_sp_O43865_SAHH2_HUMAN_.pdf")</f>
        <v>Melting_Curves/meltCurve_sp_O43865_SAHH2_HUMAN_.pdf</v>
      </c>
      <c r="AA170" t="s">
        <v>11050</v>
      </c>
      <c r="AB170" t="s">
        <v>14596</v>
      </c>
    </row>
    <row r="171" spans="1:28" x14ac:dyDescent="0.25">
      <c r="A171" t="s">
        <v>175</v>
      </c>
      <c r="B171">
        <v>0.98018197421672304</v>
      </c>
      <c r="C171">
        <v>0.96918887915769802</v>
      </c>
      <c r="D171">
        <v>0.96478524288836898</v>
      </c>
      <c r="E171">
        <v>0.83067640968717704</v>
      </c>
      <c r="F171">
        <v>0.711252065836257</v>
      </c>
      <c r="G171">
        <v>0.48041856510178699</v>
      </c>
      <c r="H171">
        <v>0.26169629263539401</v>
      </c>
      <c r="I171">
        <v>0.112201859709642</v>
      </c>
      <c r="J171">
        <v>9.1246066208611296E-2</v>
      </c>
      <c r="K171">
        <v>0.11714755559698101</v>
      </c>
      <c r="L171">
        <v>805.08934034798597</v>
      </c>
      <c r="M171">
        <v>14.347420070133801</v>
      </c>
      <c r="N171">
        <v>56.273725895732099</v>
      </c>
      <c r="O171">
        <v>55.057537746106298</v>
      </c>
      <c r="P171">
        <v>-6.3854220757447705E-2</v>
      </c>
      <c r="Q171">
        <v>1.9967915678555399E-2</v>
      </c>
      <c r="R171">
        <v>0.99492970418863602</v>
      </c>
      <c r="S171" t="s">
        <v>3800</v>
      </c>
      <c r="T171" t="s">
        <v>7256</v>
      </c>
      <c r="U171" t="s">
        <v>7256</v>
      </c>
      <c r="V171" t="s">
        <v>7256</v>
      </c>
      <c r="W171">
        <v>4</v>
      </c>
      <c r="X171" t="s">
        <v>7427</v>
      </c>
      <c r="Y171">
        <v>0.56416879632136074</v>
      </c>
      <c r="Z171" t="str">
        <f>HYPERLINK("Melting_Curves/meltCurve_sp_O43903_GAS2_HUMAN_.pdf", "Melting_Curves/meltCurve_sp_O43903_GAS2_HUMAN_.pdf")</f>
        <v>Melting_Curves/meltCurve_sp_O43903_GAS2_HUMAN_.pdf</v>
      </c>
      <c r="AA171" t="s">
        <v>11051</v>
      </c>
      <c r="AB171" t="s">
        <v>14597</v>
      </c>
    </row>
    <row r="172" spans="1:28" x14ac:dyDescent="0.25">
      <c r="A172" t="s">
        <v>176</v>
      </c>
      <c r="B172">
        <v>0.98018197421672304</v>
      </c>
      <c r="C172">
        <v>1.02050876546451</v>
      </c>
      <c r="D172">
        <v>0.80073509070794802</v>
      </c>
      <c r="E172">
        <v>0.60358426208087601</v>
      </c>
      <c r="F172">
        <v>0.34398808572821898</v>
      </c>
      <c r="G172">
        <v>0.126455391499325</v>
      </c>
      <c r="H172">
        <v>0.103296715087331</v>
      </c>
      <c r="I172">
        <v>9.6823638879988599E-2</v>
      </c>
      <c r="J172">
        <v>0.17126708041369601</v>
      </c>
      <c r="K172">
        <v>0.161814176316667</v>
      </c>
      <c r="L172">
        <v>1008.29572068637</v>
      </c>
      <c r="M172">
        <v>20.1413770448812</v>
      </c>
      <c r="N172">
        <v>50.715565467776301</v>
      </c>
      <c r="O172">
        <v>49.5752514952597</v>
      </c>
      <c r="P172">
        <v>-8.9945857039059302E-2</v>
      </c>
      <c r="Q172">
        <v>0.114469919289879</v>
      </c>
      <c r="R172">
        <v>0.98460477283548298</v>
      </c>
      <c r="S172" t="s">
        <v>3801</v>
      </c>
      <c r="T172" t="s">
        <v>7256</v>
      </c>
      <c r="U172" t="s">
        <v>7256</v>
      </c>
      <c r="V172" t="s">
        <v>7256</v>
      </c>
      <c r="W172">
        <v>1</v>
      </c>
      <c r="X172" t="s">
        <v>7428</v>
      </c>
      <c r="Y172">
        <v>0.42360164428091068</v>
      </c>
      <c r="Z172" t="str">
        <f>HYPERLINK("Melting_Curves/meltCurve_sp_O60216_RAD21_HUMAN_.pdf", "Melting_Curves/meltCurve_sp_O60216_RAD21_HUMAN_.pdf")</f>
        <v>Melting_Curves/meltCurve_sp_O60216_RAD21_HUMAN_.pdf</v>
      </c>
      <c r="AA172" t="s">
        <v>11052</v>
      </c>
      <c r="AB172" t="s">
        <v>14598</v>
      </c>
    </row>
    <row r="173" spans="1:28" x14ac:dyDescent="0.25">
      <c r="A173" t="s">
        <v>177</v>
      </c>
      <c r="B173">
        <v>0.98018197421672304</v>
      </c>
      <c r="C173">
        <v>1.0059024877629501</v>
      </c>
      <c r="D173">
        <v>0.97906890751713804</v>
      </c>
      <c r="E173">
        <v>0.80773278515562197</v>
      </c>
      <c r="F173">
        <v>0.75618065579912097</v>
      </c>
      <c r="G173">
        <v>0.29836243270596102</v>
      </c>
      <c r="H173">
        <v>0.104854924417441</v>
      </c>
      <c r="I173">
        <v>8.5051682841600806E-2</v>
      </c>
      <c r="J173">
        <v>6.7993041966017603E-2</v>
      </c>
      <c r="K173">
        <v>6.4668822397221007E-2</v>
      </c>
      <c r="L173">
        <v>1221.3855605943299</v>
      </c>
      <c r="M173">
        <v>22.3218453636966</v>
      </c>
      <c r="N173">
        <v>54.941969391844196</v>
      </c>
      <c r="O173">
        <v>54.283579151473504</v>
      </c>
      <c r="P173">
        <v>-9.83152972901392E-2</v>
      </c>
      <c r="Q173">
        <v>4.3664426232000002E-2</v>
      </c>
      <c r="R173">
        <v>0.99102873015769499</v>
      </c>
      <c r="S173" t="s">
        <v>3802</v>
      </c>
      <c r="T173" t="s">
        <v>7256</v>
      </c>
      <c r="U173" t="s">
        <v>7256</v>
      </c>
      <c r="V173" t="s">
        <v>7256</v>
      </c>
      <c r="W173">
        <v>11</v>
      </c>
      <c r="X173" t="s">
        <v>7429</v>
      </c>
      <c r="Y173">
        <v>0.5235702486267777</v>
      </c>
      <c r="Z173" t="str">
        <f>HYPERLINK("Melting_Curves/meltCurve_sp_O60218_AK1BA_HUMAN_.pdf", "Melting_Curves/meltCurve_sp_O60218_AK1BA_HUMAN_.pdf")</f>
        <v>Melting_Curves/meltCurve_sp_O60218_AK1BA_HUMAN_.pdf</v>
      </c>
      <c r="AA173" t="s">
        <v>11053</v>
      </c>
      <c r="AB173" t="s">
        <v>14599</v>
      </c>
    </row>
    <row r="174" spans="1:28" x14ac:dyDescent="0.25">
      <c r="A174" t="s">
        <v>178</v>
      </c>
      <c r="B174">
        <v>0.98018197421672304</v>
      </c>
      <c r="C174">
        <v>0.95124585426554997</v>
      </c>
      <c r="D174">
        <v>0.88239428685717303</v>
      </c>
      <c r="E174">
        <v>0.79194286040440498</v>
      </c>
      <c r="F174">
        <v>0.60550482436459996</v>
      </c>
      <c r="G174">
        <v>0.40555139098573401</v>
      </c>
      <c r="H174">
        <v>0.36876974058420497</v>
      </c>
      <c r="I174">
        <v>0.372454815893556</v>
      </c>
      <c r="J174">
        <v>0.44005798712864402</v>
      </c>
      <c r="K174">
        <v>0.47217625654462198</v>
      </c>
      <c r="L174">
        <v>1058.36542777</v>
      </c>
      <c r="M174">
        <v>20.765044414492198</v>
      </c>
      <c r="N174">
        <v>55.206027570015898</v>
      </c>
      <c r="O174">
        <v>50.502970198212402</v>
      </c>
      <c r="P174">
        <v>-6.18379312797235E-2</v>
      </c>
      <c r="Q174">
        <v>0.39842910829870198</v>
      </c>
      <c r="R174">
        <v>0.96498732322772296</v>
      </c>
      <c r="S174" t="s">
        <v>3803</v>
      </c>
      <c r="T174" t="s">
        <v>7256</v>
      </c>
      <c r="U174" t="s">
        <v>7256</v>
      </c>
      <c r="V174" t="s">
        <v>7256</v>
      </c>
      <c r="W174">
        <v>4</v>
      </c>
      <c r="X174" t="s">
        <v>7430</v>
      </c>
      <c r="Y174">
        <v>0.62615658123849827</v>
      </c>
      <c r="Z174" t="str">
        <f>HYPERLINK("Melting_Curves/meltCurve_sp_O60220_TIM8A_HUMAN_.pdf", "Melting_Curves/meltCurve_sp_O60220_TIM8A_HUMAN_.pdf")</f>
        <v>Melting_Curves/meltCurve_sp_O60220_TIM8A_HUMAN_.pdf</v>
      </c>
      <c r="AA174" t="s">
        <v>11054</v>
      </c>
      <c r="AB174" t="s">
        <v>14600</v>
      </c>
    </row>
    <row r="175" spans="1:28" x14ac:dyDescent="0.25">
      <c r="A175" t="s">
        <v>179</v>
      </c>
      <c r="B175">
        <v>0.98018197421672304</v>
      </c>
      <c r="C175">
        <v>0.90897398514736605</v>
      </c>
      <c r="D175">
        <v>0.81260767496123099</v>
      </c>
      <c r="E175">
        <v>0.46856815001233898</v>
      </c>
      <c r="F175">
        <v>0.29082527262609797</v>
      </c>
      <c r="G175">
        <v>0.17133682584026699</v>
      </c>
      <c r="H175">
        <v>0.163513487929343</v>
      </c>
      <c r="I175">
        <v>0.13641879701451701</v>
      </c>
      <c r="J175">
        <v>0.369670672737135</v>
      </c>
      <c r="K175">
        <v>0.15880914070895299</v>
      </c>
      <c r="L175">
        <v>1067.7859924644699</v>
      </c>
      <c r="M175">
        <v>22.0877565624399</v>
      </c>
      <c r="N175">
        <v>49.435796015590903</v>
      </c>
      <c r="O175">
        <v>47.951856908968303</v>
      </c>
      <c r="P175">
        <v>-9.2913526138955094E-2</v>
      </c>
      <c r="Q175">
        <v>0.19316771442681699</v>
      </c>
      <c r="R175">
        <v>0.95819370183965302</v>
      </c>
      <c r="S175" t="s">
        <v>3804</v>
      </c>
      <c r="T175" t="s">
        <v>7256</v>
      </c>
      <c r="U175" t="s">
        <v>7256</v>
      </c>
      <c r="V175" t="s">
        <v>7256</v>
      </c>
      <c r="W175">
        <v>2</v>
      </c>
      <c r="X175" t="s">
        <v>7431</v>
      </c>
      <c r="Y175">
        <v>0.42679682127604118</v>
      </c>
      <c r="Z175" t="str">
        <f>HYPERLINK("Melting_Curves/meltCurve_sp_O60231_DHX16_HUMAN_.pdf", "Melting_Curves/meltCurve_sp_O60231_DHX16_HUMAN_.pdf")</f>
        <v>Melting_Curves/meltCurve_sp_O60231_DHX16_HUMAN_.pdf</v>
      </c>
      <c r="AA175" t="s">
        <v>11055</v>
      </c>
      <c r="AB175" t="s">
        <v>14601</v>
      </c>
    </row>
    <row r="176" spans="1:28" x14ac:dyDescent="0.25">
      <c r="A176" t="s">
        <v>180</v>
      </c>
      <c r="B176">
        <v>0.98018197421672304</v>
      </c>
      <c r="C176">
        <v>0.92123737593364496</v>
      </c>
      <c r="D176">
        <v>0.96590269669055995</v>
      </c>
      <c r="E176">
        <v>0.77752476276967397</v>
      </c>
      <c r="F176">
        <v>0.69091086633429699</v>
      </c>
      <c r="G176">
        <v>0.777039781479963</v>
      </c>
      <c r="H176">
        <v>0.64790758439543805</v>
      </c>
      <c r="I176">
        <v>0.558866911216363</v>
      </c>
      <c r="J176">
        <v>1.0015436888598099</v>
      </c>
      <c r="K176">
        <v>1.18627808770928</v>
      </c>
      <c r="L176">
        <v>11571.165144181499</v>
      </c>
      <c r="M176">
        <v>250</v>
      </c>
      <c r="O176">
        <v>46.281698676956502</v>
      </c>
      <c r="P176">
        <v>-0.26235461294960499</v>
      </c>
      <c r="Q176">
        <v>0.80572452598733402</v>
      </c>
      <c r="R176">
        <v>0.127862163203662</v>
      </c>
      <c r="S176" t="s">
        <v>3805</v>
      </c>
      <c r="T176" t="s">
        <v>7256</v>
      </c>
      <c r="U176" t="s">
        <v>7256</v>
      </c>
      <c r="V176" t="s">
        <v>7256</v>
      </c>
      <c r="W176">
        <v>2</v>
      </c>
      <c r="X176" t="s">
        <v>7432</v>
      </c>
      <c r="Y176">
        <v>0.84643882051415142</v>
      </c>
      <c r="Z176" t="str">
        <f>HYPERLINK("Melting_Curves/meltCurve_sp_O60240_PLIN1_HUMAN_.pdf", "Melting_Curves/meltCurve_sp_O60240_PLIN1_HUMAN_.pdf")</f>
        <v>Melting_Curves/meltCurve_sp_O60240_PLIN1_HUMAN_.pdf</v>
      </c>
      <c r="AA176" t="s">
        <v>11056</v>
      </c>
      <c r="AB176" t="s">
        <v>14602</v>
      </c>
    </row>
    <row r="177" spans="1:28" x14ac:dyDescent="0.25">
      <c r="A177" t="s">
        <v>181</v>
      </c>
      <c r="B177">
        <v>0.98018197421672304</v>
      </c>
      <c r="C177">
        <v>0.97150426703855797</v>
      </c>
      <c r="D177">
        <v>0.88211289916840196</v>
      </c>
      <c r="E177">
        <v>0.775265259482671</v>
      </c>
      <c r="F177">
        <v>0.61842717921740797</v>
      </c>
      <c r="G177">
        <v>0.39766858155231499</v>
      </c>
      <c r="H177">
        <v>0.17412797143337599</v>
      </c>
      <c r="I177">
        <v>0.114669482039506</v>
      </c>
      <c r="J177">
        <v>9.9675674220500096E-2</v>
      </c>
      <c r="K177">
        <v>8.56949653745466E-2</v>
      </c>
      <c r="L177">
        <v>707.57505461733501</v>
      </c>
      <c r="M177">
        <v>12.9432988136014</v>
      </c>
      <c r="N177">
        <v>54.722339974223303</v>
      </c>
      <c r="O177">
        <v>53.411701421653198</v>
      </c>
      <c r="P177">
        <v>-6.0201642732921001E-2</v>
      </c>
      <c r="Q177">
        <v>6.4683360213953099E-3</v>
      </c>
      <c r="R177">
        <v>0.99612846794286203</v>
      </c>
      <c r="S177" t="s">
        <v>3806</v>
      </c>
      <c r="T177" t="s">
        <v>7256</v>
      </c>
      <c r="U177" t="s">
        <v>7256</v>
      </c>
      <c r="V177" t="s">
        <v>7256</v>
      </c>
      <c r="W177">
        <v>8</v>
      </c>
      <c r="X177" t="s">
        <v>7433</v>
      </c>
      <c r="Y177">
        <v>0.51495687645908417</v>
      </c>
      <c r="Z177" t="str">
        <f>HYPERLINK("Melting_Curves/meltCurve_sp_O60256_KPRB_HUMAN_.pdf", "Melting_Curves/meltCurve_sp_O60256_KPRB_HUMAN_.pdf")</f>
        <v>Melting_Curves/meltCurve_sp_O60256_KPRB_HUMAN_.pdf</v>
      </c>
      <c r="AA177" t="s">
        <v>11057</v>
      </c>
      <c r="AB177" t="s">
        <v>14603</v>
      </c>
    </row>
    <row r="178" spans="1:28" x14ac:dyDescent="0.25">
      <c r="A178" t="s">
        <v>182</v>
      </c>
      <c r="B178">
        <v>0.98018197421672304</v>
      </c>
      <c r="C178">
        <v>0.84425743037474699</v>
      </c>
      <c r="D178">
        <v>0.83401460614998801</v>
      </c>
      <c r="E178">
        <v>0.62603360360201499</v>
      </c>
      <c r="F178">
        <v>0.57946218198837296</v>
      </c>
      <c r="G178">
        <v>0.59249757813176096</v>
      </c>
      <c r="H178">
        <v>0.34749603475928498</v>
      </c>
      <c r="I178">
        <v>0.24720059675755601</v>
      </c>
      <c r="J178">
        <v>0.16665547266928299</v>
      </c>
      <c r="K178">
        <v>5.9953500158787497E-2</v>
      </c>
      <c r="L178">
        <v>434.11266261943399</v>
      </c>
      <c r="M178">
        <v>7.8456468142819098</v>
      </c>
      <c r="N178">
        <v>55.3316600651426</v>
      </c>
      <c r="O178">
        <v>52.082563666066598</v>
      </c>
      <c r="P178">
        <v>-3.7705470685630099E-2</v>
      </c>
      <c r="Q178">
        <v>0</v>
      </c>
      <c r="R178">
        <v>0.94913595556972896</v>
      </c>
      <c r="S178" t="s">
        <v>3807</v>
      </c>
      <c r="T178" t="s">
        <v>7256</v>
      </c>
      <c r="U178" t="s">
        <v>7256</v>
      </c>
      <c r="V178" t="s">
        <v>7256</v>
      </c>
      <c r="W178">
        <v>2</v>
      </c>
      <c r="X178" t="s">
        <v>7434</v>
      </c>
      <c r="Y178">
        <v>0.5357688595884178</v>
      </c>
      <c r="Z178" t="str">
        <f>HYPERLINK("Melting_Curves/meltCurve_sp_O60260_5_PRKN2_HUMAN_.pdf", "Melting_Curves/meltCurve_sp_O60260_5_PRKN2_HUMAN_.pdf")</f>
        <v>Melting_Curves/meltCurve_sp_O60260_5_PRKN2_HUMAN_.pdf</v>
      </c>
      <c r="AA178" t="s">
        <v>11058</v>
      </c>
      <c r="AB178" t="s">
        <v>14604</v>
      </c>
    </row>
    <row r="179" spans="1:28" x14ac:dyDescent="0.25">
      <c r="A179" t="s">
        <v>183</v>
      </c>
      <c r="B179">
        <v>0.98018197421672304</v>
      </c>
      <c r="C179">
        <v>0.93157016648121704</v>
      </c>
      <c r="D179">
        <v>0.88598705306322501</v>
      </c>
      <c r="E179">
        <v>0.75701860451894398</v>
      </c>
      <c r="F179">
        <v>0.60517937142565004</v>
      </c>
      <c r="G179">
        <v>0.41159302695030697</v>
      </c>
      <c r="H179">
        <v>0.314821051929977</v>
      </c>
      <c r="I179">
        <v>0.26542794962488397</v>
      </c>
      <c r="J179">
        <v>0.22184926588778001</v>
      </c>
      <c r="K179">
        <v>0.17462085674626801</v>
      </c>
      <c r="L179">
        <v>597.63778159506899</v>
      </c>
      <c r="M179">
        <v>11.0877365774368</v>
      </c>
      <c r="N179">
        <v>55.311306009628296</v>
      </c>
      <c r="O179">
        <v>52.236567735818902</v>
      </c>
      <c r="P179">
        <v>-4.6545369034968899E-2</v>
      </c>
      <c r="Q179">
        <v>0.12314835855598</v>
      </c>
      <c r="R179">
        <v>0.99826570034454498</v>
      </c>
      <c r="S179" t="s">
        <v>3808</v>
      </c>
      <c r="T179" t="s">
        <v>7256</v>
      </c>
      <c r="U179" t="s">
        <v>7256</v>
      </c>
      <c r="V179" t="s">
        <v>7256</v>
      </c>
      <c r="W179">
        <v>24</v>
      </c>
      <c r="X179" t="s">
        <v>7435</v>
      </c>
      <c r="Y179">
        <v>0.55424825858762483</v>
      </c>
      <c r="Z179" t="str">
        <f>HYPERLINK("Melting_Curves/meltCurve_sp_O60271_4_JIP4_HUMAN_.pdf", "Melting_Curves/meltCurve_sp_O60271_4_JIP4_HUMAN_.pdf")</f>
        <v>Melting_Curves/meltCurve_sp_O60271_4_JIP4_HUMAN_.pdf</v>
      </c>
      <c r="AA179" t="s">
        <v>11059</v>
      </c>
      <c r="AB179" t="s">
        <v>14605</v>
      </c>
    </row>
    <row r="180" spans="1:28" x14ac:dyDescent="0.25">
      <c r="A180" t="s">
        <v>184</v>
      </c>
      <c r="B180">
        <v>0.98018197421672304</v>
      </c>
      <c r="C180">
        <v>0.84380836631595302</v>
      </c>
      <c r="D180">
        <v>0.73613297764115504</v>
      </c>
      <c r="E180">
        <v>0.34803995042667002</v>
      </c>
      <c r="F180">
        <v>0.21516736175576801</v>
      </c>
      <c r="G180">
        <v>8.9454597936838798E-2</v>
      </c>
      <c r="H180">
        <v>7.71485598216851E-2</v>
      </c>
      <c r="I180">
        <v>4.4674009712177998E-2</v>
      </c>
      <c r="J180">
        <v>2.6572610579785799E-2</v>
      </c>
      <c r="K180">
        <v>2.28853115462626E-2</v>
      </c>
      <c r="L180">
        <v>790.90787258613102</v>
      </c>
      <c r="M180">
        <v>16.401183960581498</v>
      </c>
      <c r="N180">
        <v>48.372918113626099</v>
      </c>
      <c r="O180">
        <v>47.522812096126998</v>
      </c>
      <c r="P180">
        <v>-8.4143060837800501E-2</v>
      </c>
      <c r="Q180">
        <v>2.48433358517656E-2</v>
      </c>
      <c r="R180">
        <v>0.99594039431829595</v>
      </c>
      <c r="S180" t="s">
        <v>3809</v>
      </c>
      <c r="T180" t="s">
        <v>7256</v>
      </c>
      <c r="U180" t="s">
        <v>7256</v>
      </c>
      <c r="V180" t="s">
        <v>7256</v>
      </c>
      <c r="W180">
        <v>1</v>
      </c>
      <c r="X180" t="s">
        <v>7436</v>
      </c>
      <c r="Y180">
        <v>0.31291507677893687</v>
      </c>
      <c r="Z180" t="str">
        <f>HYPERLINK("Melting_Curves/meltCurve_sp_O60341_KDM1A_HUMAN_.pdf", "Melting_Curves/meltCurve_sp_O60341_KDM1A_HUMAN_.pdf")</f>
        <v>Melting_Curves/meltCurve_sp_O60341_KDM1A_HUMAN_.pdf</v>
      </c>
      <c r="AA180" t="s">
        <v>11060</v>
      </c>
      <c r="AB180" t="s">
        <v>14606</v>
      </c>
    </row>
    <row r="181" spans="1:28" x14ac:dyDescent="0.25">
      <c r="A181" t="s">
        <v>185</v>
      </c>
      <c r="B181">
        <v>0.98018197421672304</v>
      </c>
      <c r="C181">
        <v>0.93061504588810495</v>
      </c>
      <c r="D181">
        <v>0.85571298954550801</v>
      </c>
      <c r="E181">
        <v>0.69503555113511695</v>
      </c>
      <c r="F181">
        <v>0.50578825873464905</v>
      </c>
      <c r="G181">
        <v>0.21537192757566401</v>
      </c>
      <c r="H181">
        <v>0.12402742487396499</v>
      </c>
      <c r="I181">
        <v>8.8756311970139196E-2</v>
      </c>
      <c r="J181">
        <v>0.101589901926285</v>
      </c>
      <c r="K181">
        <v>4.6920854612130899E-2</v>
      </c>
      <c r="L181">
        <v>757.11839717899795</v>
      </c>
      <c r="M181">
        <v>14.4494134934311</v>
      </c>
      <c r="N181">
        <v>52.595237915644901</v>
      </c>
      <c r="O181">
        <v>51.424928435046503</v>
      </c>
      <c r="P181">
        <v>-6.8399400826887002E-2</v>
      </c>
      <c r="Q181">
        <v>2.63902166078425E-2</v>
      </c>
      <c r="R181">
        <v>0.99497274411782399</v>
      </c>
      <c r="S181" t="s">
        <v>3810</v>
      </c>
      <c r="T181" t="s">
        <v>7256</v>
      </c>
      <c r="U181" t="s">
        <v>7256</v>
      </c>
      <c r="V181" t="s">
        <v>7256</v>
      </c>
      <c r="W181">
        <v>3</v>
      </c>
      <c r="X181" t="s">
        <v>7437</v>
      </c>
      <c r="Y181">
        <v>0.45140232691370669</v>
      </c>
      <c r="Z181" t="str">
        <f>HYPERLINK("Melting_Curves/meltCurve_sp_O60343_2_TBCD4_HUMAN_.pdf", "Melting_Curves/meltCurve_sp_O60343_2_TBCD4_HUMAN_.pdf")</f>
        <v>Melting_Curves/meltCurve_sp_O60343_2_TBCD4_HUMAN_.pdf</v>
      </c>
      <c r="AA181" t="s">
        <v>11061</v>
      </c>
      <c r="AB181" t="s">
        <v>14607</v>
      </c>
    </row>
    <row r="182" spans="1:28" x14ac:dyDescent="0.25">
      <c r="A182" t="s">
        <v>186</v>
      </c>
      <c r="B182">
        <v>0.98018197421672304</v>
      </c>
      <c r="C182">
        <v>0.90169004824929699</v>
      </c>
      <c r="D182">
        <v>0.91346676699822404</v>
      </c>
      <c r="E182">
        <v>0.73119709860520898</v>
      </c>
      <c r="F182">
        <v>0.57383927025554804</v>
      </c>
      <c r="G182">
        <v>0.36592802254617202</v>
      </c>
      <c r="H182">
        <v>0.12534599871292099</v>
      </c>
      <c r="I182">
        <v>6.4491592178064605E-2</v>
      </c>
      <c r="J182">
        <v>9.28854506885399E-2</v>
      </c>
      <c r="K182">
        <v>6.0209376940876497E-2</v>
      </c>
      <c r="L182">
        <v>721.40341195694498</v>
      </c>
      <c r="M182">
        <v>13.3797302428944</v>
      </c>
      <c r="N182">
        <v>53.917635657331402</v>
      </c>
      <c r="O182">
        <v>52.755897983741697</v>
      </c>
      <c r="P182">
        <v>-6.3413950824023901E-2</v>
      </c>
      <c r="Q182">
        <v>0</v>
      </c>
      <c r="R182">
        <v>0.99114716666566605</v>
      </c>
      <c r="S182" t="s">
        <v>3811</v>
      </c>
      <c r="T182" t="s">
        <v>7256</v>
      </c>
      <c r="U182" t="s">
        <v>7256</v>
      </c>
      <c r="V182" t="s">
        <v>7256</v>
      </c>
      <c r="W182">
        <v>4</v>
      </c>
      <c r="X182" t="s">
        <v>7438</v>
      </c>
      <c r="Y182">
        <v>0.48748637020309998</v>
      </c>
      <c r="Z182" t="str">
        <f>HYPERLINK("Melting_Curves/meltCurve_sp_O60443_DFNA5_HUMAN_.pdf", "Melting_Curves/meltCurve_sp_O60443_DFNA5_HUMAN_.pdf")</f>
        <v>Melting_Curves/meltCurve_sp_O60443_DFNA5_HUMAN_.pdf</v>
      </c>
      <c r="AA182" t="s">
        <v>11062</v>
      </c>
      <c r="AB182" t="s">
        <v>14608</v>
      </c>
    </row>
    <row r="183" spans="1:28" x14ac:dyDescent="0.25">
      <c r="A183" t="s">
        <v>187</v>
      </c>
      <c r="B183">
        <v>0.98018197421672304</v>
      </c>
      <c r="C183">
        <v>0.99125262267730396</v>
      </c>
      <c r="D183">
        <v>0.86643826585653305</v>
      </c>
      <c r="E183">
        <v>0.51509639120791795</v>
      </c>
      <c r="F183">
        <v>0.272292794144609</v>
      </c>
      <c r="G183">
        <v>0.16215742978703099</v>
      </c>
      <c r="H183">
        <v>0.106014596625152</v>
      </c>
      <c r="I183">
        <v>8.4827733445822603E-2</v>
      </c>
      <c r="J183">
        <v>8.2860336791149694E-2</v>
      </c>
      <c r="K183">
        <v>8.6757254971475906E-2</v>
      </c>
      <c r="L183">
        <v>1075.98794343401</v>
      </c>
      <c r="M183">
        <v>21.6295403584943</v>
      </c>
      <c r="N183">
        <v>50.1865081620723</v>
      </c>
      <c r="O183">
        <v>49.326856896621003</v>
      </c>
      <c r="P183">
        <v>-0.100152399790567</v>
      </c>
      <c r="Q183">
        <v>8.6418841026823207E-2</v>
      </c>
      <c r="R183">
        <v>0.99910905888092105</v>
      </c>
      <c r="S183" t="s">
        <v>3812</v>
      </c>
      <c r="T183" t="s">
        <v>7256</v>
      </c>
      <c r="U183" t="s">
        <v>7256</v>
      </c>
      <c r="V183" t="s">
        <v>7256</v>
      </c>
      <c r="W183">
        <v>5</v>
      </c>
      <c r="X183" t="s">
        <v>7439</v>
      </c>
      <c r="Y183">
        <v>0.39411692551898342</v>
      </c>
      <c r="Z183" t="str">
        <f>HYPERLINK("Melting_Curves/meltCurve_sp_O60493_SNX3_HUMAN_.pdf", "Melting_Curves/meltCurve_sp_O60493_SNX3_HUMAN_.pdf")</f>
        <v>Melting_Curves/meltCurve_sp_O60493_SNX3_HUMAN_.pdf</v>
      </c>
      <c r="AA183" t="s">
        <v>11063</v>
      </c>
      <c r="AB183" t="s">
        <v>14609</v>
      </c>
    </row>
    <row r="184" spans="1:28" x14ac:dyDescent="0.25">
      <c r="A184" t="s">
        <v>188</v>
      </c>
      <c r="B184">
        <v>0.98018197421672304</v>
      </c>
      <c r="C184">
        <v>0.98437415825365904</v>
      </c>
      <c r="D184">
        <v>0.929516697054521</v>
      </c>
      <c r="E184">
        <v>0.77612315324490599</v>
      </c>
      <c r="F184">
        <v>0.68726331855812595</v>
      </c>
      <c r="G184">
        <v>0.44339914761384702</v>
      </c>
      <c r="H184">
        <v>0.24964186453701201</v>
      </c>
      <c r="I184">
        <v>0.14888221947973301</v>
      </c>
      <c r="J184">
        <v>0.119266717949653</v>
      </c>
      <c r="K184">
        <v>0.102749312808632</v>
      </c>
      <c r="L184">
        <v>699.77181754425305</v>
      </c>
      <c r="M184">
        <v>12.5736925806768</v>
      </c>
      <c r="N184">
        <v>55.775375460311601</v>
      </c>
      <c r="O184">
        <v>54.302196332123202</v>
      </c>
      <c r="P184">
        <v>-5.7115440237125503E-2</v>
      </c>
      <c r="Q184">
        <v>1.35371349778076E-2</v>
      </c>
      <c r="R184">
        <v>0.99727333497856896</v>
      </c>
      <c r="S184" t="s">
        <v>3813</v>
      </c>
      <c r="T184" t="s">
        <v>7256</v>
      </c>
      <c r="U184" t="s">
        <v>7256</v>
      </c>
      <c r="V184" t="s">
        <v>7256</v>
      </c>
      <c r="W184">
        <v>9</v>
      </c>
      <c r="X184" t="s">
        <v>7440</v>
      </c>
      <c r="Y184">
        <v>0.54893139155350734</v>
      </c>
      <c r="Z184" t="str">
        <f>HYPERLINK("Melting_Curves/meltCurve_sp_O60504_2_VINEX_HUMAN_.pdf", "Melting_Curves/meltCurve_sp_O60504_2_VINEX_HUMAN_.pdf")</f>
        <v>Melting_Curves/meltCurve_sp_O60504_2_VINEX_HUMAN_.pdf</v>
      </c>
      <c r="AA184" t="s">
        <v>11064</v>
      </c>
      <c r="AB184" t="s">
        <v>14610</v>
      </c>
    </row>
    <row r="185" spans="1:28" x14ac:dyDescent="0.25">
      <c r="A185" t="s">
        <v>189</v>
      </c>
      <c r="B185">
        <v>0.98018197421672304</v>
      </c>
      <c r="C185">
        <v>1.0032780108747901</v>
      </c>
      <c r="D185">
        <v>0.93803555574750797</v>
      </c>
      <c r="E185">
        <v>0.79893996077343199</v>
      </c>
      <c r="F185">
        <v>0.60540736079561797</v>
      </c>
      <c r="G185">
        <v>0.21499429057071801</v>
      </c>
      <c r="H185">
        <v>9.4217025761588899E-2</v>
      </c>
      <c r="I185">
        <v>6.8750475292461102E-2</v>
      </c>
      <c r="J185">
        <v>8.3500410305355793E-2</v>
      </c>
      <c r="K185">
        <v>5.7939840580041001E-2</v>
      </c>
      <c r="L185">
        <v>1161.7076284207201</v>
      </c>
      <c r="M185">
        <v>21.744928203517301</v>
      </c>
      <c r="N185">
        <v>53.675677789251701</v>
      </c>
      <c r="O185">
        <v>52.978637517233899</v>
      </c>
      <c r="P185">
        <v>-9.7646501166428201E-2</v>
      </c>
      <c r="Q185">
        <v>4.8411298573868902E-2</v>
      </c>
      <c r="R185">
        <v>0.99656613755594003</v>
      </c>
      <c r="S185" t="s">
        <v>3814</v>
      </c>
      <c r="T185" t="s">
        <v>7256</v>
      </c>
      <c r="U185" t="s">
        <v>7256</v>
      </c>
      <c r="V185" t="s">
        <v>7256</v>
      </c>
      <c r="W185">
        <v>15</v>
      </c>
      <c r="X185" t="s">
        <v>7441</v>
      </c>
      <c r="Y185">
        <v>0.48552317524864941</v>
      </c>
      <c r="Z185" t="str">
        <f>HYPERLINK("Melting_Curves/meltCurve_sp_O60506_2_HNRPQ_HUMAN_.pdf", "Melting_Curves/meltCurve_sp_O60506_2_HNRPQ_HUMAN_.pdf")</f>
        <v>Melting_Curves/meltCurve_sp_O60506_2_HNRPQ_HUMAN_.pdf</v>
      </c>
      <c r="AA185" t="s">
        <v>11065</v>
      </c>
      <c r="AB185" t="s">
        <v>14611</v>
      </c>
    </row>
    <row r="186" spans="1:28" x14ac:dyDescent="0.25">
      <c r="A186" t="s">
        <v>190</v>
      </c>
      <c r="B186">
        <v>0.98018197421672304</v>
      </c>
      <c r="C186">
        <v>0.92170689366782099</v>
      </c>
      <c r="D186">
        <v>0.80832789414774597</v>
      </c>
      <c r="E186">
        <v>0.47308516099172399</v>
      </c>
      <c r="F186">
        <v>0.21122701675348601</v>
      </c>
      <c r="G186">
        <v>0.11747734514045199</v>
      </c>
      <c r="H186">
        <v>8.026743049526E-2</v>
      </c>
      <c r="I186">
        <v>6.4037450019766601E-2</v>
      </c>
      <c r="J186">
        <v>7.8557759234927499E-2</v>
      </c>
      <c r="K186">
        <v>5.8073991947960001E-2</v>
      </c>
      <c r="L186">
        <v>969.57073190725805</v>
      </c>
      <c r="M186">
        <v>19.728046667307598</v>
      </c>
      <c r="N186">
        <v>49.458177931348899</v>
      </c>
      <c r="O186">
        <v>48.650194298872698</v>
      </c>
      <c r="P186">
        <v>-9.5460228584030707E-2</v>
      </c>
      <c r="Q186">
        <v>5.8396611875634601E-2</v>
      </c>
      <c r="R186">
        <v>0.99815934122044003</v>
      </c>
      <c r="S186" t="s">
        <v>3815</v>
      </c>
      <c r="T186" t="s">
        <v>7256</v>
      </c>
      <c r="U186" t="s">
        <v>7256</v>
      </c>
      <c r="V186" t="s">
        <v>7256</v>
      </c>
      <c r="W186">
        <v>10</v>
      </c>
      <c r="X186" t="s">
        <v>7442</v>
      </c>
      <c r="Y186">
        <v>0.3590276242457684</v>
      </c>
      <c r="Z186" t="str">
        <f>HYPERLINK("Melting_Curves/meltCurve_sp_O60547_2_GMDS_HUMAN_.pdf", "Melting_Curves/meltCurve_sp_O60547_2_GMDS_HUMAN_.pdf")</f>
        <v>Melting_Curves/meltCurve_sp_O60547_2_GMDS_HUMAN_.pdf</v>
      </c>
      <c r="AA186" t="s">
        <v>11066</v>
      </c>
      <c r="AB186" t="s">
        <v>14612</v>
      </c>
    </row>
    <row r="187" spans="1:28" x14ac:dyDescent="0.25">
      <c r="A187" t="s">
        <v>191</v>
      </c>
      <c r="B187">
        <v>0.98018197421672304</v>
      </c>
      <c r="C187">
        <v>0.97167472165212798</v>
      </c>
      <c r="D187">
        <v>0.88884482467165205</v>
      </c>
      <c r="E187">
        <v>0.69193720130994096</v>
      </c>
      <c r="F187">
        <v>0.56152676850213301</v>
      </c>
      <c r="G187">
        <v>0.40103939701563301</v>
      </c>
      <c r="H187">
        <v>0.25945392104624498</v>
      </c>
      <c r="I187">
        <v>0.27829991840966201</v>
      </c>
      <c r="J187">
        <v>0.28970744679840599</v>
      </c>
      <c r="K187">
        <v>0.373910041364867</v>
      </c>
      <c r="L187">
        <v>858.32856028002595</v>
      </c>
      <c r="M187">
        <v>16.835210497676702</v>
      </c>
      <c r="N187">
        <v>53.691485138823303</v>
      </c>
      <c r="O187">
        <v>50.2810714946107</v>
      </c>
      <c r="P187">
        <v>-5.9764733761792699E-2</v>
      </c>
      <c r="Q187">
        <v>0.28605787883150002</v>
      </c>
      <c r="R187">
        <v>0.98238696948002902</v>
      </c>
      <c r="S187" t="s">
        <v>3816</v>
      </c>
      <c r="T187" t="s">
        <v>7256</v>
      </c>
      <c r="U187" t="s">
        <v>7256</v>
      </c>
      <c r="V187" t="s">
        <v>7256</v>
      </c>
      <c r="W187">
        <v>2</v>
      </c>
      <c r="X187" t="s">
        <v>7443</v>
      </c>
      <c r="Y187">
        <v>0.56101252697966886</v>
      </c>
      <c r="Z187" t="str">
        <f>HYPERLINK("Melting_Curves/meltCurve_sp_O60551_NMT2_HUMAN_.pdf", "Melting_Curves/meltCurve_sp_O60551_NMT2_HUMAN_.pdf")</f>
        <v>Melting_Curves/meltCurve_sp_O60551_NMT2_HUMAN_.pdf</v>
      </c>
      <c r="AA187" t="s">
        <v>11067</v>
      </c>
      <c r="AB187" t="s">
        <v>14613</v>
      </c>
    </row>
    <row r="188" spans="1:28" x14ac:dyDescent="0.25">
      <c r="A188" t="s">
        <v>192</v>
      </c>
      <c r="B188">
        <v>0.98018197421672304</v>
      </c>
      <c r="C188">
        <v>1.41086885925951</v>
      </c>
      <c r="D188">
        <v>1.35086860747971</v>
      </c>
      <c r="E188">
        <v>1.1277930467728601</v>
      </c>
      <c r="F188">
        <v>0.742287500122771</v>
      </c>
      <c r="G188">
        <v>0.278956471295769</v>
      </c>
      <c r="H188">
        <v>0.35744505092863099</v>
      </c>
      <c r="I188">
        <v>0.35666485253688401</v>
      </c>
      <c r="J188">
        <v>0.33988779890884102</v>
      </c>
      <c r="K188">
        <v>0.41473268552709103</v>
      </c>
      <c r="L188">
        <v>13272.330471368099</v>
      </c>
      <c r="M188">
        <v>250</v>
      </c>
      <c r="N188">
        <v>53.345573464838601</v>
      </c>
      <c r="O188">
        <v>53.0859291527048</v>
      </c>
      <c r="P188">
        <v>-0.76581344472532298</v>
      </c>
      <c r="Q188">
        <v>0.34953736510363898</v>
      </c>
      <c r="R188">
        <v>0.82356902190206704</v>
      </c>
      <c r="S188" t="s">
        <v>3817</v>
      </c>
      <c r="T188" t="s">
        <v>7256</v>
      </c>
      <c r="U188" t="s">
        <v>7256</v>
      </c>
      <c r="V188" t="s">
        <v>7256</v>
      </c>
      <c r="W188">
        <v>3</v>
      </c>
      <c r="X188" t="s">
        <v>7444</v>
      </c>
      <c r="Y188">
        <v>0.63340179606900693</v>
      </c>
      <c r="Z188" t="str">
        <f>HYPERLINK("Melting_Curves/meltCurve_sp_O60613_SEP15_HUMAN_.pdf", "Melting_Curves/meltCurve_sp_O60613_SEP15_HUMAN_.pdf")</f>
        <v>Melting_Curves/meltCurve_sp_O60613_SEP15_HUMAN_.pdf</v>
      </c>
      <c r="AA188" t="s">
        <v>11068</v>
      </c>
      <c r="AB188" t="s">
        <v>14614</v>
      </c>
    </row>
    <row r="189" spans="1:28" x14ac:dyDescent="0.25">
      <c r="A189" t="s">
        <v>193</v>
      </c>
      <c r="B189">
        <v>0.98018197421672304</v>
      </c>
      <c r="C189">
        <v>0.92634133591990098</v>
      </c>
      <c r="D189">
        <v>0.87005596235581995</v>
      </c>
      <c r="E189">
        <v>0.34576264439631099</v>
      </c>
      <c r="F189">
        <v>0.13865814835390899</v>
      </c>
      <c r="G189">
        <v>7.6815703696065302E-2</v>
      </c>
      <c r="H189">
        <v>6.7450057267065697E-2</v>
      </c>
      <c r="I189">
        <v>4.8910356866955398E-2</v>
      </c>
      <c r="J189">
        <v>0.16645109952276699</v>
      </c>
      <c r="K189">
        <v>0.10550499874232599</v>
      </c>
      <c r="L189">
        <v>1535.2166975239199</v>
      </c>
      <c r="M189">
        <v>31.658583503543301</v>
      </c>
      <c r="N189">
        <v>48.7983432950859</v>
      </c>
      <c r="O189">
        <v>48.300652104187897</v>
      </c>
      <c r="P189">
        <v>-0.149135036932597</v>
      </c>
      <c r="Q189">
        <v>8.9879517049061594E-2</v>
      </c>
      <c r="R189">
        <v>0.99068888226491203</v>
      </c>
      <c r="S189" t="s">
        <v>3818</v>
      </c>
      <c r="T189" t="s">
        <v>7256</v>
      </c>
      <c r="U189" t="s">
        <v>7256</v>
      </c>
      <c r="V189" t="s">
        <v>7256</v>
      </c>
      <c r="W189">
        <v>5</v>
      </c>
      <c r="X189" t="s">
        <v>7445</v>
      </c>
      <c r="Y189">
        <v>0.3524592889034141</v>
      </c>
      <c r="Z189" t="str">
        <f>HYPERLINK("Melting_Curves/meltCurve_sp_O60645_3_EXOC3_HUMAN_.pdf", "Melting_Curves/meltCurve_sp_O60645_3_EXOC3_HUMAN_.pdf")</f>
        <v>Melting_Curves/meltCurve_sp_O60645_3_EXOC3_HUMAN_.pdf</v>
      </c>
      <c r="AA189" t="s">
        <v>11069</v>
      </c>
      <c r="AB189" t="s">
        <v>14615</v>
      </c>
    </row>
    <row r="190" spans="1:28" x14ac:dyDescent="0.25">
      <c r="A190" t="s">
        <v>194</v>
      </c>
      <c r="B190">
        <v>0.98018197421672304</v>
      </c>
      <c r="C190">
        <v>1.0103028950494799</v>
      </c>
      <c r="D190">
        <v>0.95695825508953603</v>
      </c>
      <c r="E190">
        <v>0.76127486093674901</v>
      </c>
      <c r="F190">
        <v>0.59503340867902998</v>
      </c>
      <c r="G190">
        <v>0.36078779846569597</v>
      </c>
      <c r="H190">
        <v>0.348453263708007</v>
      </c>
      <c r="I190">
        <v>0.31349452800583599</v>
      </c>
      <c r="J190">
        <v>0.43864942897097797</v>
      </c>
      <c r="K190">
        <v>0.43807346813910603</v>
      </c>
      <c r="L190">
        <v>1337.37865806688</v>
      </c>
      <c r="M190">
        <v>26.142552482081101</v>
      </c>
      <c r="N190">
        <v>54.010268270483799</v>
      </c>
      <c r="O190">
        <v>50.860632412148398</v>
      </c>
      <c r="P190">
        <v>-8.0399382425120805E-2</v>
      </c>
      <c r="Q190">
        <v>0.374335404639627</v>
      </c>
      <c r="R190">
        <v>0.97365661941297499</v>
      </c>
      <c r="S190" t="s">
        <v>3819</v>
      </c>
      <c r="T190" t="s">
        <v>7256</v>
      </c>
      <c r="U190" t="s">
        <v>7256</v>
      </c>
      <c r="V190" t="s">
        <v>7256</v>
      </c>
      <c r="W190">
        <v>10</v>
      </c>
      <c r="X190" t="s">
        <v>7446</v>
      </c>
      <c r="Y190">
        <v>0.61220867866863238</v>
      </c>
      <c r="Z190" t="str">
        <f>HYPERLINK("Melting_Curves/meltCurve_sp_O60664_4_PLIN3_HUMAN_.pdf", "Melting_Curves/meltCurve_sp_O60664_4_PLIN3_HUMAN_.pdf")</f>
        <v>Melting_Curves/meltCurve_sp_O60664_4_PLIN3_HUMAN_.pdf</v>
      </c>
      <c r="AA190" t="s">
        <v>11070</v>
      </c>
      <c r="AB190" t="s">
        <v>14616</v>
      </c>
    </row>
    <row r="191" spans="1:28" x14ac:dyDescent="0.25">
      <c r="A191" t="s">
        <v>195</v>
      </c>
      <c r="B191">
        <v>0.98018197421672304</v>
      </c>
      <c r="C191">
        <v>0.95248308976536999</v>
      </c>
      <c r="D191">
        <v>0.82424366852449504</v>
      </c>
      <c r="E191">
        <v>0.372391056482755</v>
      </c>
      <c r="F191">
        <v>0.14508957539352599</v>
      </c>
      <c r="G191">
        <v>9.4330296365005797E-2</v>
      </c>
      <c r="H191">
        <v>6.0849026071534598E-2</v>
      </c>
      <c r="I191">
        <v>4.9330923632740803E-2</v>
      </c>
      <c r="J191">
        <v>5.02215935923533E-2</v>
      </c>
      <c r="K191">
        <v>4.4839531725401401E-2</v>
      </c>
      <c r="L191">
        <v>1218.32142198162</v>
      </c>
      <c r="M191">
        <v>25.046523972946101</v>
      </c>
      <c r="N191">
        <v>48.853056443979199</v>
      </c>
      <c r="O191">
        <v>48.335427236510803</v>
      </c>
      <c r="P191">
        <v>-0.122914045512392</v>
      </c>
      <c r="Q191">
        <v>5.1201721548202399E-2</v>
      </c>
      <c r="R191">
        <v>0.99919163984457704</v>
      </c>
      <c r="S191" t="s">
        <v>3820</v>
      </c>
      <c r="T191" t="s">
        <v>7256</v>
      </c>
      <c r="U191" t="s">
        <v>7256</v>
      </c>
      <c r="V191" t="s">
        <v>7256</v>
      </c>
      <c r="W191">
        <v>19</v>
      </c>
      <c r="X191" t="s">
        <v>7447</v>
      </c>
      <c r="Y191">
        <v>0.33288897121919891</v>
      </c>
      <c r="Z191" t="str">
        <f>HYPERLINK("Melting_Curves/meltCurve_sp_O60701_UGDH_HUMAN_.pdf", "Melting_Curves/meltCurve_sp_O60701_UGDH_HUMAN_.pdf")</f>
        <v>Melting_Curves/meltCurve_sp_O60701_UGDH_HUMAN_.pdf</v>
      </c>
      <c r="AA191" t="s">
        <v>11071</v>
      </c>
      <c r="AB191" t="s">
        <v>14617</v>
      </c>
    </row>
    <row r="192" spans="1:28" x14ac:dyDescent="0.25">
      <c r="A192" t="s">
        <v>196</v>
      </c>
      <c r="B192">
        <v>0.98018197421672304</v>
      </c>
      <c r="C192">
        <v>1.07076941273591</v>
      </c>
      <c r="D192">
        <v>0.976233328871703</v>
      </c>
      <c r="E192">
        <v>0.81724251744841003</v>
      </c>
      <c r="F192">
        <v>0.66057532921428597</v>
      </c>
      <c r="G192">
        <v>0.49421858424805598</v>
      </c>
      <c r="H192">
        <v>0.50298437492820602</v>
      </c>
      <c r="I192">
        <v>0.56093823896165396</v>
      </c>
      <c r="J192">
        <v>0.659332196023527</v>
      </c>
      <c r="K192">
        <v>0.67086332397028103</v>
      </c>
      <c r="L192">
        <v>1888.5321550675201</v>
      </c>
      <c r="M192">
        <v>37.463666041677897</v>
      </c>
      <c r="O192">
        <v>50.2667111599565</v>
      </c>
      <c r="P192">
        <v>-7.823874565352E-2</v>
      </c>
      <c r="Q192">
        <v>0.58009512919274797</v>
      </c>
      <c r="R192">
        <v>0.91031648510812602</v>
      </c>
      <c r="S192" t="s">
        <v>3821</v>
      </c>
      <c r="T192" t="s">
        <v>7256</v>
      </c>
      <c r="U192" t="s">
        <v>7256</v>
      </c>
      <c r="V192" t="s">
        <v>7256</v>
      </c>
      <c r="W192">
        <v>7</v>
      </c>
      <c r="X192" t="s">
        <v>7448</v>
      </c>
      <c r="Y192">
        <v>0.72746801063525413</v>
      </c>
      <c r="Z192" t="str">
        <f>HYPERLINK("Melting_Curves/meltCurve_sp_O60716_5_CTND1_HUMAN_.pdf", "Melting_Curves/meltCurve_sp_O60716_5_CTND1_HUMAN_.pdf")</f>
        <v>Melting_Curves/meltCurve_sp_O60716_5_CTND1_HUMAN_.pdf</v>
      </c>
      <c r="AA192" t="s">
        <v>11072</v>
      </c>
      <c r="AB192" t="s">
        <v>14618</v>
      </c>
    </row>
    <row r="193" spans="1:28" x14ac:dyDescent="0.25">
      <c r="A193" t="s">
        <v>197</v>
      </c>
      <c r="B193">
        <v>0.98018197421672304</v>
      </c>
      <c r="C193">
        <v>0.94850560762761005</v>
      </c>
      <c r="D193">
        <v>0.90067783943577995</v>
      </c>
      <c r="E193">
        <v>0.63662669746780398</v>
      </c>
      <c r="F193">
        <v>0.23145547540084699</v>
      </c>
      <c r="G193">
        <v>0.103455080290576</v>
      </c>
      <c r="H193">
        <v>6.4958344996280004E-2</v>
      </c>
      <c r="I193">
        <v>5.4380697676727201E-2</v>
      </c>
      <c r="J193">
        <v>6.8240891054403494E-2</v>
      </c>
      <c r="K193">
        <v>5.2905390002133998E-2</v>
      </c>
      <c r="L193">
        <v>1408.10556536634</v>
      </c>
      <c r="M193">
        <v>27.834446688259199</v>
      </c>
      <c r="N193">
        <v>50.8034100430298</v>
      </c>
      <c r="O193">
        <v>50.329620106025999</v>
      </c>
      <c r="P193">
        <v>-0.130586266621249</v>
      </c>
      <c r="Q193">
        <v>5.5515388726689201E-2</v>
      </c>
      <c r="R193">
        <v>0.99565666868499703</v>
      </c>
      <c r="S193" t="s">
        <v>3822</v>
      </c>
      <c r="T193" t="s">
        <v>7256</v>
      </c>
      <c r="U193" t="s">
        <v>7256</v>
      </c>
      <c r="V193" t="s">
        <v>7256</v>
      </c>
      <c r="W193">
        <v>12</v>
      </c>
      <c r="X193" t="s">
        <v>7449</v>
      </c>
      <c r="Y193">
        <v>0.39573006512152192</v>
      </c>
      <c r="Z193" t="str">
        <f>HYPERLINK("Melting_Curves/meltCurve_sp_O60749_SNX2_HUMAN_.pdf", "Melting_Curves/meltCurve_sp_O60749_SNX2_HUMAN_.pdf")</f>
        <v>Melting_Curves/meltCurve_sp_O60749_SNX2_HUMAN_.pdf</v>
      </c>
      <c r="AA193" t="s">
        <v>11073</v>
      </c>
      <c r="AB193" t="s">
        <v>14619</v>
      </c>
    </row>
    <row r="194" spans="1:28" x14ac:dyDescent="0.25">
      <c r="A194" t="s">
        <v>198</v>
      </c>
      <c r="B194">
        <v>0.98018197421672304</v>
      </c>
      <c r="C194">
        <v>0.94284778846727602</v>
      </c>
      <c r="D194">
        <v>0.90903436794315795</v>
      </c>
      <c r="E194">
        <v>0.82667535263623204</v>
      </c>
      <c r="F194">
        <v>0.613171584123263</v>
      </c>
      <c r="G194">
        <v>0.21197085097718099</v>
      </c>
      <c r="H194">
        <v>8.1498766803528994E-2</v>
      </c>
      <c r="I194">
        <v>6.3316633267814504E-2</v>
      </c>
      <c r="J194">
        <v>6.0882716200975399E-2</v>
      </c>
      <c r="K194">
        <v>5.1536379725954498E-2</v>
      </c>
      <c r="L194">
        <v>1186.34230682975</v>
      </c>
      <c r="M194">
        <v>22.132573518814901</v>
      </c>
      <c r="N194">
        <v>53.783150519306702</v>
      </c>
      <c r="O194">
        <v>53.169796436982899</v>
      </c>
      <c r="P194">
        <v>-0.10032304087042899</v>
      </c>
      <c r="Q194">
        <v>3.5983630991521402E-2</v>
      </c>
      <c r="R194">
        <v>0.99335699569084202</v>
      </c>
      <c r="S194" t="s">
        <v>3823</v>
      </c>
      <c r="T194" t="s">
        <v>7256</v>
      </c>
      <c r="U194" t="s">
        <v>7256</v>
      </c>
      <c r="V194" t="s">
        <v>7256</v>
      </c>
      <c r="W194">
        <v>32</v>
      </c>
      <c r="X194" t="s">
        <v>7450</v>
      </c>
      <c r="Y194">
        <v>0.48414729664524658</v>
      </c>
      <c r="Z194" t="str">
        <f>HYPERLINK("Melting_Curves/meltCurve_sp_O60763_USO1_HUMAN_.pdf", "Melting_Curves/meltCurve_sp_O60763_USO1_HUMAN_.pdf")</f>
        <v>Melting_Curves/meltCurve_sp_O60763_USO1_HUMAN_.pdf</v>
      </c>
      <c r="AA194" t="s">
        <v>11074</v>
      </c>
      <c r="AB194" t="s">
        <v>14620</v>
      </c>
    </row>
    <row r="195" spans="1:28" x14ac:dyDescent="0.25">
      <c r="A195" t="s">
        <v>199</v>
      </c>
      <c r="B195">
        <v>0.98018197421672304</v>
      </c>
      <c r="C195">
        <v>0.95543051139969204</v>
      </c>
      <c r="D195">
        <v>0.86784687031817598</v>
      </c>
      <c r="E195">
        <v>0.628582024041903</v>
      </c>
      <c r="F195">
        <v>0.244180167278545</v>
      </c>
      <c r="G195">
        <v>0.14157098219035699</v>
      </c>
      <c r="H195">
        <v>7.5465462492137397E-2</v>
      </c>
      <c r="I195">
        <v>5.8490386869607197E-2</v>
      </c>
      <c r="J195">
        <v>7.1187381379435602E-2</v>
      </c>
      <c r="K195">
        <v>4.52194680763537E-2</v>
      </c>
      <c r="L195">
        <v>1135.6254758008899</v>
      </c>
      <c r="M195">
        <v>22.494154245866699</v>
      </c>
      <c r="N195">
        <v>50.743081762547597</v>
      </c>
      <c r="O195">
        <v>50.091436987768397</v>
      </c>
      <c r="P195">
        <v>-0.10620742863700799</v>
      </c>
      <c r="Q195">
        <v>5.3981085529228E-2</v>
      </c>
      <c r="R195">
        <v>0.99428585924594604</v>
      </c>
      <c r="S195" t="s">
        <v>3824</v>
      </c>
      <c r="T195" t="s">
        <v>7256</v>
      </c>
      <c r="U195" t="s">
        <v>7256</v>
      </c>
      <c r="V195" t="s">
        <v>7256</v>
      </c>
      <c r="W195">
        <v>14</v>
      </c>
      <c r="X195" t="s">
        <v>7451</v>
      </c>
      <c r="Y195">
        <v>0.39509704798526352</v>
      </c>
      <c r="Z195" t="str">
        <f>HYPERLINK("Melting_Curves/meltCurve_sp_O60826_CCD22_HUMAN_.pdf", "Melting_Curves/meltCurve_sp_O60826_CCD22_HUMAN_.pdf")</f>
        <v>Melting_Curves/meltCurve_sp_O60826_CCD22_HUMAN_.pdf</v>
      </c>
      <c r="AA195" t="s">
        <v>11075</v>
      </c>
      <c r="AB195" t="s">
        <v>14621</v>
      </c>
    </row>
    <row r="196" spans="1:28" x14ac:dyDescent="0.25">
      <c r="A196" t="s">
        <v>200</v>
      </c>
      <c r="B196">
        <v>0.98018197421672304</v>
      </c>
      <c r="C196">
        <v>0.96578083632919698</v>
      </c>
      <c r="D196">
        <v>0.84688324043007301</v>
      </c>
      <c r="E196">
        <v>0.799649984219162</v>
      </c>
      <c r="F196">
        <v>0.56392329029769095</v>
      </c>
      <c r="G196">
        <v>0.35127814380966799</v>
      </c>
      <c r="H196">
        <v>0.36461233633618501</v>
      </c>
      <c r="I196">
        <v>0.39509202312436498</v>
      </c>
      <c r="J196">
        <v>0.41778630247265303</v>
      </c>
      <c r="K196">
        <v>0.58037427715804402</v>
      </c>
      <c r="L196">
        <v>1226.18700406125</v>
      </c>
      <c r="M196">
        <v>24.282708956532002</v>
      </c>
      <c r="N196">
        <v>54.542389934834297</v>
      </c>
      <c r="O196">
        <v>50.157574286752798</v>
      </c>
      <c r="P196">
        <v>-7.0506851621792294E-2</v>
      </c>
      <c r="Q196">
        <v>0.41746215141701198</v>
      </c>
      <c r="R196">
        <v>0.90141878073204595</v>
      </c>
      <c r="S196" t="s">
        <v>3825</v>
      </c>
      <c r="T196" t="s">
        <v>7256</v>
      </c>
      <c r="U196" t="s">
        <v>7256</v>
      </c>
      <c r="V196" t="s">
        <v>7256</v>
      </c>
      <c r="W196">
        <v>2</v>
      </c>
      <c r="X196" t="s">
        <v>7452</v>
      </c>
      <c r="Y196">
        <v>0.62682386468921758</v>
      </c>
      <c r="Z196" t="str">
        <f>HYPERLINK("Melting_Curves/meltCurve_sp_O60828_2_PQBP1_HUMAN_.pdf", "Melting_Curves/meltCurve_sp_O60828_2_PQBP1_HUMAN_.pdf")</f>
        <v>Melting_Curves/meltCurve_sp_O60828_2_PQBP1_HUMAN_.pdf</v>
      </c>
      <c r="AA196" t="s">
        <v>11076</v>
      </c>
      <c r="AB196" t="s">
        <v>14622</v>
      </c>
    </row>
    <row r="197" spans="1:28" x14ac:dyDescent="0.25">
      <c r="A197" t="s">
        <v>201</v>
      </c>
      <c r="B197">
        <v>0.98018197421672304</v>
      </c>
      <c r="C197">
        <v>0.90955150954972797</v>
      </c>
      <c r="D197">
        <v>0.88755924652037599</v>
      </c>
      <c r="E197">
        <v>0.68832889138884901</v>
      </c>
      <c r="F197">
        <v>0.58524363982137795</v>
      </c>
      <c r="G197">
        <v>0.44176731263682001</v>
      </c>
      <c r="H197">
        <v>0.352813168543268</v>
      </c>
      <c r="I197">
        <v>0.32374939599211899</v>
      </c>
      <c r="J197">
        <v>0.29450700065413599</v>
      </c>
      <c r="K197">
        <v>0.359368154722224</v>
      </c>
      <c r="L197">
        <v>661.09967491161797</v>
      </c>
      <c r="M197">
        <v>12.9127736302608</v>
      </c>
      <c r="N197">
        <v>54.877420008757902</v>
      </c>
      <c r="O197">
        <v>50.016075078069299</v>
      </c>
      <c r="P197">
        <v>-4.5855208791323501E-2</v>
      </c>
      <c r="Q197">
        <v>0.28967002074741899</v>
      </c>
      <c r="R197">
        <v>0.99096266482571305</v>
      </c>
      <c r="S197" t="s">
        <v>3826</v>
      </c>
      <c r="T197" t="s">
        <v>7256</v>
      </c>
      <c r="U197" t="s">
        <v>7256</v>
      </c>
      <c r="V197" t="s">
        <v>7256</v>
      </c>
      <c r="W197">
        <v>3</v>
      </c>
      <c r="X197" t="s">
        <v>7453</v>
      </c>
      <c r="Y197">
        <v>0.57538927514509375</v>
      </c>
      <c r="Z197" t="str">
        <f>HYPERLINK("Melting_Curves/meltCurve_sp_O60832_DKC1_HUMAN_.pdf", "Melting_Curves/meltCurve_sp_O60832_DKC1_HUMAN_.pdf")</f>
        <v>Melting_Curves/meltCurve_sp_O60832_DKC1_HUMAN_.pdf</v>
      </c>
      <c r="AA197" t="s">
        <v>11077</v>
      </c>
      <c r="AB197" t="s">
        <v>14623</v>
      </c>
    </row>
    <row r="198" spans="1:28" x14ac:dyDescent="0.25">
      <c r="A198" t="s">
        <v>202</v>
      </c>
      <c r="B198">
        <v>0.98018197421672304</v>
      </c>
      <c r="C198">
        <v>0.88100751553734302</v>
      </c>
      <c r="D198">
        <v>0.87342508387096096</v>
      </c>
      <c r="E198">
        <v>0.71301656954675197</v>
      </c>
      <c r="F198">
        <v>0.529522732291419</v>
      </c>
      <c r="G198">
        <v>0.348577147453005</v>
      </c>
      <c r="H198">
        <v>0.26103924306250897</v>
      </c>
      <c r="I198">
        <v>0.246010913755491</v>
      </c>
      <c r="J198">
        <v>0.29251431111054399</v>
      </c>
      <c r="K198">
        <v>0.247498163991305</v>
      </c>
      <c r="L198">
        <v>721.49399805007397</v>
      </c>
      <c r="M198">
        <v>14.068536003367599</v>
      </c>
      <c r="N198">
        <v>53.4842413693504</v>
      </c>
      <c r="O198">
        <v>50.281380588618703</v>
      </c>
      <c r="P198">
        <v>-5.4589368019769699E-2</v>
      </c>
      <c r="Q198">
        <v>0.219684795780444</v>
      </c>
      <c r="R198">
        <v>0.986736686629896</v>
      </c>
      <c r="S198" t="s">
        <v>3827</v>
      </c>
      <c r="T198" t="s">
        <v>7256</v>
      </c>
      <c r="U198" t="s">
        <v>7256</v>
      </c>
      <c r="V198" t="s">
        <v>7256</v>
      </c>
      <c r="W198">
        <v>16</v>
      </c>
      <c r="X198" t="s">
        <v>7454</v>
      </c>
      <c r="Y198">
        <v>0.53297437044105445</v>
      </c>
      <c r="Z198" t="str">
        <f>HYPERLINK("Melting_Curves/meltCurve_sp_O60841_IF2P_HUMAN_.pdf", "Melting_Curves/meltCurve_sp_O60841_IF2P_HUMAN_.pdf")</f>
        <v>Melting_Curves/meltCurve_sp_O60841_IF2P_HUMAN_.pdf</v>
      </c>
      <c r="AA198" t="s">
        <v>11078</v>
      </c>
      <c r="AB198" t="s">
        <v>14624</v>
      </c>
    </row>
    <row r="199" spans="1:28" x14ac:dyDescent="0.25">
      <c r="A199" t="s">
        <v>203</v>
      </c>
      <c r="B199">
        <v>0.98018197421672304</v>
      </c>
      <c r="C199">
        <v>1.01324539670296</v>
      </c>
      <c r="D199">
        <v>0.95230976588032401</v>
      </c>
      <c r="E199">
        <v>0.91614226874991</v>
      </c>
      <c r="F199">
        <v>0.94504015171962696</v>
      </c>
      <c r="G199">
        <v>0.68810878244190399</v>
      </c>
      <c r="H199">
        <v>0.56676036946172104</v>
      </c>
      <c r="I199">
        <v>0.63246647857650595</v>
      </c>
      <c r="J199">
        <v>0.66214066484690204</v>
      </c>
      <c r="K199">
        <v>1.0551613010372101</v>
      </c>
      <c r="L199">
        <v>10541.7837904475</v>
      </c>
      <c r="M199">
        <v>197.49607102064601</v>
      </c>
      <c r="O199">
        <v>53.371707009452102</v>
      </c>
      <c r="P199">
        <v>-0.25816928252565602</v>
      </c>
      <c r="Q199">
        <v>0.72092739290875196</v>
      </c>
      <c r="R199">
        <v>0.470452601523009</v>
      </c>
      <c r="S199" t="s">
        <v>3828</v>
      </c>
      <c r="T199" t="s">
        <v>7256</v>
      </c>
      <c r="U199" t="s">
        <v>7256</v>
      </c>
      <c r="V199" t="s">
        <v>7256</v>
      </c>
      <c r="W199">
        <v>7</v>
      </c>
      <c r="X199" t="s">
        <v>7455</v>
      </c>
      <c r="Y199">
        <v>0.84540945990708516</v>
      </c>
      <c r="Z199" t="str">
        <f>HYPERLINK("Melting_Curves/meltCurve_sp_O60869_EDF1_HUMAN_.pdf", "Melting_Curves/meltCurve_sp_O60869_EDF1_HUMAN_.pdf")</f>
        <v>Melting_Curves/meltCurve_sp_O60869_EDF1_HUMAN_.pdf</v>
      </c>
      <c r="AA199" t="s">
        <v>11079</v>
      </c>
      <c r="AB199" t="s">
        <v>14625</v>
      </c>
    </row>
    <row r="200" spans="1:28" x14ac:dyDescent="0.25">
      <c r="A200" t="s">
        <v>204</v>
      </c>
      <c r="B200">
        <v>0.98018197421672304</v>
      </c>
      <c r="C200">
        <v>0.90837784643972797</v>
      </c>
      <c r="D200">
        <v>0.82667787068106602</v>
      </c>
      <c r="E200">
        <v>0.61203819022265504</v>
      </c>
      <c r="F200">
        <v>0.354964128328974</v>
      </c>
      <c r="G200">
        <v>0.18469029254329999</v>
      </c>
      <c r="H200">
        <v>0.14131198931006</v>
      </c>
      <c r="I200">
        <v>0.123594268696058</v>
      </c>
      <c r="J200">
        <v>9.0274033270308501E-2</v>
      </c>
      <c r="K200">
        <v>0.106951676329027</v>
      </c>
      <c r="L200">
        <v>795.7019386915</v>
      </c>
      <c r="M200">
        <v>15.7761514517712</v>
      </c>
      <c r="N200">
        <v>51.010843006896899</v>
      </c>
      <c r="O200">
        <v>49.6474750132517</v>
      </c>
      <c r="P200">
        <v>-7.2987847700836994E-2</v>
      </c>
      <c r="Q200">
        <v>8.1306492315185705E-2</v>
      </c>
      <c r="R200">
        <v>0.99620385048430304</v>
      </c>
      <c r="S200" t="s">
        <v>3829</v>
      </c>
      <c r="T200" t="s">
        <v>7256</v>
      </c>
      <c r="U200" t="s">
        <v>7256</v>
      </c>
      <c r="V200" t="s">
        <v>7256</v>
      </c>
      <c r="W200">
        <v>10</v>
      </c>
      <c r="X200" t="s">
        <v>7456</v>
      </c>
      <c r="Y200">
        <v>0.42070780453660211</v>
      </c>
      <c r="Z200" t="str">
        <f>HYPERLINK("Melting_Curves/meltCurve_sp_O60884_DNJA2_HUMAN_.pdf", "Melting_Curves/meltCurve_sp_O60884_DNJA2_HUMAN_.pdf")</f>
        <v>Melting_Curves/meltCurve_sp_O60884_DNJA2_HUMAN_.pdf</v>
      </c>
      <c r="AA200" t="s">
        <v>11080</v>
      </c>
      <c r="AB200" t="s">
        <v>14626</v>
      </c>
    </row>
    <row r="201" spans="1:28" x14ac:dyDescent="0.25">
      <c r="A201" t="s">
        <v>205</v>
      </c>
      <c r="B201">
        <v>0.98018197421672304</v>
      </c>
      <c r="C201">
        <v>0.97823239085525004</v>
      </c>
      <c r="D201">
        <v>0.86907833247103605</v>
      </c>
      <c r="E201">
        <v>0.67338555567218605</v>
      </c>
      <c r="F201">
        <v>0.48212607039245797</v>
      </c>
      <c r="G201">
        <v>0.34946932120312102</v>
      </c>
      <c r="H201">
        <v>0.26346551022388998</v>
      </c>
      <c r="I201">
        <v>0.239942090449377</v>
      </c>
      <c r="J201">
        <v>0.31218742544327499</v>
      </c>
      <c r="K201">
        <v>0.31434423049300098</v>
      </c>
      <c r="L201">
        <v>925.29655725817202</v>
      </c>
      <c r="M201">
        <v>18.3761290476365</v>
      </c>
      <c r="N201">
        <v>52.589954223976598</v>
      </c>
      <c r="O201">
        <v>49.768241214281801</v>
      </c>
      <c r="P201">
        <v>-6.7281324629137093E-2</v>
      </c>
      <c r="Q201">
        <v>0.27115863247324001</v>
      </c>
      <c r="R201">
        <v>0.99154285514001494</v>
      </c>
      <c r="S201" t="s">
        <v>3830</v>
      </c>
      <c r="T201" t="s">
        <v>7256</v>
      </c>
      <c r="U201" t="s">
        <v>7256</v>
      </c>
      <c r="V201" t="s">
        <v>7256</v>
      </c>
      <c r="W201">
        <v>5</v>
      </c>
      <c r="X201" t="s">
        <v>7457</v>
      </c>
      <c r="Y201">
        <v>0.53459071520346424</v>
      </c>
      <c r="Z201" t="str">
        <f>HYPERLINK("Melting_Curves/meltCurve_sp_O60885_BRD4_HUMAN_.pdf", "Melting_Curves/meltCurve_sp_O60885_BRD4_HUMAN_.pdf")</f>
        <v>Melting_Curves/meltCurve_sp_O60885_BRD4_HUMAN_.pdf</v>
      </c>
      <c r="AA201" t="s">
        <v>11081</v>
      </c>
      <c r="AB201" t="s">
        <v>14627</v>
      </c>
    </row>
    <row r="202" spans="1:28" x14ac:dyDescent="0.25">
      <c r="A202" t="s">
        <v>206</v>
      </c>
      <c r="B202">
        <v>0.98018197421672304</v>
      </c>
      <c r="C202">
        <v>0.955326565261853</v>
      </c>
      <c r="D202">
        <v>0.91939580773027096</v>
      </c>
      <c r="E202">
        <v>0.81624549697735604</v>
      </c>
      <c r="F202">
        <v>0.69738009792017597</v>
      </c>
      <c r="G202">
        <v>0.49851347527833501</v>
      </c>
      <c r="H202">
        <v>0.40501857941068597</v>
      </c>
      <c r="I202">
        <v>0.37185596943093102</v>
      </c>
      <c r="J202">
        <v>0.37648067009485098</v>
      </c>
      <c r="K202">
        <v>0.53332420712343598</v>
      </c>
      <c r="L202">
        <v>972.76540352086295</v>
      </c>
      <c r="M202">
        <v>18.6353803835886</v>
      </c>
      <c r="N202">
        <v>57.369601817434898</v>
      </c>
      <c r="O202">
        <v>51.609967235635501</v>
      </c>
      <c r="P202">
        <v>-5.3555596497985698E-2</v>
      </c>
      <c r="Q202">
        <v>0.406744892475289</v>
      </c>
      <c r="R202">
        <v>0.95495988089208905</v>
      </c>
      <c r="S202" t="s">
        <v>3831</v>
      </c>
      <c r="T202" t="s">
        <v>7256</v>
      </c>
      <c r="U202" t="s">
        <v>7256</v>
      </c>
      <c r="V202" t="s">
        <v>7256</v>
      </c>
      <c r="W202">
        <v>4</v>
      </c>
      <c r="X202" t="s">
        <v>7458</v>
      </c>
      <c r="Y202">
        <v>0.65728061008217686</v>
      </c>
      <c r="Z202" t="str">
        <f>HYPERLINK("Melting_Curves/meltCurve_sp_O60925_PFD1_HUMAN_.pdf", "Melting_Curves/meltCurve_sp_O60925_PFD1_HUMAN_.pdf")</f>
        <v>Melting_Curves/meltCurve_sp_O60925_PFD1_HUMAN_.pdf</v>
      </c>
      <c r="AA202" t="s">
        <v>11082</v>
      </c>
      <c r="AB202" t="s">
        <v>14628</v>
      </c>
    </row>
    <row r="203" spans="1:28" x14ac:dyDescent="0.25">
      <c r="A203" t="s">
        <v>207</v>
      </c>
      <c r="B203">
        <v>0.98018197421672304</v>
      </c>
      <c r="C203">
        <v>0.849006284870094</v>
      </c>
      <c r="D203">
        <v>0.89794690488962403</v>
      </c>
      <c r="E203">
        <v>0.81605826671757198</v>
      </c>
      <c r="F203">
        <v>0.71396029707722897</v>
      </c>
      <c r="G203">
        <v>0.55230961496117703</v>
      </c>
      <c r="H203">
        <v>0.43891299540060602</v>
      </c>
      <c r="I203">
        <v>0.41200616124956602</v>
      </c>
      <c r="J203">
        <v>0.36047930029606801</v>
      </c>
      <c r="K203">
        <v>0.57458651542957095</v>
      </c>
      <c r="L203">
        <v>623.74445253467297</v>
      </c>
      <c r="M203">
        <v>11.943231279948099</v>
      </c>
      <c r="N203">
        <v>60.351847226450701</v>
      </c>
      <c r="O203">
        <v>50.826194114563499</v>
      </c>
      <c r="P203">
        <v>-3.52638129313433E-2</v>
      </c>
      <c r="Q203">
        <v>0.39986578692286801</v>
      </c>
      <c r="R203">
        <v>0.89086206045120098</v>
      </c>
      <c r="S203" t="s">
        <v>3832</v>
      </c>
      <c r="T203" t="s">
        <v>7256</v>
      </c>
      <c r="U203" t="s">
        <v>7256</v>
      </c>
      <c r="V203" t="s">
        <v>7256</v>
      </c>
      <c r="W203">
        <v>3</v>
      </c>
      <c r="X203" t="s">
        <v>7459</v>
      </c>
      <c r="Y203">
        <v>0.6626288029345917</v>
      </c>
      <c r="Z203" t="str">
        <f>HYPERLINK("Melting_Curves/meltCurve_sp_O60927_PP1RB_HUMAN_.pdf", "Melting_Curves/meltCurve_sp_O60927_PP1RB_HUMAN_.pdf")</f>
        <v>Melting_Curves/meltCurve_sp_O60927_PP1RB_HUMAN_.pdf</v>
      </c>
      <c r="AA203" t="s">
        <v>11083</v>
      </c>
      <c r="AB203" t="s">
        <v>14629</v>
      </c>
    </row>
    <row r="204" spans="1:28" x14ac:dyDescent="0.25">
      <c r="A204" t="s">
        <v>208</v>
      </c>
      <c r="B204">
        <v>0.98018197421672304</v>
      </c>
      <c r="C204">
        <v>0.86531626929137695</v>
      </c>
      <c r="D204">
        <v>0.81539679045749902</v>
      </c>
      <c r="E204">
        <v>0.62153710821485497</v>
      </c>
      <c r="F204">
        <v>0.425166505519539</v>
      </c>
      <c r="G204">
        <v>0.25347343495663199</v>
      </c>
      <c r="H204">
        <v>0.24266060590531399</v>
      </c>
      <c r="I204">
        <v>0.24028618835902099</v>
      </c>
      <c r="J204">
        <v>0.26351185885725897</v>
      </c>
      <c r="K204">
        <v>0.33386934345550601</v>
      </c>
      <c r="L204">
        <v>788.35639676835206</v>
      </c>
      <c r="M204">
        <v>16.029992987077001</v>
      </c>
      <c r="N204">
        <v>51.326298146795303</v>
      </c>
      <c r="O204">
        <v>48.433802954339697</v>
      </c>
      <c r="P204">
        <v>-6.25394471836557E-2</v>
      </c>
      <c r="Q204">
        <v>0.24421986930754699</v>
      </c>
      <c r="R204">
        <v>0.97356059520627902</v>
      </c>
      <c r="S204" t="s">
        <v>3833</v>
      </c>
      <c r="T204" t="s">
        <v>7256</v>
      </c>
      <c r="U204" t="s">
        <v>7256</v>
      </c>
      <c r="V204" t="s">
        <v>7256</v>
      </c>
      <c r="W204">
        <v>6</v>
      </c>
      <c r="X204" t="s">
        <v>7460</v>
      </c>
      <c r="Y204">
        <v>0.49183897011276129</v>
      </c>
      <c r="Z204" t="str">
        <f>HYPERLINK("Melting_Curves/meltCurve_sp_O60934_NBN_HUMAN_.pdf", "Melting_Curves/meltCurve_sp_O60934_NBN_HUMAN_.pdf")</f>
        <v>Melting_Curves/meltCurve_sp_O60934_NBN_HUMAN_.pdf</v>
      </c>
      <c r="AA204" t="s">
        <v>11084</v>
      </c>
      <c r="AB204" t="s">
        <v>14630</v>
      </c>
    </row>
    <row r="205" spans="1:28" x14ac:dyDescent="0.25">
      <c r="A205" t="s">
        <v>209</v>
      </c>
      <c r="B205">
        <v>0.98018197421672304</v>
      </c>
      <c r="C205">
        <v>0.79186328608289602</v>
      </c>
      <c r="D205">
        <v>0.55430183463687899</v>
      </c>
      <c r="E205">
        <v>0.20190909492071399</v>
      </c>
      <c r="F205">
        <v>0.10244685807364599</v>
      </c>
      <c r="G205">
        <v>7.2597584779160604E-2</v>
      </c>
      <c r="H205">
        <v>5.8118769713028103E-2</v>
      </c>
      <c r="I205">
        <v>3.51332721216433E-2</v>
      </c>
      <c r="J205">
        <v>6.1629111133798299E-2</v>
      </c>
      <c r="K205">
        <v>5.22932547366705E-2</v>
      </c>
      <c r="L205">
        <v>918.22927257286005</v>
      </c>
      <c r="M205">
        <v>19.9263034364877</v>
      </c>
      <c r="N205">
        <v>46.309578619926697</v>
      </c>
      <c r="O205">
        <v>45.624683917235799</v>
      </c>
      <c r="P205">
        <v>-0.10408122344068201</v>
      </c>
      <c r="Q205">
        <v>4.6784338459894999E-2</v>
      </c>
      <c r="R205">
        <v>0.99755739253357201</v>
      </c>
      <c r="S205" t="s">
        <v>3834</v>
      </c>
      <c r="T205" t="s">
        <v>7256</v>
      </c>
      <c r="U205" t="s">
        <v>7256</v>
      </c>
      <c r="V205" t="s">
        <v>7256</v>
      </c>
      <c r="W205">
        <v>2</v>
      </c>
      <c r="X205" t="s">
        <v>7461</v>
      </c>
      <c r="Y205">
        <v>0.25478666529367489</v>
      </c>
      <c r="Z205" t="str">
        <f>HYPERLINK("Melting_Curves/meltCurve_sp_O60942_3_MCE1_HUMAN_.pdf", "Melting_Curves/meltCurve_sp_O60942_3_MCE1_HUMAN_.pdf")</f>
        <v>Melting_Curves/meltCurve_sp_O60942_3_MCE1_HUMAN_.pdf</v>
      </c>
      <c r="AA205" t="s">
        <v>11085</v>
      </c>
      <c r="AB205" t="s">
        <v>14631</v>
      </c>
    </row>
    <row r="206" spans="1:28" x14ac:dyDescent="0.25">
      <c r="A206" t="s">
        <v>210</v>
      </c>
      <c r="B206">
        <v>0.98018197421672304</v>
      </c>
      <c r="C206">
        <v>0.75379820925908303</v>
      </c>
      <c r="D206">
        <v>0.813016354068828</v>
      </c>
      <c r="E206">
        <v>0.75092089120009997</v>
      </c>
      <c r="F206">
        <v>0.71219801018433804</v>
      </c>
      <c r="G206">
        <v>0.77954011555179703</v>
      </c>
      <c r="H206">
        <v>0.530870568349738</v>
      </c>
      <c r="I206">
        <v>0.56146291110740998</v>
      </c>
      <c r="J206">
        <v>0.68745311464478098</v>
      </c>
      <c r="K206">
        <v>0.72672053006867599</v>
      </c>
      <c r="L206">
        <v>437.382594375731</v>
      </c>
      <c r="M206">
        <v>9.8245542672686899</v>
      </c>
      <c r="O206">
        <v>42.792470942175299</v>
      </c>
      <c r="P206">
        <v>-2.0706835771023901E-2</v>
      </c>
      <c r="Q206">
        <v>0.63941945715869997</v>
      </c>
      <c r="R206">
        <v>0.58137780726002997</v>
      </c>
      <c r="S206" t="s">
        <v>3835</v>
      </c>
      <c r="T206" t="s">
        <v>7256</v>
      </c>
      <c r="U206" t="s">
        <v>7256</v>
      </c>
      <c r="V206" t="s">
        <v>7256</v>
      </c>
      <c r="W206">
        <v>2</v>
      </c>
      <c r="X206" t="s">
        <v>7462</v>
      </c>
      <c r="Y206">
        <v>0.72037509481821127</v>
      </c>
      <c r="Z206" t="str">
        <f>HYPERLINK("Melting_Curves/meltCurve_sp_O75081_2_MTG16_HUMAN_.pdf", "Melting_Curves/meltCurve_sp_O75081_2_MTG16_HUMAN_.pdf")</f>
        <v>Melting_Curves/meltCurve_sp_O75081_2_MTG16_HUMAN_.pdf</v>
      </c>
      <c r="AA206" t="s">
        <v>11086</v>
      </c>
      <c r="AB206" t="s">
        <v>14632</v>
      </c>
    </row>
    <row r="207" spans="1:28" x14ac:dyDescent="0.25">
      <c r="A207" t="s">
        <v>211</v>
      </c>
      <c r="B207">
        <v>0.98018197421672304</v>
      </c>
      <c r="C207">
        <v>1.0124232597074401</v>
      </c>
      <c r="D207">
        <v>0.98600848151804199</v>
      </c>
      <c r="E207">
        <v>0.71613206746921498</v>
      </c>
      <c r="F207">
        <v>0.30251889892315798</v>
      </c>
      <c r="G207">
        <v>0.107639859649731</v>
      </c>
      <c r="H207">
        <v>6.1807972162094001E-2</v>
      </c>
      <c r="I207">
        <v>4.8542083963560301E-2</v>
      </c>
      <c r="J207">
        <v>5.0962470088644497E-2</v>
      </c>
      <c r="K207">
        <v>4.1681697592135698E-2</v>
      </c>
      <c r="L207">
        <v>1626.61663395297</v>
      </c>
      <c r="M207">
        <v>31.684900087035</v>
      </c>
      <c r="N207">
        <v>51.514802149616202</v>
      </c>
      <c r="O207">
        <v>51.134076788856497</v>
      </c>
      <c r="P207">
        <v>-0.14689940220435199</v>
      </c>
      <c r="Q207">
        <v>5.1721533795369201E-2</v>
      </c>
      <c r="R207">
        <v>0.99934011418666902</v>
      </c>
      <c r="S207" t="s">
        <v>3836</v>
      </c>
      <c r="T207" t="s">
        <v>7256</v>
      </c>
      <c r="U207" t="s">
        <v>7256</v>
      </c>
      <c r="V207" t="s">
        <v>7256</v>
      </c>
      <c r="W207">
        <v>20</v>
      </c>
      <c r="X207" t="s">
        <v>7463</v>
      </c>
      <c r="Y207">
        <v>0.4154594208815332</v>
      </c>
      <c r="Z207" t="str">
        <f>HYPERLINK("Melting_Curves/meltCurve_sp_O75083_WDR1_HUMAN_.pdf", "Melting_Curves/meltCurve_sp_O75083_WDR1_HUMAN_.pdf")</f>
        <v>Melting_Curves/meltCurve_sp_O75083_WDR1_HUMAN_.pdf</v>
      </c>
      <c r="AA207" t="s">
        <v>11087</v>
      </c>
      <c r="AB207" t="s">
        <v>14633</v>
      </c>
    </row>
    <row r="208" spans="1:28" x14ac:dyDescent="0.25">
      <c r="A208" t="s">
        <v>212</v>
      </c>
      <c r="B208">
        <v>0.98018197421672304</v>
      </c>
      <c r="C208">
        <v>0.88862728344115405</v>
      </c>
      <c r="D208">
        <v>0.82045941310106896</v>
      </c>
      <c r="E208">
        <v>0.630333690371496</v>
      </c>
      <c r="F208">
        <v>0.46458753083320098</v>
      </c>
      <c r="G208">
        <v>0.209845350771344</v>
      </c>
      <c r="H208">
        <v>0.15189948229189501</v>
      </c>
      <c r="I208">
        <v>0.12423609273792199</v>
      </c>
      <c r="J208">
        <v>0.101456579261506</v>
      </c>
      <c r="K208">
        <v>0.124102888236595</v>
      </c>
      <c r="L208">
        <v>676.91393682023295</v>
      </c>
      <c r="M208">
        <v>13.2092929264109</v>
      </c>
      <c r="N208">
        <v>51.785377842971599</v>
      </c>
      <c r="O208">
        <v>50.113527512465801</v>
      </c>
      <c r="P208">
        <v>-6.1666720489396198E-2</v>
      </c>
      <c r="Q208">
        <v>6.4348846408790697E-2</v>
      </c>
      <c r="R208">
        <v>0.99336227467500304</v>
      </c>
      <c r="S208" t="s">
        <v>3837</v>
      </c>
      <c r="T208" t="s">
        <v>7256</v>
      </c>
      <c r="U208" t="s">
        <v>7256</v>
      </c>
      <c r="V208" t="s">
        <v>7256</v>
      </c>
      <c r="W208">
        <v>1</v>
      </c>
      <c r="X208" t="s">
        <v>7464</v>
      </c>
      <c r="Y208">
        <v>0.44123082779431932</v>
      </c>
      <c r="Z208" t="str">
        <f>HYPERLINK("Melting_Curves/meltCurve_sp_O75113_N4BP1_HUMAN_.pdf", "Melting_Curves/meltCurve_sp_O75113_N4BP1_HUMAN_.pdf")</f>
        <v>Melting_Curves/meltCurve_sp_O75113_N4BP1_HUMAN_.pdf</v>
      </c>
      <c r="AA208" t="s">
        <v>11088</v>
      </c>
      <c r="AB208" t="s">
        <v>14634</v>
      </c>
    </row>
    <row r="209" spans="1:28" x14ac:dyDescent="0.25">
      <c r="A209" t="s">
        <v>213</v>
      </c>
      <c r="B209">
        <v>0.98018197421672304</v>
      </c>
      <c r="C209">
        <v>0.93659045646410399</v>
      </c>
      <c r="D209">
        <v>0.88195191247908999</v>
      </c>
      <c r="E209">
        <v>0.60472310494825099</v>
      </c>
      <c r="F209">
        <v>0.24379302630170899</v>
      </c>
      <c r="G209">
        <v>0.122939695486582</v>
      </c>
      <c r="H209">
        <v>7.49703979869739E-2</v>
      </c>
      <c r="I209">
        <v>5.9323822717433902E-2</v>
      </c>
      <c r="J209">
        <v>6.1013509476714099E-2</v>
      </c>
      <c r="K209">
        <v>5.6237039819815801E-2</v>
      </c>
      <c r="L209">
        <v>1160.61239947022</v>
      </c>
      <c r="M209">
        <v>23.0432766462194</v>
      </c>
      <c r="N209">
        <v>50.617641081675501</v>
      </c>
      <c r="O209">
        <v>49.991920760810999</v>
      </c>
      <c r="P209">
        <v>-0.109015498126129</v>
      </c>
      <c r="Q209">
        <v>5.39899549241201E-2</v>
      </c>
      <c r="R209">
        <v>0.99586746511094404</v>
      </c>
      <c r="S209" t="s">
        <v>3838</v>
      </c>
      <c r="T209" t="s">
        <v>7256</v>
      </c>
      <c r="U209" t="s">
        <v>7256</v>
      </c>
      <c r="V209" t="s">
        <v>7256</v>
      </c>
      <c r="W209">
        <v>23</v>
      </c>
      <c r="X209" t="s">
        <v>7465</v>
      </c>
      <c r="Y209">
        <v>0.39086649080196728</v>
      </c>
      <c r="Z209" t="str">
        <f>HYPERLINK("Melting_Curves/meltCurve_sp_O75116_ROCK2_HUMAN_.pdf", "Melting_Curves/meltCurve_sp_O75116_ROCK2_HUMAN_.pdf")</f>
        <v>Melting_Curves/meltCurve_sp_O75116_ROCK2_HUMAN_.pdf</v>
      </c>
      <c r="AA209" t="s">
        <v>11089</v>
      </c>
      <c r="AB209" t="s">
        <v>14635</v>
      </c>
    </row>
    <row r="210" spans="1:28" x14ac:dyDescent="0.25">
      <c r="A210" t="s">
        <v>214</v>
      </c>
      <c r="B210">
        <v>0.98018197421672304</v>
      </c>
      <c r="C210">
        <v>1.09493374275759</v>
      </c>
      <c r="D210">
        <v>1.03898404317271</v>
      </c>
      <c r="E210">
        <v>0.533318940528962</v>
      </c>
      <c r="F210">
        <v>0.31334002261494598</v>
      </c>
      <c r="G210">
        <v>0.17195452713488399</v>
      </c>
      <c r="H210">
        <v>0.12454612367128499</v>
      </c>
      <c r="I210">
        <v>8.7010736126461194E-2</v>
      </c>
      <c r="J210">
        <v>0.601720790876071</v>
      </c>
      <c r="K210">
        <v>0.14648701750544399</v>
      </c>
      <c r="L210">
        <v>2500.7721887912799</v>
      </c>
      <c r="M210">
        <v>50.3992457421814</v>
      </c>
      <c r="N210">
        <v>50.250224583483401</v>
      </c>
      <c r="O210">
        <v>49.541304898286597</v>
      </c>
      <c r="P210">
        <v>-0.19469853266001</v>
      </c>
      <c r="Q210">
        <v>0.23446382707914801</v>
      </c>
      <c r="R210">
        <v>0.86661032426439699</v>
      </c>
      <c r="S210" t="s">
        <v>3839</v>
      </c>
      <c r="T210" t="s">
        <v>7256</v>
      </c>
      <c r="U210" t="s">
        <v>7256</v>
      </c>
      <c r="V210" t="s">
        <v>7256</v>
      </c>
      <c r="W210">
        <v>2</v>
      </c>
      <c r="X210" t="s">
        <v>7466</v>
      </c>
      <c r="Y210">
        <v>0.48157535048844641</v>
      </c>
      <c r="Z210" t="str">
        <f>HYPERLINK("Melting_Curves/meltCurve_sp_O75131_CPNE3_HUMAN_.pdf", "Melting_Curves/meltCurve_sp_O75131_CPNE3_HUMAN_.pdf")</f>
        <v>Melting_Curves/meltCurve_sp_O75131_CPNE3_HUMAN_.pdf</v>
      </c>
      <c r="AA210" t="s">
        <v>11090</v>
      </c>
      <c r="AB210" t="s">
        <v>14636</v>
      </c>
    </row>
    <row r="211" spans="1:28" x14ac:dyDescent="0.25">
      <c r="A211" t="s">
        <v>215</v>
      </c>
      <c r="B211">
        <v>0.98018197421672304</v>
      </c>
      <c r="C211">
        <v>0.94488964657007701</v>
      </c>
      <c r="D211">
        <v>0.89664617241293798</v>
      </c>
      <c r="E211">
        <v>0.73184013969009798</v>
      </c>
      <c r="F211">
        <v>0.33318522378727999</v>
      </c>
      <c r="G211">
        <v>0.13040911542561701</v>
      </c>
      <c r="H211">
        <v>8.5924314870238896E-2</v>
      </c>
      <c r="I211">
        <v>7.1999946837561099E-2</v>
      </c>
      <c r="J211">
        <v>9.1798836579492199E-2</v>
      </c>
      <c r="K211">
        <v>5.7618931575425802E-2</v>
      </c>
      <c r="L211">
        <v>1358.7972862956101</v>
      </c>
      <c r="M211">
        <v>26.448819758362699</v>
      </c>
      <c r="N211">
        <v>51.6648688231219</v>
      </c>
      <c r="O211">
        <v>51.083602983119498</v>
      </c>
      <c r="P211">
        <v>-0.12050301922319299</v>
      </c>
      <c r="Q211">
        <v>6.9045556190564905E-2</v>
      </c>
      <c r="R211">
        <v>0.99378543584132495</v>
      </c>
      <c r="S211" t="s">
        <v>3840</v>
      </c>
      <c r="T211" t="s">
        <v>7256</v>
      </c>
      <c r="U211" t="s">
        <v>7256</v>
      </c>
      <c r="V211" t="s">
        <v>7256</v>
      </c>
      <c r="W211">
        <v>13</v>
      </c>
      <c r="X211" t="s">
        <v>7467</v>
      </c>
      <c r="Y211">
        <v>0.42958097462494388</v>
      </c>
      <c r="Z211" t="str">
        <f>HYPERLINK("Melting_Curves/meltCurve_sp_O75146_HIP1R_HUMAN_.pdf", "Melting_Curves/meltCurve_sp_O75146_HIP1R_HUMAN_.pdf")</f>
        <v>Melting_Curves/meltCurve_sp_O75146_HIP1R_HUMAN_.pdf</v>
      </c>
      <c r="AA211" t="s">
        <v>11091</v>
      </c>
      <c r="AB211" t="s">
        <v>14637</v>
      </c>
    </row>
    <row r="212" spans="1:28" x14ac:dyDescent="0.25">
      <c r="A212" t="s">
        <v>216</v>
      </c>
      <c r="B212">
        <v>0.98018197421672304</v>
      </c>
      <c r="C212">
        <v>0.87055723015493203</v>
      </c>
      <c r="D212">
        <v>0.73117479822363496</v>
      </c>
      <c r="E212">
        <v>0.48062529902564499</v>
      </c>
      <c r="F212">
        <v>0.28297255115815401</v>
      </c>
      <c r="G212">
        <v>0.168633602947625</v>
      </c>
      <c r="H212">
        <v>0.116593689129794</v>
      </c>
      <c r="I212">
        <v>8.63985229100665E-2</v>
      </c>
      <c r="J212">
        <v>0.13728251354037099</v>
      </c>
      <c r="K212">
        <v>5.06412052867488E-2</v>
      </c>
      <c r="L212">
        <v>703.71633291092098</v>
      </c>
      <c r="M212">
        <v>14.391661684326101</v>
      </c>
      <c r="N212">
        <v>49.399156426666003</v>
      </c>
      <c r="O212">
        <v>47.982464524004101</v>
      </c>
      <c r="P212">
        <v>-6.9894432064401907E-2</v>
      </c>
      <c r="Q212">
        <v>6.7985309362635707E-2</v>
      </c>
      <c r="R212">
        <v>0.995592521769323</v>
      </c>
      <c r="S212" t="s">
        <v>3841</v>
      </c>
      <c r="T212" t="s">
        <v>7256</v>
      </c>
      <c r="U212" t="s">
        <v>7256</v>
      </c>
      <c r="V212" t="s">
        <v>7256</v>
      </c>
      <c r="W212">
        <v>6</v>
      </c>
      <c r="X212" t="s">
        <v>7468</v>
      </c>
      <c r="Y212">
        <v>0.3693611030085634</v>
      </c>
      <c r="Z212" t="str">
        <f>HYPERLINK("Melting_Curves/meltCurve_sp_O75150_BRE1B_HUMAN_.pdf", "Melting_Curves/meltCurve_sp_O75150_BRE1B_HUMAN_.pdf")</f>
        <v>Melting_Curves/meltCurve_sp_O75150_BRE1B_HUMAN_.pdf</v>
      </c>
      <c r="AA212" t="s">
        <v>11092</v>
      </c>
      <c r="AB212" t="s">
        <v>14638</v>
      </c>
    </row>
    <row r="213" spans="1:28" x14ac:dyDescent="0.25">
      <c r="A213" t="s">
        <v>217</v>
      </c>
      <c r="B213">
        <v>0.98018197421672304</v>
      </c>
      <c r="C213">
        <v>1.0647188868422801</v>
      </c>
      <c r="D213">
        <v>0.97370479304895696</v>
      </c>
      <c r="E213">
        <v>0.60589955340236101</v>
      </c>
      <c r="F213">
        <v>0.184024785550187</v>
      </c>
      <c r="G213">
        <v>0.140877549631722</v>
      </c>
      <c r="H213">
        <v>7.3239079825382303E-2</v>
      </c>
      <c r="I213">
        <v>3.1979095540366299E-2</v>
      </c>
      <c r="J213">
        <v>5.1527220240638202E-2</v>
      </c>
      <c r="K213">
        <v>7.8891675177434895E-2</v>
      </c>
      <c r="L213">
        <v>1909.37632171215</v>
      </c>
      <c r="M213">
        <v>37.892107089081101</v>
      </c>
      <c r="N213">
        <v>50.593732200323402</v>
      </c>
      <c r="O213">
        <v>50.250084904741101</v>
      </c>
      <c r="P213">
        <v>-0.17516821771619001</v>
      </c>
      <c r="Q213">
        <v>7.0814916381169796E-2</v>
      </c>
      <c r="R213">
        <v>0.99403621895563998</v>
      </c>
      <c r="S213" t="s">
        <v>3842</v>
      </c>
      <c r="T213" t="s">
        <v>7256</v>
      </c>
      <c r="U213" t="s">
        <v>7256</v>
      </c>
      <c r="V213" t="s">
        <v>7256</v>
      </c>
      <c r="W213">
        <v>5</v>
      </c>
      <c r="X213" t="s">
        <v>7469</v>
      </c>
      <c r="Y213">
        <v>0.39622746554909283</v>
      </c>
      <c r="Z213" t="str">
        <f>HYPERLINK("Melting_Curves/meltCurve_sp_O75155_2_CAND2_HUMAN_.pdf", "Melting_Curves/meltCurve_sp_O75155_2_CAND2_HUMAN_.pdf")</f>
        <v>Melting_Curves/meltCurve_sp_O75155_2_CAND2_HUMAN_.pdf</v>
      </c>
      <c r="AA213" t="s">
        <v>11093</v>
      </c>
      <c r="AB213" t="s">
        <v>14639</v>
      </c>
    </row>
    <row r="214" spans="1:28" x14ac:dyDescent="0.25">
      <c r="A214" t="s">
        <v>218</v>
      </c>
      <c r="B214">
        <v>0.98018197421672304</v>
      </c>
      <c r="C214">
        <v>0.89951494740724303</v>
      </c>
      <c r="D214">
        <v>0.82615817074226805</v>
      </c>
      <c r="E214">
        <v>0.60561235854923101</v>
      </c>
      <c r="F214">
        <v>0.30979502355537802</v>
      </c>
      <c r="G214">
        <v>0.163731470092704</v>
      </c>
      <c r="H214">
        <v>0.102036502999217</v>
      </c>
      <c r="I214">
        <v>8.0449861572296097E-2</v>
      </c>
      <c r="J214">
        <v>0.1400230276569</v>
      </c>
      <c r="K214">
        <v>5.14907417244235E-2</v>
      </c>
      <c r="L214">
        <v>840.52078026966899</v>
      </c>
      <c r="M214">
        <v>16.719982025076501</v>
      </c>
      <c r="N214">
        <v>50.696646735604503</v>
      </c>
      <c r="O214">
        <v>49.5678442469979</v>
      </c>
      <c r="P214">
        <v>-7.8804788637721598E-2</v>
      </c>
      <c r="Q214">
        <v>6.5566956758828301E-2</v>
      </c>
      <c r="R214">
        <v>0.99112783123718295</v>
      </c>
      <c r="S214" t="s">
        <v>3843</v>
      </c>
      <c r="T214" t="s">
        <v>7256</v>
      </c>
      <c r="U214" t="s">
        <v>7256</v>
      </c>
      <c r="V214" t="s">
        <v>7256</v>
      </c>
      <c r="W214">
        <v>9</v>
      </c>
      <c r="X214" t="s">
        <v>7470</v>
      </c>
      <c r="Y214">
        <v>0.4036705000130088</v>
      </c>
      <c r="Z214" t="str">
        <f>HYPERLINK("Melting_Curves/meltCurve_sp_O75165_DJC13_HUMAN_.pdf", "Melting_Curves/meltCurve_sp_O75165_DJC13_HUMAN_.pdf")</f>
        <v>Melting_Curves/meltCurve_sp_O75165_DJC13_HUMAN_.pdf</v>
      </c>
      <c r="AA214" t="s">
        <v>11094</v>
      </c>
      <c r="AB214" t="s">
        <v>14640</v>
      </c>
    </row>
    <row r="215" spans="1:28" x14ac:dyDescent="0.25">
      <c r="A215" t="s">
        <v>219</v>
      </c>
      <c r="B215">
        <v>0.98018197421672304</v>
      </c>
      <c r="C215">
        <v>0.95087023608219201</v>
      </c>
      <c r="D215">
        <v>0.88182810777249798</v>
      </c>
      <c r="E215">
        <v>0.72423123566104197</v>
      </c>
      <c r="F215">
        <v>0.49888549200737198</v>
      </c>
      <c r="G215">
        <v>0.28595418054521299</v>
      </c>
      <c r="H215">
        <v>0.252003584604511</v>
      </c>
      <c r="I215">
        <v>0.26081977726494199</v>
      </c>
      <c r="J215">
        <v>0.32842589313425702</v>
      </c>
      <c r="K215">
        <v>0.38921952086199402</v>
      </c>
      <c r="L215">
        <v>1144.60402232715</v>
      </c>
      <c r="M215">
        <v>22.608068856165001</v>
      </c>
      <c r="N215">
        <v>52.680353887591501</v>
      </c>
      <c r="O215">
        <v>50.237001944829601</v>
      </c>
      <c r="P215">
        <v>-7.9570989124487304E-2</v>
      </c>
      <c r="Q215">
        <v>0.29276085324708001</v>
      </c>
      <c r="R215">
        <v>0.97058247866001501</v>
      </c>
      <c r="S215" t="s">
        <v>3844</v>
      </c>
      <c r="T215" t="s">
        <v>7256</v>
      </c>
      <c r="U215" t="s">
        <v>7256</v>
      </c>
      <c r="V215" t="s">
        <v>7256</v>
      </c>
      <c r="W215">
        <v>17</v>
      </c>
      <c r="X215" t="s">
        <v>7471</v>
      </c>
      <c r="Y215">
        <v>0.55107219329059365</v>
      </c>
      <c r="Z215" t="str">
        <f>HYPERLINK("Melting_Curves/meltCurve_sp_O75170_4_PP6R2_HUMAN_.pdf", "Melting_Curves/meltCurve_sp_O75170_4_PP6R2_HUMAN_.pdf")</f>
        <v>Melting_Curves/meltCurve_sp_O75170_4_PP6R2_HUMAN_.pdf</v>
      </c>
      <c r="AA215" t="s">
        <v>11095</v>
      </c>
      <c r="AB215" t="s">
        <v>14641</v>
      </c>
    </row>
    <row r="216" spans="1:28" x14ac:dyDescent="0.25">
      <c r="A216" t="s">
        <v>220</v>
      </c>
      <c r="B216">
        <v>0.98018197421672304</v>
      </c>
      <c r="C216">
        <v>0.97830461963792803</v>
      </c>
      <c r="D216">
        <v>0.88456572145509105</v>
      </c>
      <c r="E216">
        <v>0.69727293342889696</v>
      </c>
      <c r="F216">
        <v>0.57990136200698295</v>
      </c>
      <c r="G216">
        <v>0.44192331146028202</v>
      </c>
      <c r="H216">
        <v>0.33389697301903598</v>
      </c>
      <c r="I216">
        <v>0.353236319238871</v>
      </c>
      <c r="J216">
        <v>0.39468246368290599</v>
      </c>
      <c r="K216">
        <v>0.41962597272192897</v>
      </c>
      <c r="L216">
        <v>871.84104829020805</v>
      </c>
      <c r="M216">
        <v>17.309424133437901</v>
      </c>
      <c r="N216">
        <v>54.497034926474697</v>
      </c>
      <c r="O216">
        <v>49.710166057488998</v>
      </c>
      <c r="P216">
        <v>-5.5255956866597997E-2</v>
      </c>
      <c r="Q216">
        <v>0.36528818562881499</v>
      </c>
      <c r="R216">
        <v>0.986136493494013</v>
      </c>
      <c r="S216" t="s">
        <v>3845</v>
      </c>
      <c r="T216" t="s">
        <v>7256</v>
      </c>
      <c r="U216" t="s">
        <v>7256</v>
      </c>
      <c r="V216" t="s">
        <v>7256</v>
      </c>
      <c r="W216">
        <v>9</v>
      </c>
      <c r="X216" t="s">
        <v>7472</v>
      </c>
      <c r="Y216">
        <v>0.59622813228926375</v>
      </c>
      <c r="Z216" t="str">
        <f>HYPERLINK("Melting_Curves/meltCurve_sp_O75175_CNOT3_HUMAN_.pdf", "Melting_Curves/meltCurve_sp_O75175_CNOT3_HUMAN_.pdf")</f>
        <v>Melting_Curves/meltCurve_sp_O75175_CNOT3_HUMAN_.pdf</v>
      </c>
      <c r="AA216" t="s">
        <v>11096</v>
      </c>
      <c r="AB216" t="s">
        <v>14642</v>
      </c>
    </row>
    <row r="217" spans="1:28" x14ac:dyDescent="0.25">
      <c r="A217" t="s">
        <v>221</v>
      </c>
      <c r="B217">
        <v>0.98018197421672304</v>
      </c>
      <c r="C217">
        <v>0.83789490555661905</v>
      </c>
      <c r="D217">
        <v>0.95178668535546496</v>
      </c>
      <c r="E217">
        <v>0.81550417004222997</v>
      </c>
      <c r="F217">
        <v>0.79623844116710596</v>
      </c>
      <c r="G217">
        <v>0.60368059839067201</v>
      </c>
      <c r="H217">
        <v>0.46335175911425602</v>
      </c>
      <c r="I217">
        <v>0.52756934186859605</v>
      </c>
      <c r="J217">
        <v>0.60067784867054397</v>
      </c>
      <c r="K217">
        <v>0.47356428248224303</v>
      </c>
      <c r="L217">
        <v>565.41187788261595</v>
      </c>
      <c r="M217">
        <v>10.660165358658499</v>
      </c>
      <c r="N217">
        <v>68.319711273102797</v>
      </c>
      <c r="O217">
        <v>51.275377043026701</v>
      </c>
      <c r="P217">
        <v>-2.8393441448912E-2</v>
      </c>
      <c r="Q217">
        <v>0.45391844383771801</v>
      </c>
      <c r="R217">
        <v>0.87994484650201399</v>
      </c>
      <c r="S217" t="s">
        <v>3846</v>
      </c>
      <c r="T217" t="s">
        <v>7256</v>
      </c>
      <c r="U217" t="s">
        <v>7256</v>
      </c>
      <c r="V217" t="s">
        <v>7256</v>
      </c>
      <c r="W217">
        <v>1</v>
      </c>
      <c r="X217" t="s">
        <v>7473</v>
      </c>
      <c r="Y217">
        <v>0.70880107558236238</v>
      </c>
      <c r="Z217" t="str">
        <f>HYPERLINK("Melting_Curves/meltCurve_sp_O75177_CREST_HUMAN_.pdf", "Melting_Curves/meltCurve_sp_O75177_CREST_HUMAN_.pdf")</f>
        <v>Melting_Curves/meltCurve_sp_O75177_CREST_HUMAN_.pdf</v>
      </c>
      <c r="AA217" t="s">
        <v>11097</v>
      </c>
      <c r="AB217" t="s">
        <v>14643</v>
      </c>
    </row>
    <row r="218" spans="1:28" x14ac:dyDescent="0.25">
      <c r="A218" t="s">
        <v>222</v>
      </c>
      <c r="B218">
        <v>0.98018197421672304</v>
      </c>
      <c r="C218">
        <v>0.66625451847707096</v>
      </c>
      <c r="D218">
        <v>0.69368670292824897</v>
      </c>
      <c r="E218">
        <v>0.67617086206206101</v>
      </c>
      <c r="F218">
        <v>0.51403630923194599</v>
      </c>
      <c r="G218">
        <v>0.29556436183285101</v>
      </c>
      <c r="H218">
        <v>0.21598089843644899</v>
      </c>
      <c r="I218">
        <v>0.154681827516819</v>
      </c>
      <c r="J218">
        <v>4.6920476861122801E-2</v>
      </c>
      <c r="K218">
        <v>3.1899283153287397E-2</v>
      </c>
      <c r="L218">
        <v>433.57338972048098</v>
      </c>
      <c r="M218">
        <v>8.4105010180017992</v>
      </c>
      <c r="N218">
        <v>51.5514291545188</v>
      </c>
      <c r="O218">
        <v>48.884314476383302</v>
      </c>
      <c r="P218">
        <v>-4.3052600724137302E-2</v>
      </c>
      <c r="Q218">
        <v>0</v>
      </c>
      <c r="R218">
        <v>0.93018270909050904</v>
      </c>
      <c r="S218" t="s">
        <v>3847</v>
      </c>
      <c r="T218" t="s">
        <v>7256</v>
      </c>
      <c r="U218" t="s">
        <v>7256</v>
      </c>
      <c r="V218" t="s">
        <v>7256</v>
      </c>
      <c r="W218">
        <v>1</v>
      </c>
      <c r="X218" t="s">
        <v>7474</v>
      </c>
      <c r="Y218">
        <v>0.43265977953078077</v>
      </c>
      <c r="Z218" t="str">
        <f>HYPERLINK("Melting_Curves/meltCurve_sp_O75185_AT2C2_HUMAN_.pdf", "Melting_Curves/meltCurve_sp_O75185_AT2C2_HUMAN_.pdf")</f>
        <v>Melting_Curves/meltCurve_sp_O75185_AT2C2_HUMAN_.pdf</v>
      </c>
      <c r="AA218" t="s">
        <v>11098</v>
      </c>
      <c r="AB218" t="s">
        <v>14644</v>
      </c>
    </row>
    <row r="219" spans="1:28" x14ac:dyDescent="0.25">
      <c r="A219" t="s">
        <v>223</v>
      </c>
      <c r="B219">
        <v>0.98018197421672304</v>
      </c>
      <c r="C219">
        <v>0.99566663922707599</v>
      </c>
      <c r="D219">
        <v>0.90366879294673297</v>
      </c>
      <c r="E219">
        <v>0.20128478740417699</v>
      </c>
      <c r="F219">
        <v>0.165931133564865</v>
      </c>
      <c r="G219">
        <v>8.6873096003176498E-2</v>
      </c>
      <c r="H219">
        <v>5.2832585963485598E-2</v>
      </c>
      <c r="I219">
        <v>4.8791992343964301E-2</v>
      </c>
      <c r="J219">
        <v>5.67973589500603E-2</v>
      </c>
      <c r="K219">
        <v>3.5987602627666003E-2</v>
      </c>
      <c r="L219">
        <v>2140.3557280845898</v>
      </c>
      <c r="M219">
        <v>44.469247540111802</v>
      </c>
      <c r="N219">
        <v>48.293480577387697</v>
      </c>
      <c r="O219">
        <v>48.034113478475703</v>
      </c>
      <c r="P219">
        <v>-0.21537875480594601</v>
      </c>
      <c r="Q219">
        <v>6.9423112068231194E-2</v>
      </c>
      <c r="R219">
        <v>0.99405042424341294</v>
      </c>
      <c r="S219" t="s">
        <v>3848</v>
      </c>
      <c r="T219" t="s">
        <v>7256</v>
      </c>
      <c r="U219" t="s">
        <v>7256</v>
      </c>
      <c r="V219" t="s">
        <v>7256</v>
      </c>
      <c r="W219">
        <v>13</v>
      </c>
      <c r="X219" t="s">
        <v>7475</v>
      </c>
      <c r="Y219">
        <v>0.3241489311724513</v>
      </c>
      <c r="Z219" t="str">
        <f>HYPERLINK("Melting_Curves/meltCurve_sp_O75191_XYLB_HUMAN_.pdf", "Melting_Curves/meltCurve_sp_O75191_XYLB_HUMAN_.pdf")</f>
        <v>Melting_Curves/meltCurve_sp_O75191_XYLB_HUMAN_.pdf</v>
      </c>
      <c r="AA219" t="s">
        <v>11099</v>
      </c>
      <c r="AB219" t="s">
        <v>14645</v>
      </c>
    </row>
    <row r="220" spans="1:28" x14ac:dyDescent="0.25">
      <c r="A220" t="s">
        <v>224</v>
      </c>
      <c r="B220">
        <v>0.98018197421672304</v>
      </c>
      <c r="C220">
        <v>0.93351019360199206</v>
      </c>
      <c r="D220">
        <v>0.885374101262555</v>
      </c>
      <c r="E220">
        <v>0.67096943500825701</v>
      </c>
      <c r="F220">
        <v>0.307692383211703</v>
      </c>
      <c r="G220">
        <v>0.15879727279914499</v>
      </c>
      <c r="H220">
        <v>9.0870805226371296E-2</v>
      </c>
      <c r="I220">
        <v>6.9914758098858207E-2</v>
      </c>
      <c r="J220">
        <v>8.0641024210876502E-2</v>
      </c>
      <c r="K220">
        <v>7.0068651380290198E-2</v>
      </c>
      <c r="L220">
        <v>1104.5308519047901</v>
      </c>
      <c r="M220">
        <v>21.686900020994599</v>
      </c>
      <c r="N220">
        <v>51.263843860592701</v>
      </c>
      <c r="O220">
        <v>50.503669589203497</v>
      </c>
      <c r="P220">
        <v>-0.100301149115542</v>
      </c>
      <c r="Q220">
        <v>6.5711297602613794E-2</v>
      </c>
      <c r="R220">
        <v>0.99461014290745897</v>
      </c>
      <c r="S220" t="s">
        <v>3849</v>
      </c>
      <c r="T220" t="s">
        <v>7256</v>
      </c>
      <c r="U220" t="s">
        <v>7256</v>
      </c>
      <c r="V220" t="s">
        <v>7256</v>
      </c>
      <c r="W220">
        <v>8</v>
      </c>
      <c r="X220" t="s">
        <v>7476</v>
      </c>
      <c r="Y220">
        <v>0.41725126638891641</v>
      </c>
      <c r="Z220" t="str">
        <f>HYPERLINK("Melting_Curves/meltCurve_sp_O75208_COQ9_HUMAN_.pdf", "Melting_Curves/meltCurve_sp_O75208_COQ9_HUMAN_.pdf")</f>
        <v>Melting_Curves/meltCurve_sp_O75208_COQ9_HUMAN_.pdf</v>
      </c>
      <c r="AA220" t="s">
        <v>11100</v>
      </c>
      <c r="AB220" t="s">
        <v>14646</v>
      </c>
    </row>
    <row r="221" spans="1:28" x14ac:dyDescent="0.25">
      <c r="A221" t="s">
        <v>225</v>
      </c>
      <c r="B221">
        <v>0.98018197421672304</v>
      </c>
      <c r="C221">
        <v>1.0174180179786201</v>
      </c>
      <c r="D221">
        <v>0.956690335666465</v>
      </c>
      <c r="E221">
        <v>0.84862566893584301</v>
      </c>
      <c r="F221">
        <v>0.902902914159048</v>
      </c>
      <c r="G221">
        <v>0.75121676834379902</v>
      </c>
      <c r="H221">
        <v>0.221190489809475</v>
      </c>
      <c r="I221">
        <v>8.9175691779179903E-2</v>
      </c>
      <c r="J221">
        <v>8.0136814329018605E-2</v>
      </c>
      <c r="K221">
        <v>5.3705221127709597E-2</v>
      </c>
      <c r="L221">
        <v>1974.34775895554</v>
      </c>
      <c r="M221">
        <v>33.746282533153703</v>
      </c>
      <c r="N221">
        <v>58.685245182021902</v>
      </c>
      <c r="O221">
        <v>58.301336570859903</v>
      </c>
      <c r="P221">
        <v>-0.137607136453577</v>
      </c>
      <c r="Q221">
        <v>4.9063016914174501E-2</v>
      </c>
      <c r="R221">
        <v>0.98060267453676098</v>
      </c>
      <c r="S221" t="s">
        <v>3850</v>
      </c>
      <c r="T221" t="s">
        <v>7256</v>
      </c>
      <c r="U221" t="s">
        <v>7256</v>
      </c>
      <c r="V221" t="s">
        <v>7256</v>
      </c>
      <c r="W221">
        <v>14</v>
      </c>
      <c r="X221" t="s">
        <v>7477</v>
      </c>
      <c r="Y221">
        <v>0.64074466413234521</v>
      </c>
      <c r="Z221" t="str">
        <f>HYPERLINK("Melting_Curves/meltCurve_sp_O75223_GGCT_HUMAN_.pdf", "Melting_Curves/meltCurve_sp_O75223_GGCT_HUMAN_.pdf")</f>
        <v>Melting_Curves/meltCurve_sp_O75223_GGCT_HUMAN_.pdf</v>
      </c>
      <c r="AA221" t="s">
        <v>11101</v>
      </c>
      <c r="AB221" t="s">
        <v>14647</v>
      </c>
    </row>
    <row r="222" spans="1:28" x14ac:dyDescent="0.25">
      <c r="A222" t="s">
        <v>226</v>
      </c>
      <c r="B222">
        <v>0.98018197421672304</v>
      </c>
      <c r="C222">
        <v>1.02423037706535</v>
      </c>
      <c r="D222">
        <v>0.91232954451759996</v>
      </c>
      <c r="E222">
        <v>0.72081250806018404</v>
      </c>
      <c r="F222">
        <v>0.432710701259513</v>
      </c>
      <c r="G222">
        <v>0.156459700304097</v>
      </c>
      <c r="H222">
        <v>0.115038968215188</v>
      </c>
      <c r="I222">
        <v>8.4619550287195505E-2</v>
      </c>
      <c r="J222">
        <v>9.8984575542072295E-2</v>
      </c>
      <c r="K222">
        <v>7.3720489553035298E-2</v>
      </c>
      <c r="L222">
        <v>1160.81782578656</v>
      </c>
      <c r="M222">
        <v>22.4143749087171</v>
      </c>
      <c r="N222">
        <v>52.174432150470501</v>
      </c>
      <c r="O222">
        <v>51.382049320385597</v>
      </c>
      <c r="P222">
        <v>-0.100738344313116</v>
      </c>
      <c r="Q222">
        <v>7.6300761348443102E-2</v>
      </c>
      <c r="R222">
        <v>0.99738085174574898</v>
      </c>
      <c r="S222" t="s">
        <v>3851</v>
      </c>
      <c r="T222" t="s">
        <v>7256</v>
      </c>
      <c r="U222" t="s">
        <v>7256</v>
      </c>
      <c r="V222" t="s">
        <v>7256</v>
      </c>
      <c r="W222">
        <v>2</v>
      </c>
      <c r="X222" t="s">
        <v>7478</v>
      </c>
      <c r="Y222">
        <v>0.44964833704891138</v>
      </c>
      <c r="Z222" t="str">
        <f>HYPERLINK("Melting_Curves/meltCurve_sp_O75323_NIPS2_HUMAN_.pdf", "Melting_Curves/meltCurve_sp_O75323_NIPS2_HUMAN_.pdf")</f>
        <v>Melting_Curves/meltCurve_sp_O75323_NIPS2_HUMAN_.pdf</v>
      </c>
      <c r="AA222" t="s">
        <v>11102</v>
      </c>
      <c r="AB222" t="s">
        <v>14648</v>
      </c>
    </row>
    <row r="223" spans="1:28" x14ac:dyDescent="0.25">
      <c r="A223" t="s">
        <v>227</v>
      </c>
      <c r="B223">
        <v>0.98018197421672304</v>
      </c>
      <c r="C223">
        <v>0.96040343839130304</v>
      </c>
      <c r="D223">
        <v>0.84417418416179302</v>
      </c>
      <c r="E223">
        <v>0.63338583915790103</v>
      </c>
      <c r="F223">
        <v>0.36222548363742002</v>
      </c>
      <c r="G223">
        <v>0.18009328635192201</v>
      </c>
      <c r="H223">
        <v>0.11016548134660201</v>
      </c>
      <c r="I223">
        <v>8.4634127747092794E-2</v>
      </c>
      <c r="J223">
        <v>8.9860556653575896E-2</v>
      </c>
      <c r="K223">
        <v>5.7927587678374401E-2</v>
      </c>
      <c r="L223">
        <v>864.52605088120004</v>
      </c>
      <c r="M223">
        <v>16.973087587884098</v>
      </c>
      <c r="N223">
        <v>51.297129179541599</v>
      </c>
      <c r="O223">
        <v>50.2438393166642</v>
      </c>
      <c r="P223">
        <v>-7.9691623175157406E-2</v>
      </c>
      <c r="Q223">
        <v>5.6444331537251202E-2</v>
      </c>
      <c r="R223">
        <v>0.99823331265667403</v>
      </c>
      <c r="S223" t="s">
        <v>3852</v>
      </c>
      <c r="T223" t="s">
        <v>7256</v>
      </c>
      <c r="U223" t="s">
        <v>7256</v>
      </c>
      <c r="V223" t="s">
        <v>7256</v>
      </c>
      <c r="W223">
        <v>3</v>
      </c>
      <c r="X223" t="s">
        <v>7479</v>
      </c>
      <c r="Y223">
        <v>0.41804652157359462</v>
      </c>
      <c r="Z223" t="str">
        <f>HYPERLINK("Melting_Curves/meltCurve_sp_O75340_PDCD6_HUMAN_.pdf", "Melting_Curves/meltCurve_sp_O75340_PDCD6_HUMAN_.pdf")</f>
        <v>Melting_Curves/meltCurve_sp_O75340_PDCD6_HUMAN_.pdf</v>
      </c>
      <c r="AA223" t="s">
        <v>11103</v>
      </c>
      <c r="AB223" t="s">
        <v>14649</v>
      </c>
    </row>
    <row r="224" spans="1:28" x14ac:dyDescent="0.25">
      <c r="A224" t="s">
        <v>228</v>
      </c>
      <c r="B224">
        <v>0.98018197421672304</v>
      </c>
      <c r="C224">
        <v>1.0170810936571799</v>
      </c>
      <c r="D224">
        <v>0.95403762038018303</v>
      </c>
      <c r="E224">
        <v>0.83619771074493598</v>
      </c>
      <c r="F224">
        <v>0.888128888202251</v>
      </c>
      <c r="G224">
        <v>0.76654180637867098</v>
      </c>
      <c r="H224">
        <v>0.582594964736729</v>
      </c>
      <c r="I224">
        <v>0.66978673630047003</v>
      </c>
      <c r="J224">
        <v>0.72971796650306497</v>
      </c>
      <c r="K224">
        <v>1.0055437210014999</v>
      </c>
      <c r="L224">
        <v>1034.42951350505</v>
      </c>
      <c r="M224">
        <v>20.7836732888263</v>
      </c>
      <c r="O224">
        <v>49.3173352456405</v>
      </c>
      <c r="P224">
        <v>-2.5801377405568399E-2</v>
      </c>
      <c r="Q224">
        <v>0.75511158772714204</v>
      </c>
      <c r="R224">
        <v>0.46225605844088502</v>
      </c>
      <c r="S224" t="s">
        <v>3853</v>
      </c>
      <c r="T224" t="s">
        <v>7256</v>
      </c>
      <c r="U224" t="s">
        <v>7256</v>
      </c>
      <c r="V224" t="s">
        <v>7256</v>
      </c>
      <c r="W224">
        <v>16</v>
      </c>
      <c r="X224" t="s">
        <v>7480</v>
      </c>
      <c r="Y224">
        <v>0.83803672791714845</v>
      </c>
      <c r="Z224" t="str">
        <f>HYPERLINK("Melting_Curves/meltCurve_sp_O75347_TBCA_HUMAN_.pdf", "Melting_Curves/meltCurve_sp_O75347_TBCA_HUMAN_.pdf")</f>
        <v>Melting_Curves/meltCurve_sp_O75347_TBCA_HUMAN_.pdf</v>
      </c>
      <c r="AA224" t="s">
        <v>11104</v>
      </c>
      <c r="AB224" t="s">
        <v>14650</v>
      </c>
    </row>
    <row r="225" spans="1:28" x14ac:dyDescent="0.25">
      <c r="A225" t="s">
        <v>229</v>
      </c>
      <c r="B225">
        <v>0.98018197421672304</v>
      </c>
      <c r="C225">
        <v>0.92764632621835397</v>
      </c>
      <c r="D225">
        <v>0.86734148508877495</v>
      </c>
      <c r="E225">
        <v>0.73665007232603996</v>
      </c>
      <c r="F225">
        <v>0.51075132433426096</v>
      </c>
      <c r="G225">
        <v>0.12891152201561801</v>
      </c>
      <c r="H225">
        <v>0.156075901323495</v>
      </c>
      <c r="I225">
        <v>0.152794994766069</v>
      </c>
      <c r="J225">
        <v>0.110440476149729</v>
      </c>
      <c r="K225">
        <v>0.21612517415773699</v>
      </c>
      <c r="L225">
        <v>1147.21441676264</v>
      </c>
      <c r="M225">
        <v>22.172797884578799</v>
      </c>
      <c r="N225">
        <v>52.466160229445101</v>
      </c>
      <c r="O225">
        <v>51.324381382049197</v>
      </c>
      <c r="P225">
        <v>-9.3729943281087205E-2</v>
      </c>
      <c r="Q225">
        <v>0.13217497246066601</v>
      </c>
      <c r="R225">
        <v>0.97331292387880597</v>
      </c>
      <c r="S225" t="s">
        <v>3854</v>
      </c>
      <c r="T225" t="s">
        <v>7256</v>
      </c>
      <c r="U225" t="s">
        <v>7256</v>
      </c>
      <c r="V225" t="s">
        <v>7256</v>
      </c>
      <c r="W225">
        <v>2</v>
      </c>
      <c r="X225" t="s">
        <v>7481</v>
      </c>
      <c r="Y225">
        <v>0.4817121231275916</v>
      </c>
      <c r="Z225" t="str">
        <f>HYPERLINK("Melting_Curves/meltCurve_sp_O75348_VATG1_HUMAN_.pdf", "Melting_Curves/meltCurve_sp_O75348_VATG1_HUMAN_.pdf")</f>
        <v>Melting_Curves/meltCurve_sp_O75348_VATG1_HUMAN_.pdf</v>
      </c>
      <c r="AA225" t="s">
        <v>11105</v>
      </c>
      <c r="AB225" t="s">
        <v>14651</v>
      </c>
    </row>
    <row r="226" spans="1:28" x14ac:dyDescent="0.25">
      <c r="A226" t="s">
        <v>230</v>
      </c>
      <c r="B226">
        <v>0.98018197421672304</v>
      </c>
      <c r="C226">
        <v>0.95244020041754296</v>
      </c>
      <c r="D226">
        <v>0.71621965588213699</v>
      </c>
      <c r="E226">
        <v>0.34688353888769402</v>
      </c>
      <c r="F226">
        <v>0.203406354683588</v>
      </c>
      <c r="G226">
        <v>0.11369100172327599</v>
      </c>
      <c r="H226">
        <v>8.2592017276356205E-2</v>
      </c>
      <c r="I226">
        <v>4.9343764957188403E-2</v>
      </c>
      <c r="J226">
        <v>6.9643229189043601E-2</v>
      </c>
      <c r="K226">
        <v>2.8352861256038E-2</v>
      </c>
      <c r="L226">
        <v>946.62775619018601</v>
      </c>
      <c r="M226">
        <v>19.677536702762499</v>
      </c>
      <c r="N226">
        <v>48.396949638217599</v>
      </c>
      <c r="O226">
        <v>47.618449181633302</v>
      </c>
      <c r="P226">
        <v>-9.7567531445058406E-2</v>
      </c>
      <c r="Q226">
        <v>5.5602670964843802E-2</v>
      </c>
      <c r="R226">
        <v>0.99763469857881304</v>
      </c>
      <c r="S226" t="s">
        <v>3855</v>
      </c>
      <c r="T226" t="s">
        <v>7256</v>
      </c>
      <c r="U226" t="s">
        <v>7256</v>
      </c>
      <c r="V226" t="s">
        <v>7256</v>
      </c>
      <c r="W226">
        <v>8</v>
      </c>
      <c r="X226" t="s">
        <v>7482</v>
      </c>
      <c r="Y226">
        <v>0.32467082594821928</v>
      </c>
      <c r="Z226" t="str">
        <f>HYPERLINK("Melting_Curves/meltCurve_sp_O75351_VPS4B_HUMAN_.pdf", "Melting_Curves/meltCurve_sp_O75351_VPS4B_HUMAN_.pdf")</f>
        <v>Melting_Curves/meltCurve_sp_O75351_VPS4B_HUMAN_.pdf</v>
      </c>
      <c r="AA226" t="s">
        <v>11106</v>
      </c>
      <c r="AB226" t="s">
        <v>14652</v>
      </c>
    </row>
    <row r="227" spans="1:28" x14ac:dyDescent="0.25">
      <c r="A227" t="s">
        <v>231</v>
      </c>
      <c r="B227">
        <v>0.98018197421672304</v>
      </c>
      <c r="C227">
        <v>0.98283618736992495</v>
      </c>
      <c r="D227">
        <v>0.87234660987638202</v>
      </c>
      <c r="E227">
        <v>0.47666022063086799</v>
      </c>
      <c r="F227">
        <v>0.158003999485272</v>
      </c>
      <c r="G227">
        <v>7.8088091957125197E-2</v>
      </c>
      <c r="H227">
        <v>5.8059610993999498E-2</v>
      </c>
      <c r="I227">
        <v>4.365276521368E-2</v>
      </c>
      <c r="J227">
        <v>7.7089848750703099E-2</v>
      </c>
      <c r="K227">
        <v>4.9085934158051597E-2</v>
      </c>
      <c r="L227">
        <v>1342.2863789354701</v>
      </c>
      <c r="M227">
        <v>27.1431487787634</v>
      </c>
      <c r="N227">
        <v>49.6522198886395</v>
      </c>
      <c r="O227">
        <v>49.186041408143801</v>
      </c>
      <c r="P227">
        <v>-0.13081552230017701</v>
      </c>
      <c r="Q227">
        <v>5.1807092595928098E-2</v>
      </c>
      <c r="R227">
        <v>0.99836244351186798</v>
      </c>
      <c r="S227" t="s">
        <v>3856</v>
      </c>
      <c r="T227" t="s">
        <v>7256</v>
      </c>
      <c r="U227" t="s">
        <v>7256</v>
      </c>
      <c r="V227" t="s">
        <v>7256</v>
      </c>
      <c r="W227">
        <v>11</v>
      </c>
      <c r="X227" t="s">
        <v>7483</v>
      </c>
      <c r="Y227">
        <v>0.35768466378578789</v>
      </c>
      <c r="Z227" t="str">
        <f>HYPERLINK("Melting_Curves/meltCurve_sp_O75356_ENTP5_HUMAN_.pdf", "Melting_Curves/meltCurve_sp_O75356_ENTP5_HUMAN_.pdf")</f>
        <v>Melting_Curves/meltCurve_sp_O75356_ENTP5_HUMAN_.pdf</v>
      </c>
      <c r="AA227" t="s">
        <v>11107</v>
      </c>
      <c r="AB227" t="s">
        <v>14653</v>
      </c>
    </row>
    <row r="228" spans="1:28" x14ac:dyDescent="0.25">
      <c r="A228" t="s">
        <v>232</v>
      </c>
      <c r="B228">
        <v>0.98018197421672304</v>
      </c>
      <c r="C228">
        <v>0.98407834606960198</v>
      </c>
      <c r="D228">
        <v>0.90890246631516902</v>
      </c>
      <c r="E228">
        <v>0.76126186376621396</v>
      </c>
      <c r="F228">
        <v>0.84091829363309001</v>
      </c>
      <c r="G228">
        <v>0.69246732498196994</v>
      </c>
      <c r="H228">
        <v>0.51515838762403898</v>
      </c>
      <c r="I228">
        <v>0.57555658048442604</v>
      </c>
      <c r="J228">
        <v>0.600699748232282</v>
      </c>
      <c r="K228">
        <v>0.89816151311240899</v>
      </c>
      <c r="L228">
        <v>811.20462819208899</v>
      </c>
      <c r="M228">
        <v>16.4722290173709</v>
      </c>
      <c r="O228">
        <v>48.538162492376202</v>
      </c>
      <c r="P228">
        <v>-2.9201216595216E-2</v>
      </c>
      <c r="Q228">
        <v>0.65583915253991998</v>
      </c>
      <c r="R228">
        <v>0.60540022903237001</v>
      </c>
      <c r="S228" t="s">
        <v>3857</v>
      </c>
      <c r="T228" t="s">
        <v>7256</v>
      </c>
      <c r="U228" t="s">
        <v>7256</v>
      </c>
      <c r="V228" t="s">
        <v>7256</v>
      </c>
      <c r="W228">
        <v>7</v>
      </c>
      <c r="X228" t="s">
        <v>7484</v>
      </c>
      <c r="Y228">
        <v>0.768972232693243</v>
      </c>
      <c r="Z228" t="str">
        <f>HYPERLINK("Melting_Curves/meltCurve_sp_O75368_SH3L1_HUMAN_.pdf", "Melting_Curves/meltCurve_sp_O75368_SH3L1_HUMAN_.pdf")</f>
        <v>Melting_Curves/meltCurve_sp_O75368_SH3L1_HUMAN_.pdf</v>
      </c>
      <c r="AA228" t="s">
        <v>11108</v>
      </c>
      <c r="AB228" t="s">
        <v>14654</v>
      </c>
    </row>
    <row r="229" spans="1:28" x14ac:dyDescent="0.25">
      <c r="A229" t="s">
        <v>233</v>
      </c>
      <c r="B229">
        <v>0.98018197421672304</v>
      </c>
      <c r="C229">
        <v>0.95416534868527303</v>
      </c>
      <c r="D229">
        <v>0.92685091231807804</v>
      </c>
      <c r="E229">
        <v>0.83966715807694803</v>
      </c>
      <c r="F229">
        <v>0.74016832724419501</v>
      </c>
      <c r="G229">
        <v>0.29084914640067899</v>
      </c>
      <c r="H229">
        <v>0.12694695126870201</v>
      </c>
      <c r="I229">
        <v>8.2591379863944103E-2</v>
      </c>
      <c r="J229">
        <v>7.1928481114461998E-2</v>
      </c>
      <c r="K229">
        <v>5.0567416072378003E-2</v>
      </c>
      <c r="L229">
        <v>1189.7795309979799</v>
      </c>
      <c r="M229">
        <v>21.7511715196494</v>
      </c>
      <c r="N229">
        <v>54.918505121249503</v>
      </c>
      <c r="O229">
        <v>54.243509114729598</v>
      </c>
      <c r="P229">
        <v>-9.6086654863213702E-2</v>
      </c>
      <c r="Q229">
        <v>4.1531054926841497E-2</v>
      </c>
      <c r="R229">
        <v>0.991629290919254</v>
      </c>
      <c r="S229" t="s">
        <v>3858</v>
      </c>
      <c r="T229" t="s">
        <v>7256</v>
      </c>
      <c r="U229" t="s">
        <v>7256</v>
      </c>
      <c r="V229" t="s">
        <v>7256</v>
      </c>
      <c r="W229">
        <v>139</v>
      </c>
      <c r="X229" t="s">
        <v>7485</v>
      </c>
      <c r="Y229">
        <v>0.52242105034552921</v>
      </c>
      <c r="Z229" t="str">
        <f>HYPERLINK("Melting_Curves/meltCurve_sp_O75369_8_FLNB_HUMAN_.pdf", "Melting_Curves/meltCurve_sp_O75369_8_FLNB_HUMAN_.pdf")</f>
        <v>Melting_Curves/meltCurve_sp_O75369_8_FLNB_HUMAN_.pdf</v>
      </c>
      <c r="AA229" t="s">
        <v>11109</v>
      </c>
      <c r="AB229" t="s">
        <v>14655</v>
      </c>
    </row>
    <row r="230" spans="1:28" x14ac:dyDescent="0.25">
      <c r="A230" t="s">
        <v>234</v>
      </c>
      <c r="B230">
        <v>0.98018197421672304</v>
      </c>
      <c r="C230">
        <v>0.97209092856838397</v>
      </c>
      <c r="D230">
        <v>0.87004961245456303</v>
      </c>
      <c r="E230">
        <v>0.80223604979250895</v>
      </c>
      <c r="F230">
        <v>0.61110695333862397</v>
      </c>
      <c r="G230">
        <v>0.36153965203508398</v>
      </c>
      <c r="H230">
        <v>0.33745714671657001</v>
      </c>
      <c r="I230">
        <v>0.32063729115773498</v>
      </c>
      <c r="J230">
        <v>0.44023817761119799</v>
      </c>
      <c r="K230">
        <v>0.43725830508948199</v>
      </c>
      <c r="L230">
        <v>1162.6221465947399</v>
      </c>
      <c r="M230">
        <v>22.637872196528701</v>
      </c>
      <c r="N230">
        <v>54.567791000440003</v>
      </c>
      <c r="O230">
        <v>50.961694143995203</v>
      </c>
      <c r="P230">
        <v>-7.0186403843876005E-2</v>
      </c>
      <c r="Q230">
        <v>0.36800680092985899</v>
      </c>
      <c r="R230">
        <v>0.95498111019448395</v>
      </c>
      <c r="S230" t="s">
        <v>3859</v>
      </c>
      <c r="T230" t="s">
        <v>7256</v>
      </c>
      <c r="U230" t="s">
        <v>7256</v>
      </c>
      <c r="V230" t="s">
        <v>7256</v>
      </c>
      <c r="W230">
        <v>7</v>
      </c>
      <c r="X230" t="s">
        <v>7486</v>
      </c>
      <c r="Y230">
        <v>0.61421068504049936</v>
      </c>
      <c r="Z230" t="str">
        <f>HYPERLINK("Melting_Curves/meltCurve_sp_O75376_NCOR1_HUMAN_.pdf", "Melting_Curves/meltCurve_sp_O75376_NCOR1_HUMAN_.pdf")</f>
        <v>Melting_Curves/meltCurve_sp_O75376_NCOR1_HUMAN_.pdf</v>
      </c>
      <c r="AA230" t="s">
        <v>11110</v>
      </c>
      <c r="AB230" t="s">
        <v>14656</v>
      </c>
    </row>
    <row r="231" spans="1:28" x14ac:dyDescent="0.25">
      <c r="A231" t="s">
        <v>235</v>
      </c>
      <c r="B231">
        <v>0.98018197421672304</v>
      </c>
      <c r="C231">
        <v>0.98558913482757804</v>
      </c>
      <c r="D231">
        <v>0.81822663081907898</v>
      </c>
      <c r="E231">
        <v>0.60848217125743698</v>
      </c>
      <c r="F231">
        <v>0.60007557249525501</v>
      </c>
      <c r="G231">
        <v>0.37914651320568998</v>
      </c>
      <c r="H231">
        <v>0.34398836414487599</v>
      </c>
      <c r="I231">
        <v>0.33647806227173699</v>
      </c>
      <c r="J231">
        <v>0.35028757702222801</v>
      </c>
      <c r="K231">
        <v>0.46761414532557499</v>
      </c>
      <c r="L231">
        <v>803.17464539411299</v>
      </c>
      <c r="M231">
        <v>16.3297238518265</v>
      </c>
      <c r="N231">
        <v>53.420802563709401</v>
      </c>
      <c r="O231">
        <v>48.464965023631997</v>
      </c>
      <c r="P231">
        <v>-5.3658727636773797E-2</v>
      </c>
      <c r="Q231">
        <v>0.36303144405583099</v>
      </c>
      <c r="R231">
        <v>0.95551439086762602</v>
      </c>
      <c r="S231" t="s">
        <v>3860</v>
      </c>
      <c r="T231" t="s">
        <v>7256</v>
      </c>
      <c r="U231" t="s">
        <v>7256</v>
      </c>
      <c r="V231" t="s">
        <v>7256</v>
      </c>
      <c r="W231">
        <v>1</v>
      </c>
      <c r="X231" t="s">
        <v>7487</v>
      </c>
      <c r="Y231">
        <v>0.57134233134598111</v>
      </c>
      <c r="Z231" t="str">
        <f>HYPERLINK("Melting_Curves/meltCurve_sp_O75380_NDUS6_HUMAN_.pdf", "Melting_Curves/meltCurve_sp_O75380_NDUS6_HUMAN_.pdf")</f>
        <v>Melting_Curves/meltCurve_sp_O75380_NDUS6_HUMAN_.pdf</v>
      </c>
      <c r="AA231" t="s">
        <v>11111</v>
      </c>
      <c r="AB231" t="s">
        <v>14657</v>
      </c>
    </row>
    <row r="232" spans="1:28" x14ac:dyDescent="0.25">
      <c r="A232" t="s">
        <v>236</v>
      </c>
      <c r="B232">
        <v>0.98018197421672304</v>
      </c>
      <c r="C232">
        <v>0.92501825043004104</v>
      </c>
      <c r="D232">
        <v>0.95003178516178299</v>
      </c>
      <c r="E232">
        <v>0.84553993396321603</v>
      </c>
      <c r="F232">
        <v>0.85138530155964298</v>
      </c>
      <c r="G232">
        <v>0.63798729079382099</v>
      </c>
      <c r="H232">
        <v>0.29341970189452099</v>
      </c>
      <c r="I232">
        <v>0.12430672890998</v>
      </c>
      <c r="J232">
        <v>7.1142587230900001E-2</v>
      </c>
      <c r="K232">
        <v>6.1863344048930798E-2</v>
      </c>
      <c r="L232">
        <v>1025.2556228636499</v>
      </c>
      <c r="M232">
        <v>17.644688268767599</v>
      </c>
      <c r="N232">
        <v>58.105625083662297</v>
      </c>
      <c r="O232">
        <v>57.374690498251098</v>
      </c>
      <c r="P232">
        <v>-7.6887691626324695E-2</v>
      </c>
      <c r="Q232">
        <v>0</v>
      </c>
      <c r="R232">
        <v>0.98373230794511801</v>
      </c>
      <c r="S232" t="s">
        <v>3861</v>
      </c>
      <c r="T232" t="s">
        <v>7256</v>
      </c>
      <c r="U232" t="s">
        <v>7256</v>
      </c>
      <c r="V232" t="s">
        <v>7256</v>
      </c>
      <c r="W232">
        <v>5</v>
      </c>
      <c r="X232" t="s">
        <v>7488</v>
      </c>
      <c r="Y232">
        <v>0.61588170933868336</v>
      </c>
      <c r="Z232" t="str">
        <f>HYPERLINK("Melting_Curves/meltCurve_sp_O75396_SC22B_HUMAN_.pdf", "Melting_Curves/meltCurve_sp_O75396_SC22B_HUMAN_.pdf")</f>
        <v>Melting_Curves/meltCurve_sp_O75396_SC22B_HUMAN_.pdf</v>
      </c>
      <c r="AA232" t="s">
        <v>11112</v>
      </c>
      <c r="AB232" t="s">
        <v>14658</v>
      </c>
    </row>
    <row r="233" spans="1:28" x14ac:dyDescent="0.25">
      <c r="A233" t="s">
        <v>237</v>
      </c>
      <c r="B233">
        <v>0.98018197421672304</v>
      </c>
      <c r="C233">
        <v>0.93697668377548904</v>
      </c>
      <c r="D233">
        <v>0.91311388037665797</v>
      </c>
      <c r="E233">
        <v>0.69981273524045196</v>
      </c>
      <c r="F233">
        <v>0.47503282919498102</v>
      </c>
      <c r="G233">
        <v>0.25923190301181898</v>
      </c>
      <c r="H233">
        <v>0.26136039793349503</v>
      </c>
      <c r="I233">
        <v>0.33744110485395101</v>
      </c>
      <c r="J233">
        <v>0.34476203991424798</v>
      </c>
      <c r="K233">
        <v>0.42226642361793398</v>
      </c>
      <c r="L233">
        <v>1364.2005073989901</v>
      </c>
      <c r="M233">
        <v>27.1467068481317</v>
      </c>
      <c r="N233">
        <v>52.247927578097801</v>
      </c>
      <c r="O233">
        <v>49.982574027301297</v>
      </c>
      <c r="P233">
        <v>-9.1970100664622106E-2</v>
      </c>
      <c r="Q233">
        <v>0.322664451847955</v>
      </c>
      <c r="R233">
        <v>0.96278033960613196</v>
      </c>
      <c r="S233" t="s">
        <v>3862</v>
      </c>
      <c r="T233" t="s">
        <v>7256</v>
      </c>
      <c r="U233" t="s">
        <v>7256</v>
      </c>
      <c r="V233" t="s">
        <v>7256</v>
      </c>
      <c r="W233">
        <v>2</v>
      </c>
      <c r="X233" t="s">
        <v>7489</v>
      </c>
      <c r="Y233">
        <v>0.55929796913422281</v>
      </c>
      <c r="Z233" t="str">
        <f>HYPERLINK("Melting_Curves/meltCurve_sp_O75400_2_PR40A_HUMAN_.pdf", "Melting_Curves/meltCurve_sp_O75400_2_PR40A_HUMAN_.pdf")</f>
        <v>Melting_Curves/meltCurve_sp_O75400_2_PR40A_HUMAN_.pdf</v>
      </c>
      <c r="AA233" t="s">
        <v>11113</v>
      </c>
      <c r="AB233" t="s">
        <v>14659</v>
      </c>
    </row>
    <row r="234" spans="1:28" x14ac:dyDescent="0.25">
      <c r="A234" t="s">
        <v>238</v>
      </c>
      <c r="B234">
        <v>0.98018197421672304</v>
      </c>
      <c r="C234">
        <v>0.83637332007894105</v>
      </c>
      <c r="D234">
        <v>0.872568483994421</v>
      </c>
      <c r="E234">
        <v>0.70332331243883495</v>
      </c>
      <c r="F234">
        <v>0.53801630179170501</v>
      </c>
      <c r="G234">
        <v>0.35174617219583099</v>
      </c>
      <c r="H234">
        <v>0.21120350614083999</v>
      </c>
      <c r="I234">
        <v>0.20217009628715099</v>
      </c>
      <c r="J234">
        <v>0.19643083167464701</v>
      </c>
      <c r="K234">
        <v>0.125451517295358</v>
      </c>
      <c r="L234">
        <v>559.26394838251997</v>
      </c>
      <c r="M234">
        <v>10.5628337063269</v>
      </c>
      <c r="N234">
        <v>53.680129017375101</v>
      </c>
      <c r="O234">
        <v>51.154349900660897</v>
      </c>
      <c r="P234">
        <v>-4.8171181425731201E-2</v>
      </c>
      <c r="Q234">
        <v>6.7221906362073203E-2</v>
      </c>
      <c r="R234">
        <v>0.98571223270636199</v>
      </c>
      <c r="S234" t="s">
        <v>3863</v>
      </c>
      <c r="T234" t="s">
        <v>7256</v>
      </c>
      <c r="U234" t="s">
        <v>7256</v>
      </c>
      <c r="V234" t="s">
        <v>7256</v>
      </c>
      <c r="W234">
        <v>2</v>
      </c>
      <c r="X234" t="s">
        <v>7490</v>
      </c>
      <c r="Y234">
        <v>0.50024722194003701</v>
      </c>
      <c r="Z234" t="str">
        <f>HYPERLINK("Melting_Curves/meltCurve_sp_O75414_2_NDK6_HUMAN_.pdf", "Melting_Curves/meltCurve_sp_O75414_2_NDK6_HUMAN_.pdf")</f>
        <v>Melting_Curves/meltCurve_sp_O75414_2_NDK6_HUMAN_.pdf</v>
      </c>
      <c r="AA234" t="s">
        <v>11114</v>
      </c>
      <c r="AB234" t="s">
        <v>14660</v>
      </c>
    </row>
    <row r="235" spans="1:28" x14ac:dyDescent="0.25">
      <c r="A235" t="s">
        <v>239</v>
      </c>
      <c r="B235">
        <v>0.98018197421672304</v>
      </c>
      <c r="C235">
        <v>0.95561611046002604</v>
      </c>
      <c r="D235">
        <v>0.89909037610932896</v>
      </c>
      <c r="E235">
        <v>0.75492862253324799</v>
      </c>
      <c r="F235">
        <v>0.55717083515689303</v>
      </c>
      <c r="G235">
        <v>0.323946265252465</v>
      </c>
      <c r="H235">
        <v>0.10754532481436301</v>
      </c>
      <c r="I235">
        <v>7.4515992322549102E-2</v>
      </c>
      <c r="J235">
        <v>7.2965800690436095E-2</v>
      </c>
      <c r="K235">
        <v>7.2379806700272803E-2</v>
      </c>
      <c r="L235">
        <v>801.12609038183302</v>
      </c>
      <c r="M235">
        <v>14.948161854397201</v>
      </c>
      <c r="N235">
        <v>53.702505528782602</v>
      </c>
      <c r="O235">
        <v>52.661898950988601</v>
      </c>
      <c r="P235">
        <v>-6.9910816979959794E-2</v>
      </c>
      <c r="Q235">
        <v>1.4926539005958301E-2</v>
      </c>
      <c r="R235">
        <v>0.99623663552738595</v>
      </c>
      <c r="S235" t="s">
        <v>3864</v>
      </c>
      <c r="T235" t="s">
        <v>7256</v>
      </c>
      <c r="U235" t="s">
        <v>7256</v>
      </c>
      <c r="V235" t="s">
        <v>7256</v>
      </c>
      <c r="W235">
        <v>7</v>
      </c>
      <c r="X235" t="s">
        <v>7491</v>
      </c>
      <c r="Y235">
        <v>0.48201278290412258</v>
      </c>
      <c r="Z235" t="str">
        <f>HYPERLINK("Melting_Curves/meltCurve_sp_O75436_VP26A_HUMAN_.pdf", "Melting_Curves/meltCurve_sp_O75436_VP26A_HUMAN_.pdf")</f>
        <v>Melting_Curves/meltCurve_sp_O75436_VP26A_HUMAN_.pdf</v>
      </c>
      <c r="AA235" t="s">
        <v>11115</v>
      </c>
      <c r="AB235" t="s">
        <v>14661</v>
      </c>
    </row>
    <row r="236" spans="1:28" x14ac:dyDescent="0.25">
      <c r="A236" t="s">
        <v>240</v>
      </c>
      <c r="B236">
        <v>0.98018197421672304</v>
      </c>
      <c r="C236">
        <v>0.90280043838253698</v>
      </c>
      <c r="D236">
        <v>0.58275891371793997</v>
      </c>
      <c r="E236">
        <v>0.236452306211693</v>
      </c>
      <c r="F236">
        <v>0.12196426605036299</v>
      </c>
      <c r="G236">
        <v>7.0195022751588801E-2</v>
      </c>
      <c r="H236">
        <v>4.0915770210361302E-2</v>
      </c>
      <c r="I236">
        <v>3.1608477003173999E-2</v>
      </c>
      <c r="J236">
        <v>3.0766408217386101E-2</v>
      </c>
      <c r="K236">
        <v>2.38433962281741E-2</v>
      </c>
      <c r="L236">
        <v>992.52889609859005</v>
      </c>
      <c r="M236">
        <v>21.2151708377679</v>
      </c>
      <c r="N236">
        <v>46.944075626076497</v>
      </c>
      <c r="O236">
        <v>46.374196994267102</v>
      </c>
      <c r="P236">
        <v>-0.110379673461799</v>
      </c>
      <c r="Q236">
        <v>3.4910092864640897E-2</v>
      </c>
      <c r="R236">
        <v>0.99861636718350699</v>
      </c>
      <c r="S236" t="s">
        <v>3865</v>
      </c>
      <c r="T236" t="s">
        <v>7256</v>
      </c>
      <c r="U236" t="s">
        <v>7256</v>
      </c>
      <c r="V236" t="s">
        <v>7256</v>
      </c>
      <c r="W236">
        <v>17</v>
      </c>
      <c r="X236" t="s">
        <v>7492</v>
      </c>
      <c r="Y236">
        <v>0.26564594088126392</v>
      </c>
      <c r="Z236" t="str">
        <f>HYPERLINK("Melting_Curves/meltCurve_sp_O75439_MPPB_HUMAN_.pdf", "Melting_Curves/meltCurve_sp_O75439_MPPB_HUMAN_.pdf")</f>
        <v>Melting_Curves/meltCurve_sp_O75439_MPPB_HUMAN_.pdf</v>
      </c>
      <c r="AA236" t="s">
        <v>11116</v>
      </c>
      <c r="AB236" t="s">
        <v>14662</v>
      </c>
    </row>
    <row r="237" spans="1:28" x14ac:dyDescent="0.25">
      <c r="A237" t="s">
        <v>241</v>
      </c>
      <c r="B237">
        <v>0.98018197421672304</v>
      </c>
      <c r="C237">
        <v>0.99577258473371899</v>
      </c>
      <c r="D237">
        <v>0.75450716945751095</v>
      </c>
      <c r="E237">
        <v>0.42399287969293797</v>
      </c>
      <c r="F237">
        <v>0.226424171538121</v>
      </c>
      <c r="G237">
        <v>0.114968168559146</v>
      </c>
      <c r="H237">
        <v>7.0351674018474503E-2</v>
      </c>
      <c r="I237">
        <v>4.8611838069510298E-2</v>
      </c>
      <c r="J237">
        <v>8.4783589528728595E-2</v>
      </c>
      <c r="K237">
        <v>3.1658155904381299E-2</v>
      </c>
      <c r="L237">
        <v>954.68422810611696</v>
      </c>
      <c r="M237">
        <v>19.544825894227699</v>
      </c>
      <c r="N237">
        <v>49.125505288702897</v>
      </c>
      <c r="O237">
        <v>48.343166894081897</v>
      </c>
      <c r="P237">
        <v>-9.5756041938133807E-2</v>
      </c>
      <c r="Q237">
        <v>5.26425200824562E-2</v>
      </c>
      <c r="R237">
        <v>0.99609615626720904</v>
      </c>
      <c r="S237" t="s">
        <v>3866</v>
      </c>
      <c r="T237" t="s">
        <v>7256</v>
      </c>
      <c r="U237" t="s">
        <v>7256</v>
      </c>
      <c r="V237" t="s">
        <v>7256</v>
      </c>
      <c r="W237">
        <v>7</v>
      </c>
      <c r="X237" t="s">
        <v>7493</v>
      </c>
      <c r="Y237">
        <v>0.34591362429465722</v>
      </c>
      <c r="Z237" t="str">
        <f>HYPERLINK("Melting_Curves/meltCurve_sp_O75452_RDH16_HUMAN_.pdf", "Melting_Curves/meltCurve_sp_O75452_RDH16_HUMAN_.pdf")</f>
        <v>Melting_Curves/meltCurve_sp_O75452_RDH16_HUMAN_.pdf</v>
      </c>
      <c r="AA237" t="s">
        <v>11117</v>
      </c>
      <c r="AB237" t="s">
        <v>14663</v>
      </c>
    </row>
    <row r="238" spans="1:28" x14ac:dyDescent="0.25">
      <c r="A238" t="s">
        <v>242</v>
      </c>
      <c r="B238">
        <v>0.98018197421672304</v>
      </c>
      <c r="C238">
        <v>0.90833836314712901</v>
      </c>
      <c r="D238">
        <v>0.86369221337327595</v>
      </c>
      <c r="E238">
        <v>0.75242868491064696</v>
      </c>
      <c r="F238">
        <v>0.66195267495493104</v>
      </c>
      <c r="G238">
        <v>0.500902924733585</v>
      </c>
      <c r="H238">
        <v>0.365543424913297</v>
      </c>
      <c r="I238">
        <v>0.44543187698693398</v>
      </c>
      <c r="J238">
        <v>0.32125696609009702</v>
      </c>
      <c r="K238">
        <v>0.59033325855871399</v>
      </c>
      <c r="L238">
        <v>697.84070668086599</v>
      </c>
      <c r="M238">
        <v>13.7763599209547</v>
      </c>
      <c r="N238">
        <v>57.792253172503699</v>
      </c>
      <c r="O238">
        <v>49.623363567245399</v>
      </c>
      <c r="P238">
        <v>-4.1038935860188398E-2</v>
      </c>
      <c r="Q238">
        <v>0.40878324762358098</v>
      </c>
      <c r="R238">
        <v>0.88864169348403399</v>
      </c>
      <c r="S238" t="s">
        <v>3867</v>
      </c>
      <c r="T238" t="s">
        <v>7256</v>
      </c>
      <c r="U238" t="s">
        <v>7256</v>
      </c>
      <c r="V238" t="s">
        <v>7256</v>
      </c>
      <c r="W238">
        <v>3</v>
      </c>
      <c r="X238" t="s">
        <v>7494</v>
      </c>
      <c r="Y238">
        <v>0.63466180322627819</v>
      </c>
      <c r="Z238" t="str">
        <f>HYPERLINK("Melting_Curves/meltCurve_sp_O75475_PSIP1_HUMAN_.pdf", "Melting_Curves/meltCurve_sp_O75475_PSIP1_HUMAN_.pdf")</f>
        <v>Melting_Curves/meltCurve_sp_O75475_PSIP1_HUMAN_.pdf</v>
      </c>
      <c r="AA238" t="s">
        <v>11118</v>
      </c>
      <c r="AB238" t="s">
        <v>14664</v>
      </c>
    </row>
    <row r="239" spans="1:28" x14ac:dyDescent="0.25">
      <c r="A239" t="s">
        <v>243</v>
      </c>
      <c r="B239">
        <v>0.98018197421672304</v>
      </c>
      <c r="C239">
        <v>1.05280970801836</v>
      </c>
      <c r="D239">
        <v>0.83697489935351999</v>
      </c>
      <c r="E239">
        <v>0.65995240333956295</v>
      </c>
      <c r="F239">
        <v>0.50445376472112602</v>
      </c>
      <c r="G239">
        <v>0.151031169961656</v>
      </c>
      <c r="H239">
        <v>6.88335722404044E-2</v>
      </c>
      <c r="I239">
        <v>3.6818892682780803E-2</v>
      </c>
      <c r="J239">
        <v>2.5065108754168799E-2</v>
      </c>
      <c r="K239">
        <v>3.6688103826580602E-2</v>
      </c>
      <c r="L239">
        <v>868.74074445846304</v>
      </c>
      <c r="M239">
        <v>16.637389484493202</v>
      </c>
      <c r="N239">
        <v>52.216171301000799</v>
      </c>
      <c r="O239">
        <v>51.479297614123702</v>
      </c>
      <c r="P239">
        <v>-8.0801950992649793E-2</v>
      </c>
      <c r="Q239">
        <v>0</v>
      </c>
      <c r="R239">
        <v>0.98834584488509802</v>
      </c>
      <c r="S239" t="s">
        <v>3868</v>
      </c>
      <c r="T239" t="s">
        <v>7256</v>
      </c>
      <c r="U239" t="s">
        <v>7256</v>
      </c>
      <c r="V239" t="s">
        <v>7256</v>
      </c>
      <c r="W239">
        <v>3</v>
      </c>
      <c r="X239" t="s">
        <v>7495</v>
      </c>
      <c r="Y239">
        <v>0.42609117454065332</v>
      </c>
      <c r="Z239" t="str">
        <f>HYPERLINK("Melting_Curves/meltCurve_sp_O75503_CLN5_HUMAN_.pdf", "Melting_Curves/meltCurve_sp_O75503_CLN5_HUMAN_.pdf")</f>
        <v>Melting_Curves/meltCurve_sp_O75503_CLN5_HUMAN_.pdf</v>
      </c>
      <c r="AA239" t="s">
        <v>11119</v>
      </c>
      <c r="AB239" t="s">
        <v>14665</v>
      </c>
    </row>
    <row r="240" spans="1:28" x14ac:dyDescent="0.25">
      <c r="A240" t="s">
        <v>244</v>
      </c>
      <c r="B240">
        <v>0.98018197421672304</v>
      </c>
      <c r="C240">
        <v>0.98844641361176799</v>
      </c>
      <c r="D240">
        <v>0.88044728837334096</v>
      </c>
      <c r="E240">
        <v>0.60929996784361395</v>
      </c>
      <c r="F240">
        <v>0.27480179802011701</v>
      </c>
      <c r="G240">
        <v>0.113533591220614</v>
      </c>
      <c r="H240">
        <v>5.8238903195801398E-2</v>
      </c>
      <c r="I240">
        <v>3.8513368948205201E-2</v>
      </c>
      <c r="J240">
        <v>5.4316799897989897E-2</v>
      </c>
      <c r="K240">
        <v>2.7865698435597101E-2</v>
      </c>
      <c r="L240">
        <v>1122.2802771670899</v>
      </c>
      <c r="M240">
        <v>22.165078790389298</v>
      </c>
      <c r="N240">
        <v>50.796568427469801</v>
      </c>
      <c r="O240">
        <v>50.226077331274098</v>
      </c>
      <c r="P240">
        <v>-0.106524705956917</v>
      </c>
      <c r="Q240">
        <v>3.4480822651403599E-2</v>
      </c>
      <c r="R240">
        <v>0.99843736588574705</v>
      </c>
      <c r="S240" t="s">
        <v>3869</v>
      </c>
      <c r="T240" t="s">
        <v>7256</v>
      </c>
      <c r="U240" t="s">
        <v>7256</v>
      </c>
      <c r="V240" t="s">
        <v>7256</v>
      </c>
      <c r="W240">
        <v>21</v>
      </c>
      <c r="X240" t="s">
        <v>7496</v>
      </c>
      <c r="Y240">
        <v>0.38769411050811781</v>
      </c>
      <c r="Z240" t="str">
        <f>HYPERLINK("Melting_Curves/meltCurve_sp_O75521_2_ECI2_HUMAN_.pdf", "Melting_Curves/meltCurve_sp_O75521_2_ECI2_HUMAN_.pdf")</f>
        <v>Melting_Curves/meltCurve_sp_O75521_2_ECI2_HUMAN_.pdf</v>
      </c>
      <c r="AA240" t="s">
        <v>11120</v>
      </c>
      <c r="AB240" t="s">
        <v>14666</v>
      </c>
    </row>
    <row r="241" spans="1:28" x14ac:dyDescent="0.25">
      <c r="A241" t="s">
        <v>245</v>
      </c>
      <c r="B241">
        <v>0.98018197421672304</v>
      </c>
      <c r="C241">
        <v>0.96104179663952705</v>
      </c>
      <c r="D241">
        <v>0.982219334773754</v>
      </c>
      <c r="E241">
        <v>0.80908184057111898</v>
      </c>
      <c r="F241">
        <v>0.77703700673661402</v>
      </c>
      <c r="G241">
        <v>0.48727028716618298</v>
      </c>
      <c r="H241">
        <v>0.32459262369410602</v>
      </c>
      <c r="I241">
        <v>0.34570025296888302</v>
      </c>
      <c r="J241">
        <v>0.39749207806015002</v>
      </c>
      <c r="K241">
        <v>0.463406292907873</v>
      </c>
      <c r="L241">
        <v>1172.98359467351</v>
      </c>
      <c r="M241">
        <v>21.9959605519322</v>
      </c>
      <c r="N241">
        <v>56.841104158933497</v>
      </c>
      <c r="O241">
        <v>52.8923253910718</v>
      </c>
      <c r="P241">
        <v>-6.5329307730938493E-2</v>
      </c>
      <c r="Q241">
        <v>0.37164066544921398</v>
      </c>
      <c r="R241">
        <v>0.957542946434219</v>
      </c>
      <c r="S241" t="s">
        <v>3870</v>
      </c>
      <c r="T241" t="s">
        <v>7256</v>
      </c>
      <c r="U241" t="s">
        <v>7256</v>
      </c>
      <c r="V241" t="s">
        <v>7256</v>
      </c>
      <c r="W241">
        <v>4</v>
      </c>
      <c r="X241" t="s">
        <v>7497</v>
      </c>
      <c r="Y241">
        <v>0.65809741540637468</v>
      </c>
      <c r="Z241" t="str">
        <f>HYPERLINK("Melting_Curves/meltCurve_sp_O75531_BAF_HUMAN_.pdf", "Melting_Curves/meltCurve_sp_O75531_BAF_HUMAN_.pdf")</f>
        <v>Melting_Curves/meltCurve_sp_O75531_BAF_HUMAN_.pdf</v>
      </c>
      <c r="AA241" t="s">
        <v>11121</v>
      </c>
      <c r="AB241" t="s">
        <v>14667</v>
      </c>
    </row>
    <row r="242" spans="1:28" x14ac:dyDescent="0.25">
      <c r="A242" t="s">
        <v>246</v>
      </c>
      <c r="B242">
        <v>0.98018197421672304</v>
      </c>
      <c r="C242">
        <v>0.94527191683900003</v>
      </c>
      <c r="D242">
        <v>0.86254100814165702</v>
      </c>
      <c r="E242">
        <v>0.593255555135629</v>
      </c>
      <c r="F242">
        <v>0.34185445451861401</v>
      </c>
      <c r="G242">
        <v>0.21024494393519499</v>
      </c>
      <c r="H242">
        <v>0.17871279873753401</v>
      </c>
      <c r="I242">
        <v>0.173295467930981</v>
      </c>
      <c r="J242">
        <v>0.205542277584017</v>
      </c>
      <c r="K242">
        <v>0.23175048972896001</v>
      </c>
      <c r="L242">
        <v>1072.5782421051899</v>
      </c>
      <c r="M242">
        <v>21.581147422604602</v>
      </c>
      <c r="N242">
        <v>50.7923137889575</v>
      </c>
      <c r="O242">
        <v>49.278941591750197</v>
      </c>
      <c r="P242">
        <v>-8.9157286172401207E-2</v>
      </c>
      <c r="Q242">
        <v>0.185683426960355</v>
      </c>
      <c r="R242">
        <v>0.99438353479876096</v>
      </c>
      <c r="S242" t="s">
        <v>3871</v>
      </c>
      <c r="T242" t="s">
        <v>7256</v>
      </c>
      <c r="U242" t="s">
        <v>7256</v>
      </c>
      <c r="V242" t="s">
        <v>7256</v>
      </c>
      <c r="W242">
        <v>20</v>
      </c>
      <c r="X242" t="s">
        <v>7498</v>
      </c>
      <c r="Y242">
        <v>0.45873122029026853</v>
      </c>
      <c r="Z242" t="str">
        <f>HYPERLINK("Melting_Curves/meltCurve_sp_O75533_SF3B1_HUMAN_.pdf", "Melting_Curves/meltCurve_sp_O75533_SF3B1_HUMAN_.pdf")</f>
        <v>Melting_Curves/meltCurve_sp_O75533_SF3B1_HUMAN_.pdf</v>
      </c>
      <c r="AA242" t="s">
        <v>11122</v>
      </c>
      <c r="AB242" t="s">
        <v>14668</v>
      </c>
    </row>
    <row r="243" spans="1:28" x14ac:dyDescent="0.25">
      <c r="A243" t="s">
        <v>247</v>
      </c>
      <c r="B243">
        <v>0.98018197421672304</v>
      </c>
      <c r="C243">
        <v>0.97553171249005299</v>
      </c>
      <c r="D243">
        <v>0.78810282722235203</v>
      </c>
      <c r="E243">
        <v>0.39804603451325998</v>
      </c>
      <c r="F243">
        <v>0.20884233489905399</v>
      </c>
      <c r="G243">
        <v>0.12003056224815099</v>
      </c>
      <c r="H243">
        <v>7.4457396133285794E-2</v>
      </c>
      <c r="I243">
        <v>5.8637937556129401E-2</v>
      </c>
      <c r="J243">
        <v>6.7541742505261099E-2</v>
      </c>
      <c r="K243">
        <v>6.6893355912708105E-2</v>
      </c>
      <c r="L243">
        <v>1049.02330461984</v>
      </c>
      <c r="M243">
        <v>21.546452032467801</v>
      </c>
      <c r="N243">
        <v>49.006399680067098</v>
      </c>
      <c r="O243">
        <v>48.273035541275902</v>
      </c>
      <c r="P243">
        <v>-0.10427047165337</v>
      </c>
      <c r="Q243">
        <v>6.5585430193879093E-2</v>
      </c>
      <c r="R243">
        <v>0.99912367180598705</v>
      </c>
      <c r="S243" t="s">
        <v>3872</v>
      </c>
      <c r="T243" t="s">
        <v>7256</v>
      </c>
      <c r="U243" t="s">
        <v>7256</v>
      </c>
      <c r="V243" t="s">
        <v>7256</v>
      </c>
      <c r="W243">
        <v>20</v>
      </c>
      <c r="X243" t="s">
        <v>7499</v>
      </c>
      <c r="Y243">
        <v>0.34740677000646258</v>
      </c>
      <c r="Z243" t="str">
        <f>HYPERLINK("Melting_Curves/meltCurve_sp_O75534_CSDE1_HUMAN_.pdf", "Melting_Curves/meltCurve_sp_O75534_CSDE1_HUMAN_.pdf")</f>
        <v>Melting_Curves/meltCurve_sp_O75534_CSDE1_HUMAN_.pdf</v>
      </c>
      <c r="AA243" t="s">
        <v>11123</v>
      </c>
      <c r="AB243" t="s">
        <v>14669</v>
      </c>
    </row>
    <row r="244" spans="1:28" x14ac:dyDescent="0.25">
      <c r="A244" t="s">
        <v>248</v>
      </c>
      <c r="B244">
        <v>0.98018197421672304</v>
      </c>
      <c r="C244">
        <v>0.83028464533129198</v>
      </c>
      <c r="D244">
        <v>0.68492724967002006</v>
      </c>
      <c r="E244">
        <v>0.46478134972322699</v>
      </c>
      <c r="F244">
        <v>0.289170330653098</v>
      </c>
      <c r="G244">
        <v>0.14353633948540301</v>
      </c>
      <c r="H244">
        <v>0.110829754842819</v>
      </c>
      <c r="I244">
        <v>0.105317039343283</v>
      </c>
      <c r="J244">
        <v>0.102801824860908</v>
      </c>
      <c r="K244">
        <v>2.7134873821703601E-2</v>
      </c>
      <c r="L244">
        <v>623.74332028718402</v>
      </c>
      <c r="M244">
        <v>12.811036790493599</v>
      </c>
      <c r="N244">
        <v>49.0307946047622</v>
      </c>
      <c r="O244">
        <v>47.547394286737998</v>
      </c>
      <c r="P244">
        <v>-6.4485670811822202E-2</v>
      </c>
      <c r="Q244">
        <v>4.2840218462996599E-2</v>
      </c>
      <c r="R244">
        <v>0.99451519143766898</v>
      </c>
      <c r="S244" t="s">
        <v>3873</v>
      </c>
      <c r="T244" t="s">
        <v>7256</v>
      </c>
      <c r="U244" t="s">
        <v>7256</v>
      </c>
      <c r="V244" t="s">
        <v>7256</v>
      </c>
      <c r="W244">
        <v>1</v>
      </c>
      <c r="X244" t="s">
        <v>7500</v>
      </c>
      <c r="Y244">
        <v>0.35202241975803289</v>
      </c>
      <c r="Z244" t="str">
        <f>HYPERLINK("Melting_Curves/meltCurve_sp_O75570_RF1M_HUMAN_.pdf", "Melting_Curves/meltCurve_sp_O75570_RF1M_HUMAN_.pdf")</f>
        <v>Melting_Curves/meltCurve_sp_O75570_RF1M_HUMAN_.pdf</v>
      </c>
      <c r="AA244" t="s">
        <v>11124</v>
      </c>
      <c r="AB244" t="s">
        <v>14670</v>
      </c>
    </row>
    <row r="245" spans="1:28" x14ac:dyDescent="0.25">
      <c r="A245" t="s">
        <v>249</v>
      </c>
      <c r="B245">
        <v>0.98018197421672304</v>
      </c>
      <c r="C245">
        <v>0.94908611824479805</v>
      </c>
      <c r="D245">
        <v>0.86201050823845804</v>
      </c>
      <c r="E245">
        <v>0.72827920703154203</v>
      </c>
      <c r="F245">
        <v>0.53837896639927396</v>
      </c>
      <c r="G245">
        <v>0.33547647101531503</v>
      </c>
      <c r="H245">
        <v>0.18368925869112601</v>
      </c>
      <c r="I245">
        <v>0.11103569279417599</v>
      </c>
      <c r="J245">
        <v>6.8080458303602695E-2</v>
      </c>
      <c r="K245">
        <v>5.2919431010117597E-2</v>
      </c>
      <c r="L245">
        <v>660.96838307894097</v>
      </c>
      <c r="M245">
        <v>12.315078269535601</v>
      </c>
      <c r="N245">
        <v>53.671471722844899</v>
      </c>
      <c r="O245">
        <v>52.315154603080899</v>
      </c>
      <c r="P245">
        <v>-5.8863275940350998E-2</v>
      </c>
      <c r="Q245">
        <v>0</v>
      </c>
      <c r="R245">
        <v>0.99903735284834305</v>
      </c>
      <c r="S245" t="s">
        <v>3874</v>
      </c>
      <c r="T245" t="s">
        <v>7256</v>
      </c>
      <c r="U245" t="s">
        <v>7256</v>
      </c>
      <c r="V245" t="s">
        <v>7256</v>
      </c>
      <c r="W245">
        <v>7</v>
      </c>
      <c r="X245" t="s">
        <v>7501</v>
      </c>
      <c r="Y245">
        <v>0.48194246749129732</v>
      </c>
      <c r="Z245" t="str">
        <f>HYPERLINK("Melting_Curves/meltCurve_sp_O75600_KBL_HUMAN_.pdf", "Melting_Curves/meltCurve_sp_O75600_KBL_HUMAN_.pdf")</f>
        <v>Melting_Curves/meltCurve_sp_O75600_KBL_HUMAN_.pdf</v>
      </c>
      <c r="AA245" t="s">
        <v>11125</v>
      </c>
      <c r="AB245" t="s">
        <v>14671</v>
      </c>
    </row>
    <row r="246" spans="1:28" x14ac:dyDescent="0.25">
      <c r="A246" t="s">
        <v>250</v>
      </c>
      <c r="B246">
        <v>0.98018197421672304</v>
      </c>
      <c r="C246">
        <v>1.00566251633298</v>
      </c>
      <c r="D246">
        <v>0.96509415905760698</v>
      </c>
      <c r="E246">
        <v>0.80826071857793003</v>
      </c>
      <c r="F246">
        <v>0.77051219182392705</v>
      </c>
      <c r="G246">
        <v>0.45360117637018998</v>
      </c>
      <c r="H246">
        <v>0.143131763074134</v>
      </c>
      <c r="I246">
        <v>6.4879392951782799E-2</v>
      </c>
      <c r="J246">
        <v>7.3137364005425795E-2</v>
      </c>
      <c r="K246">
        <v>7.1980462333305101E-2</v>
      </c>
      <c r="L246">
        <v>993.13716609008497</v>
      </c>
      <c r="M246">
        <v>17.770693529535802</v>
      </c>
      <c r="N246">
        <v>55.939727791954702</v>
      </c>
      <c r="O246">
        <v>55.192966414538198</v>
      </c>
      <c r="P246">
        <v>-7.9819213212633397E-2</v>
      </c>
      <c r="Q246">
        <v>8.4282801773234196E-3</v>
      </c>
      <c r="R246">
        <v>0.98970827279234497</v>
      </c>
      <c r="S246" t="s">
        <v>3875</v>
      </c>
      <c r="T246" t="s">
        <v>7256</v>
      </c>
      <c r="U246" t="s">
        <v>7256</v>
      </c>
      <c r="V246" t="s">
        <v>7256</v>
      </c>
      <c r="W246">
        <v>4</v>
      </c>
      <c r="X246" t="s">
        <v>7502</v>
      </c>
      <c r="Y246">
        <v>0.54843601662610475</v>
      </c>
      <c r="Z246" t="str">
        <f>HYPERLINK("Melting_Curves/meltCurve_sp_O75608_2_LYPA1_HUMAN_.pdf", "Melting_Curves/meltCurve_sp_O75608_2_LYPA1_HUMAN_.pdf")</f>
        <v>Melting_Curves/meltCurve_sp_O75608_2_LYPA1_HUMAN_.pdf</v>
      </c>
      <c r="AA246" t="s">
        <v>11126</v>
      </c>
      <c r="AB246" t="s">
        <v>14672</v>
      </c>
    </row>
    <row r="247" spans="1:28" x14ac:dyDescent="0.25">
      <c r="A247" t="s">
        <v>251</v>
      </c>
      <c r="B247">
        <v>0.98018197421672304</v>
      </c>
      <c r="C247">
        <v>1.03600853158475</v>
      </c>
      <c r="D247">
        <v>0.94581449588150002</v>
      </c>
      <c r="E247">
        <v>0.80712445178963899</v>
      </c>
      <c r="F247">
        <v>0.70464826737277497</v>
      </c>
      <c r="G247">
        <v>0.57442774412964903</v>
      </c>
      <c r="H247">
        <v>0.404688492043697</v>
      </c>
      <c r="I247">
        <v>0.44481669469609603</v>
      </c>
      <c r="J247">
        <v>0.49191089647163699</v>
      </c>
      <c r="K247">
        <v>0.52231886581753495</v>
      </c>
      <c r="L247">
        <v>1006.01200141765</v>
      </c>
      <c r="M247">
        <v>19.3545554026948</v>
      </c>
      <c r="N247">
        <v>59.934753909915997</v>
      </c>
      <c r="O247">
        <v>51.432695964059</v>
      </c>
      <c r="P247">
        <v>-5.0642561809716997E-2</v>
      </c>
      <c r="Q247">
        <v>0.46171076325300098</v>
      </c>
      <c r="R247">
        <v>0.96714911954385596</v>
      </c>
      <c r="S247" t="s">
        <v>3876</v>
      </c>
      <c r="T247" t="s">
        <v>7256</v>
      </c>
      <c r="U247" t="s">
        <v>7256</v>
      </c>
      <c r="V247" t="s">
        <v>7256</v>
      </c>
      <c r="W247">
        <v>1</v>
      </c>
      <c r="X247" t="s">
        <v>7503</v>
      </c>
      <c r="Y247">
        <v>0.68453081923793335</v>
      </c>
      <c r="Z247" t="str">
        <f>HYPERLINK("Melting_Curves/meltCurve_sp_O75629_CREG1_HUMAN_.pdf", "Melting_Curves/meltCurve_sp_O75629_CREG1_HUMAN_.pdf")</f>
        <v>Melting_Curves/meltCurve_sp_O75629_CREG1_HUMAN_.pdf</v>
      </c>
      <c r="AA247" t="s">
        <v>11127</v>
      </c>
      <c r="AB247" t="s">
        <v>14673</v>
      </c>
    </row>
    <row r="248" spans="1:28" x14ac:dyDescent="0.25">
      <c r="A248" t="s">
        <v>252</v>
      </c>
      <c r="B248">
        <v>0.98018197421672304</v>
      </c>
      <c r="C248">
        <v>0.97395751473046599</v>
      </c>
      <c r="D248">
        <v>0.88241867984318501</v>
      </c>
      <c r="E248">
        <v>0.64433023885051199</v>
      </c>
      <c r="F248">
        <v>0.35655940562948701</v>
      </c>
      <c r="G248">
        <v>0.17936917947480099</v>
      </c>
      <c r="H248">
        <v>0.13740425410163701</v>
      </c>
      <c r="I248">
        <v>0.13993856976070901</v>
      </c>
      <c r="J248">
        <v>0.16859587441690699</v>
      </c>
      <c r="K248">
        <v>0.17891108530115399</v>
      </c>
      <c r="L248">
        <v>1152.27360189046</v>
      </c>
      <c r="M248">
        <v>22.823063428031599</v>
      </c>
      <c r="N248">
        <v>51.254673124022403</v>
      </c>
      <c r="O248">
        <v>50.104437982759798</v>
      </c>
      <c r="P248">
        <v>-9.7397940750008599E-2</v>
      </c>
      <c r="Q248">
        <v>0.14472922154869999</v>
      </c>
      <c r="R248">
        <v>0.99584029843893895</v>
      </c>
      <c r="S248" t="s">
        <v>3877</v>
      </c>
      <c r="T248" t="s">
        <v>7256</v>
      </c>
      <c r="U248" t="s">
        <v>7256</v>
      </c>
      <c r="V248" t="s">
        <v>7256</v>
      </c>
      <c r="W248">
        <v>10</v>
      </c>
      <c r="X248" t="s">
        <v>7504</v>
      </c>
      <c r="Y248">
        <v>0.45291107989576213</v>
      </c>
      <c r="Z248" t="str">
        <f>HYPERLINK("Melting_Curves/meltCurve_sp_O75643_U520_HUMAN_.pdf", "Melting_Curves/meltCurve_sp_O75643_U520_HUMAN_.pdf")</f>
        <v>Melting_Curves/meltCurve_sp_O75643_U520_HUMAN_.pdf</v>
      </c>
      <c r="AA248" t="s">
        <v>11128</v>
      </c>
      <c r="AB248" t="s">
        <v>14674</v>
      </c>
    </row>
    <row r="249" spans="1:28" x14ac:dyDescent="0.25">
      <c r="A249" t="s">
        <v>253</v>
      </c>
      <c r="B249">
        <v>0.98018197421672304</v>
      </c>
      <c r="C249">
        <v>0.93978068256061897</v>
      </c>
      <c r="D249">
        <v>0.90027048327664705</v>
      </c>
      <c r="E249">
        <v>0.70697508588781299</v>
      </c>
      <c r="F249">
        <v>0.39639944454452802</v>
      </c>
      <c r="G249">
        <v>0.13897117899238901</v>
      </c>
      <c r="H249">
        <v>9.6149681800196798E-2</v>
      </c>
      <c r="I249">
        <v>6.9157725494130406E-2</v>
      </c>
      <c r="J249">
        <v>9.6106377900429502E-2</v>
      </c>
      <c r="K249">
        <v>6.68511847655789E-2</v>
      </c>
      <c r="L249">
        <v>1120.4932471151201</v>
      </c>
      <c r="M249">
        <v>21.741140532581799</v>
      </c>
      <c r="N249">
        <v>51.863180150810997</v>
      </c>
      <c r="O249">
        <v>51.107843438033001</v>
      </c>
      <c r="P249">
        <v>-9.9574094350792605E-2</v>
      </c>
      <c r="Q249">
        <v>6.3729359647328301E-2</v>
      </c>
      <c r="R249">
        <v>0.995712677486427</v>
      </c>
      <c r="S249" t="s">
        <v>3878</v>
      </c>
      <c r="T249" t="s">
        <v>7256</v>
      </c>
      <c r="U249" t="s">
        <v>7256</v>
      </c>
      <c r="V249" t="s">
        <v>7256</v>
      </c>
      <c r="W249">
        <v>7</v>
      </c>
      <c r="X249" t="s">
        <v>7505</v>
      </c>
      <c r="Y249">
        <v>0.434932425868578</v>
      </c>
      <c r="Z249" t="str">
        <f>HYPERLINK("Melting_Curves/meltCurve_sp_O75663_TIPRL_HUMAN_.pdf", "Melting_Curves/meltCurve_sp_O75663_TIPRL_HUMAN_.pdf")</f>
        <v>Melting_Curves/meltCurve_sp_O75663_TIPRL_HUMAN_.pdf</v>
      </c>
      <c r="AA249" t="s">
        <v>11129</v>
      </c>
      <c r="AB249" t="s">
        <v>14675</v>
      </c>
    </row>
    <row r="250" spans="1:28" x14ac:dyDescent="0.25">
      <c r="A250" t="s">
        <v>254</v>
      </c>
      <c r="B250">
        <v>0.98018197421672304</v>
      </c>
      <c r="C250">
        <v>1.09615669807875</v>
      </c>
      <c r="D250">
        <v>1.0014831178114001</v>
      </c>
      <c r="E250">
        <v>0.85332776797356602</v>
      </c>
      <c r="F250">
        <v>0.414792722221691</v>
      </c>
      <c r="G250">
        <v>0.111547160551625</v>
      </c>
      <c r="H250">
        <v>5.6716062785770398E-2</v>
      </c>
      <c r="I250">
        <v>4.2838229671662599E-2</v>
      </c>
      <c r="J250">
        <v>5.0261784354340998E-2</v>
      </c>
      <c r="K250">
        <v>4.0297635497546301E-2</v>
      </c>
      <c r="L250">
        <v>1867.9441271568401</v>
      </c>
      <c r="M250">
        <v>35.687554020689099</v>
      </c>
      <c r="N250">
        <v>52.491026361991501</v>
      </c>
      <c r="O250">
        <v>52.178075216881297</v>
      </c>
      <c r="P250">
        <v>-0.16273146445105099</v>
      </c>
      <c r="Q250">
        <v>4.8297068920096602E-2</v>
      </c>
      <c r="R250">
        <v>0.99473050553006503</v>
      </c>
      <c r="S250" t="s">
        <v>3879</v>
      </c>
      <c r="T250" t="s">
        <v>7256</v>
      </c>
      <c r="U250" t="s">
        <v>7256</v>
      </c>
      <c r="V250" t="s">
        <v>7256</v>
      </c>
      <c r="W250">
        <v>6</v>
      </c>
      <c r="X250" t="s">
        <v>7506</v>
      </c>
      <c r="Y250">
        <v>0.44414157193360582</v>
      </c>
      <c r="Z250" t="str">
        <f>HYPERLINK("Melting_Curves/meltCurve_sp_O75688_PPM1B_HUMAN_.pdf", "Melting_Curves/meltCurve_sp_O75688_PPM1B_HUMAN_.pdf")</f>
        <v>Melting_Curves/meltCurve_sp_O75688_PPM1B_HUMAN_.pdf</v>
      </c>
      <c r="AA250" t="s">
        <v>11130</v>
      </c>
      <c r="AB250" t="s">
        <v>14676</v>
      </c>
    </row>
    <row r="251" spans="1:28" x14ac:dyDescent="0.25">
      <c r="A251" t="s">
        <v>255</v>
      </c>
      <c r="B251">
        <v>0.98018197421672304</v>
      </c>
      <c r="C251">
        <v>1.0629507792378201</v>
      </c>
      <c r="D251">
        <v>0.95864356365062997</v>
      </c>
      <c r="E251">
        <v>0.80642644624372495</v>
      </c>
      <c r="F251">
        <v>0.56670625199911895</v>
      </c>
      <c r="G251">
        <v>0</v>
      </c>
      <c r="H251">
        <v>0.106966631662295</v>
      </c>
      <c r="I251">
        <v>6.2273687660124602E-2</v>
      </c>
      <c r="J251">
        <v>0.22652021254124999</v>
      </c>
      <c r="K251">
        <v>4.8294754055249099E-2</v>
      </c>
      <c r="L251">
        <v>1908.4656151756101</v>
      </c>
      <c r="M251">
        <v>36.196501455761997</v>
      </c>
      <c r="N251">
        <v>52.9901641044519</v>
      </c>
      <c r="O251">
        <v>52.564984708990401</v>
      </c>
      <c r="P251">
        <v>-0.15789790123050301</v>
      </c>
      <c r="Q251">
        <v>8.2798079863423496E-2</v>
      </c>
      <c r="R251">
        <v>0.96578741664840095</v>
      </c>
      <c r="S251" t="s">
        <v>3880</v>
      </c>
      <c r="T251" t="s">
        <v>7256</v>
      </c>
      <c r="U251" t="s">
        <v>7256</v>
      </c>
      <c r="V251" t="s">
        <v>7256</v>
      </c>
      <c r="W251">
        <v>2</v>
      </c>
      <c r="X251" t="s">
        <v>7507</v>
      </c>
      <c r="Y251">
        <v>0.47592931151889029</v>
      </c>
      <c r="Z251" t="str">
        <f>HYPERLINK("Melting_Curves/meltCurve_sp_O75695_XRP2_HUMAN_.pdf", "Melting_Curves/meltCurve_sp_O75695_XRP2_HUMAN_.pdf")</f>
        <v>Melting_Curves/meltCurve_sp_O75695_XRP2_HUMAN_.pdf</v>
      </c>
      <c r="AA251" t="s">
        <v>11131</v>
      </c>
      <c r="AB251" t="s">
        <v>14677</v>
      </c>
    </row>
    <row r="252" spans="1:28" x14ac:dyDescent="0.25">
      <c r="A252" t="s">
        <v>256</v>
      </c>
      <c r="B252">
        <v>0.98018197421672304</v>
      </c>
      <c r="C252">
        <v>0.98738853692842798</v>
      </c>
      <c r="D252">
        <v>0.95579664514762097</v>
      </c>
      <c r="E252">
        <v>0.79960021279988203</v>
      </c>
      <c r="F252">
        <v>0.60691715221602405</v>
      </c>
      <c r="G252">
        <v>0.39700449281649902</v>
      </c>
      <c r="H252">
        <v>0.24966519246149699</v>
      </c>
      <c r="I252">
        <v>0.24539223604702601</v>
      </c>
      <c r="J252">
        <v>0.30159604690315001</v>
      </c>
      <c r="K252">
        <v>0.28267026953788899</v>
      </c>
      <c r="L252">
        <v>1082.46690498983</v>
      </c>
      <c r="M252">
        <v>20.5925255407641</v>
      </c>
      <c r="N252">
        <v>54.468754600869502</v>
      </c>
      <c r="O252">
        <v>52.077823687751497</v>
      </c>
      <c r="P252">
        <v>-7.3503817156303899E-2</v>
      </c>
      <c r="Q252">
        <v>0.25646658691196</v>
      </c>
      <c r="R252">
        <v>0.993830479339464</v>
      </c>
      <c r="S252" t="s">
        <v>3881</v>
      </c>
      <c r="T252" t="s">
        <v>7256</v>
      </c>
      <c r="U252" t="s">
        <v>7256</v>
      </c>
      <c r="V252" t="s">
        <v>7256</v>
      </c>
      <c r="W252">
        <v>8</v>
      </c>
      <c r="X252" t="s">
        <v>7508</v>
      </c>
      <c r="Y252">
        <v>0.57765456369051948</v>
      </c>
      <c r="Z252" t="str">
        <f>HYPERLINK("Melting_Curves/meltCurve_sp_O75764_TCEA3_HUMAN_.pdf", "Melting_Curves/meltCurve_sp_O75764_TCEA3_HUMAN_.pdf")</f>
        <v>Melting_Curves/meltCurve_sp_O75764_TCEA3_HUMAN_.pdf</v>
      </c>
      <c r="AA252" t="s">
        <v>11132</v>
      </c>
      <c r="AB252" t="s">
        <v>14678</v>
      </c>
    </row>
    <row r="253" spans="1:28" x14ac:dyDescent="0.25">
      <c r="A253" t="s">
        <v>257</v>
      </c>
      <c r="B253">
        <v>0.98018197421672304</v>
      </c>
      <c r="C253">
        <v>0.920901692173972</v>
      </c>
      <c r="D253">
        <v>0.96624660845645904</v>
      </c>
      <c r="E253">
        <v>0.78412613947688903</v>
      </c>
      <c r="F253">
        <v>0.58505240826085703</v>
      </c>
      <c r="G253">
        <v>0.43706033613813</v>
      </c>
      <c r="H253">
        <v>0.39058511002604501</v>
      </c>
      <c r="I253">
        <v>0.27337192794462101</v>
      </c>
      <c r="J253">
        <v>0.361295422595726</v>
      </c>
      <c r="K253">
        <v>0.431293457490945</v>
      </c>
      <c r="L253">
        <v>1100.3557178071101</v>
      </c>
      <c r="M253">
        <v>21.342203987884101</v>
      </c>
      <c r="N253">
        <v>54.7476492071739</v>
      </c>
      <c r="O253">
        <v>51.1114869546115</v>
      </c>
      <c r="P253">
        <v>-6.7248377861082703E-2</v>
      </c>
      <c r="Q253">
        <v>0.35581574228068702</v>
      </c>
      <c r="R253">
        <v>0.97109825700481101</v>
      </c>
      <c r="S253" t="s">
        <v>3882</v>
      </c>
      <c r="T253" t="s">
        <v>7256</v>
      </c>
      <c r="U253" t="s">
        <v>7256</v>
      </c>
      <c r="V253" t="s">
        <v>7256</v>
      </c>
      <c r="W253">
        <v>6</v>
      </c>
      <c r="X253" t="s">
        <v>7509</v>
      </c>
      <c r="Y253">
        <v>0.61191134372459888</v>
      </c>
      <c r="Z253" t="str">
        <f>HYPERLINK("Melting_Curves/meltCurve_sp_O75821_EIF3G_HUMAN_.pdf", "Melting_Curves/meltCurve_sp_O75821_EIF3G_HUMAN_.pdf")</f>
        <v>Melting_Curves/meltCurve_sp_O75821_EIF3G_HUMAN_.pdf</v>
      </c>
      <c r="AA253" t="s">
        <v>11133</v>
      </c>
      <c r="AB253" t="s">
        <v>14679</v>
      </c>
    </row>
    <row r="254" spans="1:28" x14ac:dyDescent="0.25">
      <c r="A254" t="s">
        <v>258</v>
      </c>
      <c r="B254">
        <v>0.98018197421672304</v>
      </c>
      <c r="C254">
        <v>0.87829049514531099</v>
      </c>
      <c r="D254">
        <v>0.79773814720121505</v>
      </c>
      <c r="E254">
        <v>0.63647414384776102</v>
      </c>
      <c r="F254">
        <v>0.44975297876643</v>
      </c>
      <c r="G254">
        <v>0.29434793563233003</v>
      </c>
      <c r="H254">
        <v>0.220509239533701</v>
      </c>
      <c r="I254">
        <v>0.20112097793887301</v>
      </c>
      <c r="J254">
        <v>0.24858767952420999</v>
      </c>
      <c r="K254">
        <v>0.24906924982614501</v>
      </c>
      <c r="L254">
        <v>676.65716866464697</v>
      </c>
      <c r="M254">
        <v>13.5468221447617</v>
      </c>
      <c r="N254">
        <v>51.817746233344998</v>
      </c>
      <c r="O254">
        <v>48.898758352888002</v>
      </c>
      <c r="P254">
        <v>-5.5886980836055797E-2</v>
      </c>
      <c r="Q254">
        <v>0.193200349152062</v>
      </c>
      <c r="R254">
        <v>0.98861699677116899</v>
      </c>
      <c r="S254" t="s">
        <v>3883</v>
      </c>
      <c r="T254" t="s">
        <v>7256</v>
      </c>
      <c r="U254" t="s">
        <v>7256</v>
      </c>
      <c r="V254" t="s">
        <v>7256</v>
      </c>
      <c r="W254">
        <v>6</v>
      </c>
      <c r="X254" t="s">
        <v>7510</v>
      </c>
      <c r="Y254">
        <v>0.48376871147092809</v>
      </c>
      <c r="Z254" t="str">
        <f>HYPERLINK("Melting_Curves/meltCurve_sp_O75822_EIF3J_HUMAN_.pdf", "Melting_Curves/meltCurve_sp_O75822_EIF3J_HUMAN_.pdf")</f>
        <v>Melting_Curves/meltCurve_sp_O75822_EIF3J_HUMAN_.pdf</v>
      </c>
      <c r="AA254" t="s">
        <v>11134</v>
      </c>
      <c r="AB254" t="s">
        <v>14680</v>
      </c>
    </row>
    <row r="255" spans="1:28" x14ac:dyDescent="0.25">
      <c r="A255" t="s">
        <v>259</v>
      </c>
      <c r="B255">
        <v>0.98018197421672304</v>
      </c>
      <c r="C255">
        <v>0.78449418335897603</v>
      </c>
      <c r="D255">
        <v>0.98327139655516804</v>
      </c>
      <c r="E255">
        <v>0.61289604685016297</v>
      </c>
      <c r="F255">
        <v>0.15251194570743701</v>
      </c>
      <c r="G255">
        <v>6.4757077489885198E-2</v>
      </c>
      <c r="H255">
        <v>3.5547254294234901E-2</v>
      </c>
      <c r="I255">
        <v>2.7963306599932899E-2</v>
      </c>
      <c r="J255">
        <v>2.9420276757050799E-2</v>
      </c>
      <c r="K255">
        <v>2.05570341593256E-2</v>
      </c>
      <c r="L255">
        <v>1997.63031958487</v>
      </c>
      <c r="M255">
        <v>39.5625923898005</v>
      </c>
      <c r="N255">
        <v>50.577485496662703</v>
      </c>
      <c r="O255">
        <v>50.364433439312201</v>
      </c>
      <c r="P255">
        <v>-0.190094929868977</v>
      </c>
      <c r="Q255">
        <v>3.2014967696119001E-2</v>
      </c>
      <c r="R255">
        <v>0.97024359816161398</v>
      </c>
      <c r="S255" t="s">
        <v>3884</v>
      </c>
      <c r="T255" t="s">
        <v>7256</v>
      </c>
      <c r="U255" t="s">
        <v>7256</v>
      </c>
      <c r="V255" t="s">
        <v>7256</v>
      </c>
      <c r="W255">
        <v>29</v>
      </c>
      <c r="X255" t="s">
        <v>7511</v>
      </c>
      <c r="Y255">
        <v>0.37403553993584993</v>
      </c>
      <c r="Z255" t="str">
        <f>HYPERLINK("Melting_Curves/meltCurve_sp_O75874_IDHC_HUMAN_.pdf", "Melting_Curves/meltCurve_sp_O75874_IDHC_HUMAN_.pdf")</f>
        <v>Melting_Curves/meltCurve_sp_O75874_IDHC_HUMAN_.pdf</v>
      </c>
      <c r="AA255" t="s">
        <v>11135</v>
      </c>
      <c r="AB255" t="s">
        <v>14681</v>
      </c>
    </row>
    <row r="256" spans="1:28" x14ac:dyDescent="0.25">
      <c r="A256" t="s">
        <v>260</v>
      </c>
      <c r="B256">
        <v>0.98018197421672304</v>
      </c>
      <c r="C256">
        <v>0.99062225191986097</v>
      </c>
      <c r="D256">
        <v>0.94898320758295396</v>
      </c>
      <c r="E256">
        <v>0.75932120145363402</v>
      </c>
      <c r="F256">
        <v>0.64088336042179095</v>
      </c>
      <c r="G256">
        <v>0.25888103672722601</v>
      </c>
      <c r="H256">
        <v>6.4074639364566394E-2</v>
      </c>
      <c r="I256">
        <v>3.6539104748127597E-2</v>
      </c>
      <c r="J256">
        <v>5.0737803045200203E-2</v>
      </c>
      <c r="K256">
        <v>2.8033439056125001E-2</v>
      </c>
      <c r="L256">
        <v>1004.69585454345</v>
      </c>
      <c r="M256">
        <v>18.624713403567299</v>
      </c>
      <c r="N256">
        <v>53.944231961272401</v>
      </c>
      <c r="O256">
        <v>53.3338775900339</v>
      </c>
      <c r="P256">
        <v>-8.7306218531087804E-2</v>
      </c>
      <c r="Q256">
        <v>0</v>
      </c>
      <c r="R256">
        <v>0.99419226737371502</v>
      </c>
      <c r="S256" t="s">
        <v>3885</v>
      </c>
      <c r="T256" t="s">
        <v>7256</v>
      </c>
      <c r="U256" t="s">
        <v>7256</v>
      </c>
      <c r="V256" t="s">
        <v>7256</v>
      </c>
      <c r="W256">
        <v>5</v>
      </c>
      <c r="X256" t="s">
        <v>7512</v>
      </c>
      <c r="Y256">
        <v>0.48002629480130071</v>
      </c>
      <c r="Z256" t="str">
        <f>HYPERLINK("Melting_Curves/meltCurve_sp_O75884_RBBP9_HUMAN_.pdf", "Melting_Curves/meltCurve_sp_O75884_RBBP9_HUMAN_.pdf")</f>
        <v>Melting_Curves/meltCurve_sp_O75884_RBBP9_HUMAN_.pdf</v>
      </c>
      <c r="AA256" t="s">
        <v>11136</v>
      </c>
      <c r="AB256" t="s">
        <v>14682</v>
      </c>
    </row>
    <row r="257" spans="1:28" x14ac:dyDescent="0.25">
      <c r="A257" t="s">
        <v>261</v>
      </c>
      <c r="B257">
        <v>0.98018197421672304</v>
      </c>
      <c r="C257">
        <v>1.0240062143239499</v>
      </c>
      <c r="D257">
        <v>0.93513139902682696</v>
      </c>
      <c r="E257">
        <v>0.76029401581368705</v>
      </c>
      <c r="F257">
        <v>0.53998099290488399</v>
      </c>
      <c r="G257">
        <v>0.343597579335085</v>
      </c>
      <c r="H257">
        <v>0.22394545743807201</v>
      </c>
      <c r="I257">
        <v>0.16684072916516199</v>
      </c>
      <c r="J257">
        <v>0.21278512893721399</v>
      </c>
      <c r="K257">
        <v>0.152038849576622</v>
      </c>
      <c r="L257">
        <v>937.21447077121604</v>
      </c>
      <c r="M257">
        <v>17.8263863460339</v>
      </c>
      <c r="N257">
        <v>53.730489957730498</v>
      </c>
      <c r="O257">
        <v>51.926359767323802</v>
      </c>
      <c r="P257">
        <v>-7.2159937594572496E-2</v>
      </c>
      <c r="Q257">
        <v>0.15926654960546599</v>
      </c>
      <c r="R257">
        <v>0.99623740001524097</v>
      </c>
      <c r="S257" t="s">
        <v>3886</v>
      </c>
      <c r="T257" t="s">
        <v>7256</v>
      </c>
      <c r="U257" t="s">
        <v>7256</v>
      </c>
      <c r="V257" t="s">
        <v>7256</v>
      </c>
      <c r="W257">
        <v>4</v>
      </c>
      <c r="X257" t="s">
        <v>7513</v>
      </c>
      <c r="Y257">
        <v>0.52575449271889041</v>
      </c>
      <c r="Z257" t="str">
        <f>HYPERLINK("Melting_Curves/meltCurve_sp_O75886_STAM2_HUMAN_.pdf", "Melting_Curves/meltCurve_sp_O75886_STAM2_HUMAN_.pdf")</f>
        <v>Melting_Curves/meltCurve_sp_O75886_STAM2_HUMAN_.pdf</v>
      </c>
      <c r="AA257" t="s">
        <v>11137</v>
      </c>
      <c r="AB257" t="s">
        <v>14683</v>
      </c>
    </row>
    <row r="258" spans="1:28" x14ac:dyDescent="0.25">
      <c r="A258" t="s">
        <v>262</v>
      </c>
      <c r="B258">
        <v>0.98018197421672304</v>
      </c>
      <c r="C258">
        <v>0.87840419238823297</v>
      </c>
      <c r="D258">
        <v>0.83938236204204097</v>
      </c>
      <c r="E258">
        <v>0.26890389912141299</v>
      </c>
      <c r="F258">
        <v>9.7423767311648396E-2</v>
      </c>
      <c r="G258">
        <v>5.6269920689011203E-2</v>
      </c>
      <c r="H258">
        <v>3.62551793273466E-2</v>
      </c>
      <c r="I258">
        <v>2.96851529216767E-2</v>
      </c>
      <c r="J258">
        <v>3.0865855579910999E-2</v>
      </c>
      <c r="K258">
        <v>2.26916324271575E-2</v>
      </c>
      <c r="L258">
        <v>1399.69659893927</v>
      </c>
      <c r="M258">
        <v>29.036385727126401</v>
      </c>
      <c r="N258">
        <v>48.311632400323198</v>
      </c>
      <c r="O258">
        <v>47.978010986677297</v>
      </c>
      <c r="P258">
        <v>-0.146601872181679</v>
      </c>
      <c r="Q258">
        <v>3.1062059487989901E-2</v>
      </c>
      <c r="R258">
        <v>0.992552057546494</v>
      </c>
      <c r="S258" t="s">
        <v>3887</v>
      </c>
      <c r="T258" t="s">
        <v>7256</v>
      </c>
      <c r="U258" t="s">
        <v>7256</v>
      </c>
      <c r="V258" t="s">
        <v>7256</v>
      </c>
      <c r="W258">
        <v>53</v>
      </c>
      <c r="X258" t="s">
        <v>7514</v>
      </c>
      <c r="Y258">
        <v>0.30231813120264822</v>
      </c>
      <c r="Z258" t="str">
        <f>HYPERLINK("Melting_Curves/meltCurve_sp_O75891_AL1L1_HUMAN_.pdf", "Melting_Curves/meltCurve_sp_O75891_AL1L1_HUMAN_.pdf")</f>
        <v>Melting_Curves/meltCurve_sp_O75891_AL1L1_HUMAN_.pdf</v>
      </c>
      <c r="AA258" t="s">
        <v>11138</v>
      </c>
      <c r="AB258" t="s">
        <v>14684</v>
      </c>
    </row>
    <row r="259" spans="1:28" x14ac:dyDescent="0.25">
      <c r="A259" t="s">
        <v>263</v>
      </c>
      <c r="B259">
        <v>0.98018197421672304</v>
      </c>
      <c r="C259">
        <v>0.985653897547216</v>
      </c>
      <c r="D259">
        <v>0.74218647720654896</v>
      </c>
      <c r="E259">
        <v>0.61760693200669903</v>
      </c>
      <c r="F259">
        <v>0.49533069196353402</v>
      </c>
      <c r="G259">
        <v>0.39149326985872701</v>
      </c>
      <c r="H259">
        <v>6.05739437657484E-2</v>
      </c>
      <c r="I259">
        <v>4.2914009457697203E-2</v>
      </c>
      <c r="J259">
        <v>0.120945603185364</v>
      </c>
      <c r="K259">
        <v>0.211539483573153</v>
      </c>
      <c r="L259">
        <v>619.90098747949696</v>
      </c>
      <c r="M259">
        <v>11.9934777515771</v>
      </c>
      <c r="N259">
        <v>52.219615352067002</v>
      </c>
      <c r="O259">
        <v>50.3124671323787</v>
      </c>
      <c r="P259">
        <v>-5.61746263438812E-2</v>
      </c>
      <c r="Q259">
        <v>5.7620802239658299E-2</v>
      </c>
      <c r="R259">
        <v>0.94716106456177795</v>
      </c>
      <c r="S259" t="s">
        <v>3888</v>
      </c>
      <c r="T259" t="s">
        <v>7256</v>
      </c>
      <c r="U259" t="s">
        <v>7256</v>
      </c>
      <c r="V259" t="s">
        <v>7256</v>
      </c>
      <c r="W259">
        <v>1</v>
      </c>
      <c r="X259" t="s">
        <v>7515</v>
      </c>
      <c r="Y259">
        <v>0.45418798274399041</v>
      </c>
      <c r="Z259" t="str">
        <f>HYPERLINK("Melting_Curves/meltCurve_sp_O75896_TUSC2_HUMAN_.pdf", "Melting_Curves/meltCurve_sp_O75896_TUSC2_HUMAN_.pdf")</f>
        <v>Melting_Curves/meltCurve_sp_O75896_TUSC2_HUMAN_.pdf</v>
      </c>
      <c r="AA259" t="s">
        <v>11139</v>
      </c>
      <c r="AB259" t="s">
        <v>14685</v>
      </c>
    </row>
    <row r="260" spans="1:28" x14ac:dyDescent="0.25">
      <c r="A260" t="s">
        <v>264</v>
      </c>
      <c r="B260">
        <v>0.98018197421672304</v>
      </c>
      <c r="C260">
        <v>0.94037952549889103</v>
      </c>
      <c r="D260">
        <v>0.88340793110525095</v>
      </c>
      <c r="E260">
        <v>0.620155448418099</v>
      </c>
      <c r="F260">
        <v>0.37880455450468298</v>
      </c>
      <c r="G260">
        <v>0.20911398102305201</v>
      </c>
      <c r="H260">
        <v>0.136314370092704</v>
      </c>
      <c r="I260">
        <v>8.42372307798048E-2</v>
      </c>
      <c r="J260">
        <v>0.11342680363287699</v>
      </c>
      <c r="K260">
        <v>0.104191741355857</v>
      </c>
      <c r="L260">
        <v>896.70574027195903</v>
      </c>
      <c r="M260">
        <v>17.6332765481331</v>
      </c>
      <c r="N260">
        <v>51.412166051452701</v>
      </c>
      <c r="O260">
        <v>50.212552077231898</v>
      </c>
      <c r="P260">
        <v>-8.0137477500236295E-2</v>
      </c>
      <c r="Q260">
        <v>8.7250707795301793E-2</v>
      </c>
      <c r="R260">
        <v>0.99840219338548197</v>
      </c>
      <c r="S260" t="s">
        <v>3889</v>
      </c>
      <c r="T260" t="s">
        <v>7256</v>
      </c>
      <c r="U260" t="s">
        <v>7256</v>
      </c>
      <c r="V260" t="s">
        <v>7256</v>
      </c>
      <c r="W260">
        <v>6</v>
      </c>
      <c r="X260" t="s">
        <v>7516</v>
      </c>
      <c r="Y260">
        <v>0.43344475968129742</v>
      </c>
      <c r="Z260" t="str">
        <f>HYPERLINK("Melting_Curves/meltCurve_sp_O75934_SPF27_HUMAN_.pdf", "Melting_Curves/meltCurve_sp_O75934_SPF27_HUMAN_.pdf")</f>
        <v>Melting_Curves/meltCurve_sp_O75934_SPF27_HUMAN_.pdf</v>
      </c>
      <c r="AA260" t="s">
        <v>11140</v>
      </c>
      <c r="AB260" t="s">
        <v>14686</v>
      </c>
    </row>
    <row r="261" spans="1:28" x14ac:dyDescent="0.25">
      <c r="A261" t="s">
        <v>265</v>
      </c>
      <c r="B261">
        <v>0.98018197421672304</v>
      </c>
      <c r="C261">
        <v>0.99231986530067795</v>
      </c>
      <c r="D261">
        <v>0.92462363059838704</v>
      </c>
      <c r="E261">
        <v>0.503548548797627</v>
      </c>
      <c r="F261">
        <v>0.202920358135772</v>
      </c>
      <c r="G261">
        <v>0.101616430253388</v>
      </c>
      <c r="H261">
        <v>6.9936381072558701E-2</v>
      </c>
      <c r="I261">
        <v>5.3331333135311798E-2</v>
      </c>
      <c r="J261">
        <v>5.8190178410449399E-2</v>
      </c>
      <c r="K261">
        <v>2.1650764941439901E-2</v>
      </c>
      <c r="L261">
        <v>1383.8079119082699</v>
      </c>
      <c r="M261">
        <v>27.755322839285899</v>
      </c>
      <c r="N261">
        <v>50.057805369052801</v>
      </c>
      <c r="O261">
        <v>49.600735338542201</v>
      </c>
      <c r="P261">
        <v>-0.13253843186682299</v>
      </c>
      <c r="Q261">
        <v>5.2586152120785198E-2</v>
      </c>
      <c r="R261">
        <v>0.99872754377301398</v>
      </c>
      <c r="S261" t="s">
        <v>3890</v>
      </c>
      <c r="T261" t="s">
        <v>7256</v>
      </c>
      <c r="U261" t="s">
        <v>7256</v>
      </c>
      <c r="V261" t="s">
        <v>7256</v>
      </c>
      <c r="W261">
        <v>5</v>
      </c>
      <c r="X261" t="s">
        <v>7517</v>
      </c>
      <c r="Y261">
        <v>0.37073140197845239</v>
      </c>
      <c r="Z261" t="str">
        <f>HYPERLINK("Melting_Curves/meltCurve_sp_O75935_3_DCTN3_HUMAN_.pdf", "Melting_Curves/meltCurve_sp_O75935_3_DCTN3_HUMAN_.pdf")</f>
        <v>Melting_Curves/meltCurve_sp_O75935_3_DCTN3_HUMAN_.pdf</v>
      </c>
      <c r="AA261" t="s">
        <v>11141</v>
      </c>
      <c r="AB261" t="s">
        <v>14687</v>
      </c>
    </row>
    <row r="262" spans="1:28" x14ac:dyDescent="0.25">
      <c r="A262" t="s">
        <v>266</v>
      </c>
      <c r="B262">
        <v>0.98018197421672304</v>
      </c>
      <c r="C262">
        <v>0.91571619971427898</v>
      </c>
      <c r="D262">
        <v>0.68987350066970199</v>
      </c>
      <c r="E262">
        <v>0.26252730909142702</v>
      </c>
      <c r="F262">
        <v>0.15396196391006201</v>
      </c>
      <c r="G262">
        <v>8.45029542637461E-2</v>
      </c>
      <c r="H262">
        <v>5.6868984228610503E-2</v>
      </c>
      <c r="I262">
        <v>4.4205308900235399E-2</v>
      </c>
      <c r="J262">
        <v>5.4747897148618802E-2</v>
      </c>
      <c r="K262">
        <v>4.9335202396814999E-2</v>
      </c>
      <c r="L262">
        <v>1057.7297745283499</v>
      </c>
      <c r="M262">
        <v>22.308842582499999</v>
      </c>
      <c r="N262">
        <v>47.650259321300702</v>
      </c>
      <c r="O262">
        <v>47.0369742497234</v>
      </c>
      <c r="P262">
        <v>-0.112341077865448</v>
      </c>
      <c r="Q262">
        <v>5.2559709272623302E-2</v>
      </c>
      <c r="R262">
        <v>0.99924019769044103</v>
      </c>
      <c r="S262" t="s">
        <v>3891</v>
      </c>
      <c r="T262" t="s">
        <v>7256</v>
      </c>
      <c r="U262" t="s">
        <v>7256</v>
      </c>
      <c r="V262" t="s">
        <v>7256</v>
      </c>
      <c r="W262">
        <v>13</v>
      </c>
      <c r="X262" t="s">
        <v>7518</v>
      </c>
      <c r="Y262">
        <v>0.29744475889411459</v>
      </c>
      <c r="Z262" t="str">
        <f>HYPERLINK("Melting_Curves/meltCurve_sp_O75936_BODG_HUMAN_.pdf", "Melting_Curves/meltCurve_sp_O75936_BODG_HUMAN_.pdf")</f>
        <v>Melting_Curves/meltCurve_sp_O75936_BODG_HUMAN_.pdf</v>
      </c>
      <c r="AA262" t="s">
        <v>11142</v>
      </c>
      <c r="AB262" t="s">
        <v>14688</v>
      </c>
    </row>
    <row r="263" spans="1:28" x14ac:dyDescent="0.25">
      <c r="A263" t="s">
        <v>267</v>
      </c>
      <c r="B263">
        <v>0.98018197421672304</v>
      </c>
      <c r="C263">
        <v>0.99686092270378501</v>
      </c>
      <c r="D263">
        <v>0.91507128730050602</v>
      </c>
      <c r="E263">
        <v>0.79269874664934004</v>
      </c>
      <c r="F263">
        <v>0.74441427191668996</v>
      </c>
      <c r="G263">
        <v>0.55935370147527297</v>
      </c>
      <c r="H263">
        <v>0.42576904011328498</v>
      </c>
      <c r="I263">
        <v>0.47140005057302597</v>
      </c>
      <c r="J263">
        <v>0.50168015513059805</v>
      </c>
      <c r="K263">
        <v>0.65989131941345103</v>
      </c>
      <c r="L263">
        <v>967.65820876893497</v>
      </c>
      <c r="M263">
        <v>18.876823422384501</v>
      </c>
      <c r="O263">
        <v>50.696813066117201</v>
      </c>
      <c r="P263">
        <v>-4.5638999328435702E-2</v>
      </c>
      <c r="Q263">
        <v>0.50973590255894596</v>
      </c>
      <c r="R263">
        <v>0.89837431393640999</v>
      </c>
      <c r="S263" t="s">
        <v>3892</v>
      </c>
      <c r="T263" t="s">
        <v>7256</v>
      </c>
      <c r="U263" t="s">
        <v>7256</v>
      </c>
      <c r="V263" t="s">
        <v>7256</v>
      </c>
      <c r="W263">
        <v>11</v>
      </c>
      <c r="X263" t="s">
        <v>7519</v>
      </c>
      <c r="Y263">
        <v>0.70133725688227011</v>
      </c>
      <c r="Z263" t="str">
        <f>HYPERLINK("Melting_Curves/meltCurve_sp_O75937_DNJC8_HUMAN_.pdf", "Melting_Curves/meltCurve_sp_O75937_DNJC8_HUMAN_.pdf")</f>
        <v>Melting_Curves/meltCurve_sp_O75937_DNJC8_HUMAN_.pdf</v>
      </c>
      <c r="AA263" t="s">
        <v>11143</v>
      </c>
      <c r="AB263" t="s">
        <v>14689</v>
      </c>
    </row>
    <row r="264" spans="1:28" x14ac:dyDescent="0.25">
      <c r="A264" t="s">
        <v>268</v>
      </c>
      <c r="B264">
        <v>0.98018197421672304</v>
      </c>
      <c r="C264">
        <v>1.04703164308523</v>
      </c>
      <c r="D264">
        <v>0.88851545746400495</v>
      </c>
      <c r="E264">
        <v>0.807038877155694</v>
      </c>
      <c r="F264">
        <v>0.66726064893530201</v>
      </c>
      <c r="G264">
        <v>0.50027388387560201</v>
      </c>
      <c r="H264">
        <v>0.41614246813450401</v>
      </c>
      <c r="I264">
        <v>0.38200340416705802</v>
      </c>
      <c r="J264">
        <v>0.44265083543918299</v>
      </c>
      <c r="K264">
        <v>0.52915152621957695</v>
      </c>
      <c r="L264">
        <v>1006.53700102479</v>
      </c>
      <c r="M264">
        <v>19.527232435640901</v>
      </c>
      <c r="N264">
        <v>57.452900999156597</v>
      </c>
      <c r="O264">
        <v>51.013849632553097</v>
      </c>
      <c r="P264">
        <v>-5.4274420398725702E-2</v>
      </c>
      <c r="Q264">
        <v>0.432864208726641</v>
      </c>
      <c r="R264">
        <v>0.95870178773830095</v>
      </c>
      <c r="S264" t="s">
        <v>3893</v>
      </c>
      <c r="T264" t="s">
        <v>7256</v>
      </c>
      <c r="U264" t="s">
        <v>7256</v>
      </c>
      <c r="V264" t="s">
        <v>7256</v>
      </c>
      <c r="W264">
        <v>1</v>
      </c>
      <c r="X264" t="s">
        <v>7520</v>
      </c>
      <c r="Y264">
        <v>0.65933373128538864</v>
      </c>
      <c r="Z264" t="str">
        <f>HYPERLINK("Melting_Curves/meltCurve_sp_O75940_SPF30_HUMAN_.pdf", "Melting_Curves/meltCurve_sp_O75940_SPF30_HUMAN_.pdf")</f>
        <v>Melting_Curves/meltCurve_sp_O75940_SPF30_HUMAN_.pdf</v>
      </c>
      <c r="AA264" t="s">
        <v>11144</v>
      </c>
      <c r="AB264" t="s">
        <v>14690</v>
      </c>
    </row>
    <row r="265" spans="1:28" x14ac:dyDescent="0.25">
      <c r="A265" t="s">
        <v>269</v>
      </c>
      <c r="B265">
        <v>0.98018197421672304</v>
      </c>
      <c r="C265">
        <v>0.98878298508982998</v>
      </c>
      <c r="D265">
        <v>0.94267229500698302</v>
      </c>
      <c r="E265">
        <v>0.72190443001636195</v>
      </c>
      <c r="F265">
        <v>0.49943957615689799</v>
      </c>
      <c r="G265">
        <v>0.28725370350139401</v>
      </c>
      <c r="H265">
        <v>0.20150545438738099</v>
      </c>
      <c r="I265">
        <v>0.15016091930759001</v>
      </c>
      <c r="J265">
        <v>0.148178874649704</v>
      </c>
      <c r="K265">
        <v>0.121414904261265</v>
      </c>
      <c r="L265">
        <v>933.94674978876105</v>
      </c>
      <c r="M265">
        <v>17.889183633791198</v>
      </c>
      <c r="N265">
        <v>53.0628695722095</v>
      </c>
      <c r="O265">
        <v>51.568067957229701</v>
      </c>
      <c r="P265">
        <v>-7.5865157356146504E-2</v>
      </c>
      <c r="Q265">
        <v>0.12527651777780599</v>
      </c>
      <c r="R265">
        <v>0.99916630034299003</v>
      </c>
      <c r="S265" t="s">
        <v>3894</v>
      </c>
      <c r="T265" t="s">
        <v>7256</v>
      </c>
      <c r="U265" t="s">
        <v>7256</v>
      </c>
      <c r="V265" t="s">
        <v>7256</v>
      </c>
      <c r="W265">
        <v>23</v>
      </c>
      <c r="X265" t="s">
        <v>7521</v>
      </c>
      <c r="Y265">
        <v>0.49587643137397358</v>
      </c>
      <c r="Z265" t="str">
        <f>HYPERLINK("Melting_Curves/meltCurve_sp_O75970_3_MPDZ_HUMAN_.pdf", "Melting_Curves/meltCurve_sp_O75970_3_MPDZ_HUMAN_.pdf")</f>
        <v>Melting_Curves/meltCurve_sp_O75970_3_MPDZ_HUMAN_.pdf</v>
      </c>
      <c r="AA265" t="s">
        <v>11145</v>
      </c>
      <c r="AB265" t="s">
        <v>14691</v>
      </c>
    </row>
    <row r="266" spans="1:28" x14ac:dyDescent="0.25">
      <c r="A266" t="s">
        <v>270</v>
      </c>
      <c r="B266">
        <v>0.98018197421672304</v>
      </c>
      <c r="C266">
        <v>1.0316195959374099</v>
      </c>
      <c r="D266">
        <v>1.02571645821201</v>
      </c>
      <c r="E266">
        <v>0.81475164348765305</v>
      </c>
      <c r="F266">
        <v>0.73377517021455796</v>
      </c>
      <c r="G266">
        <v>0.47124956861823197</v>
      </c>
      <c r="H266">
        <v>0.41983834743699699</v>
      </c>
      <c r="I266">
        <v>0.32367480264826498</v>
      </c>
      <c r="J266">
        <v>0.43760494823642299</v>
      </c>
      <c r="K266">
        <v>0.37107080084430599</v>
      </c>
      <c r="L266">
        <v>1137.398025581</v>
      </c>
      <c r="M266">
        <v>21.412869220246801</v>
      </c>
      <c r="N266">
        <v>56.704280112622698</v>
      </c>
      <c r="O266">
        <v>52.660730937145601</v>
      </c>
      <c r="P266">
        <v>-6.3946959897130604E-2</v>
      </c>
      <c r="Q266">
        <v>0.37095583664595599</v>
      </c>
      <c r="R266">
        <v>0.977749421713072</v>
      </c>
      <c r="S266" t="s">
        <v>3895</v>
      </c>
      <c r="T266" t="s">
        <v>7256</v>
      </c>
      <c r="U266" t="s">
        <v>7256</v>
      </c>
      <c r="V266" t="s">
        <v>7256</v>
      </c>
      <c r="W266">
        <v>2</v>
      </c>
      <c r="X266" t="s">
        <v>7522</v>
      </c>
      <c r="Y266">
        <v>0.65368669711557059</v>
      </c>
      <c r="Z266" t="str">
        <f>HYPERLINK("Melting_Curves/meltCurve_sp_O75976_CBPD_HUMAN_.pdf", "Melting_Curves/meltCurve_sp_O75976_CBPD_HUMAN_.pdf")</f>
        <v>Melting_Curves/meltCurve_sp_O75976_CBPD_HUMAN_.pdf</v>
      </c>
      <c r="AA266" t="s">
        <v>11146</v>
      </c>
      <c r="AB266" t="s">
        <v>14692</v>
      </c>
    </row>
    <row r="267" spans="1:28" x14ac:dyDescent="0.25">
      <c r="A267" t="s">
        <v>271</v>
      </c>
      <c r="B267">
        <v>0.98018197421672304</v>
      </c>
      <c r="C267">
        <v>1.00622824800558</v>
      </c>
      <c r="D267">
        <v>0.858379605170561</v>
      </c>
      <c r="E267">
        <v>0.70575299555147297</v>
      </c>
      <c r="F267">
        <v>0.563218972209243</v>
      </c>
      <c r="G267">
        <v>0.25780678601208801</v>
      </c>
      <c r="H267">
        <v>0.10915477301901599</v>
      </c>
      <c r="I267">
        <v>8.0790509585056305E-2</v>
      </c>
      <c r="J267">
        <v>9.8572578181495896E-2</v>
      </c>
      <c r="K267">
        <v>4.8681995149513303E-2</v>
      </c>
      <c r="L267">
        <v>784.54919310213802</v>
      </c>
      <c r="M267">
        <v>14.789159423383801</v>
      </c>
      <c r="N267">
        <v>53.190468067818102</v>
      </c>
      <c r="O267">
        <v>52.107333834945599</v>
      </c>
      <c r="P267">
        <v>-6.9593858730788202E-2</v>
      </c>
      <c r="Q267">
        <v>1.9291599944596501E-2</v>
      </c>
      <c r="R267">
        <v>0.993226045441855</v>
      </c>
      <c r="S267" t="s">
        <v>3896</v>
      </c>
      <c r="T267" t="s">
        <v>7256</v>
      </c>
      <c r="U267" t="s">
        <v>7256</v>
      </c>
      <c r="V267" t="s">
        <v>7256</v>
      </c>
      <c r="W267">
        <v>6</v>
      </c>
      <c r="X267" t="s">
        <v>7523</v>
      </c>
      <c r="Y267">
        <v>0.46733914257338172</v>
      </c>
      <c r="Z267" t="str">
        <f>HYPERLINK("Melting_Curves/meltCurve_sp_O76003_GLRX3_HUMAN_.pdf", "Melting_Curves/meltCurve_sp_O76003_GLRX3_HUMAN_.pdf")</f>
        <v>Melting_Curves/meltCurve_sp_O76003_GLRX3_HUMAN_.pdf</v>
      </c>
      <c r="AA267" t="s">
        <v>11147</v>
      </c>
      <c r="AB267" t="s">
        <v>14693</v>
      </c>
    </row>
    <row r="268" spans="1:28" x14ac:dyDescent="0.25">
      <c r="A268" t="s">
        <v>272</v>
      </c>
      <c r="B268">
        <v>0.98018197421672304</v>
      </c>
      <c r="C268">
        <v>1.14063864587222</v>
      </c>
      <c r="D268">
        <v>0.97069401182111303</v>
      </c>
      <c r="E268">
        <v>0.97289504934378901</v>
      </c>
      <c r="F268">
        <v>0.83112018866275095</v>
      </c>
      <c r="G268">
        <v>0.85986200054352901</v>
      </c>
      <c r="H268">
        <v>0.653169999481927</v>
      </c>
      <c r="I268">
        <v>0.554438238098098</v>
      </c>
      <c r="J268">
        <v>1.04180731847699</v>
      </c>
      <c r="K268">
        <v>0.97316376318489095</v>
      </c>
      <c r="L268">
        <v>3615.0624184281</v>
      </c>
      <c r="M268">
        <v>70.566982192654393</v>
      </c>
      <c r="O268">
        <v>51.187719374880501</v>
      </c>
      <c r="P268">
        <v>-6.3320174796881207E-2</v>
      </c>
      <c r="Q268">
        <v>0.81627587500899201</v>
      </c>
      <c r="R268">
        <v>0.32500725038136002</v>
      </c>
      <c r="S268" t="s">
        <v>3897</v>
      </c>
      <c r="T268" t="s">
        <v>7256</v>
      </c>
      <c r="U268" t="s">
        <v>7256</v>
      </c>
      <c r="V268" t="s">
        <v>7256</v>
      </c>
      <c r="W268">
        <v>1</v>
      </c>
      <c r="X268" t="s">
        <v>7524</v>
      </c>
      <c r="Y268">
        <v>0.88525049016561208</v>
      </c>
      <c r="Z268" t="str">
        <f>HYPERLINK("Melting_Curves/meltCurve_sp_O76024_WFS1_HUMAN_.pdf", "Melting_Curves/meltCurve_sp_O76024_WFS1_HUMAN_.pdf")</f>
        <v>Melting_Curves/meltCurve_sp_O76024_WFS1_HUMAN_.pdf</v>
      </c>
      <c r="AA268" t="s">
        <v>11148</v>
      </c>
      <c r="AB268" t="s">
        <v>14694</v>
      </c>
    </row>
    <row r="269" spans="1:28" x14ac:dyDescent="0.25">
      <c r="A269" t="s">
        <v>273</v>
      </c>
      <c r="B269">
        <v>0.98018197421672304</v>
      </c>
      <c r="C269">
        <v>0.78962304029582697</v>
      </c>
      <c r="D269">
        <v>0.50517704141689801</v>
      </c>
      <c r="E269">
        <v>0.28618436487751198</v>
      </c>
      <c r="F269">
        <v>0.16493554942522301</v>
      </c>
      <c r="G269">
        <v>0.105790089650501</v>
      </c>
      <c r="H269">
        <v>7.8608619415137401E-2</v>
      </c>
      <c r="I269">
        <v>6.3499370256306101E-2</v>
      </c>
      <c r="J269">
        <v>0.102417673463361</v>
      </c>
      <c r="K269">
        <v>5.5605454559763901E-2</v>
      </c>
      <c r="L269">
        <v>795.55858897662995</v>
      </c>
      <c r="M269">
        <v>17.301451659958399</v>
      </c>
      <c r="N269">
        <v>46.404957697916203</v>
      </c>
      <c r="O269">
        <v>45.3810828452404</v>
      </c>
      <c r="P269">
        <v>-8.8367474828162706E-2</v>
      </c>
      <c r="Q269">
        <v>7.2914684075791894E-2</v>
      </c>
      <c r="R269">
        <v>0.99487570087341903</v>
      </c>
      <c r="S269" t="s">
        <v>3898</v>
      </c>
      <c r="T269" t="s">
        <v>7256</v>
      </c>
      <c r="U269" t="s">
        <v>7256</v>
      </c>
      <c r="V269" t="s">
        <v>7256</v>
      </c>
      <c r="W269">
        <v>7</v>
      </c>
      <c r="X269" t="s">
        <v>7525</v>
      </c>
      <c r="Y269">
        <v>0.27768988456202209</v>
      </c>
      <c r="Z269" t="str">
        <f>HYPERLINK("Melting_Curves/meltCurve_sp_O76031_CLPX_HUMAN_.pdf", "Melting_Curves/meltCurve_sp_O76031_CLPX_HUMAN_.pdf")</f>
        <v>Melting_Curves/meltCurve_sp_O76031_CLPX_HUMAN_.pdf</v>
      </c>
      <c r="AA269" t="s">
        <v>11149</v>
      </c>
      <c r="AB269" t="s">
        <v>14695</v>
      </c>
    </row>
    <row r="270" spans="1:28" x14ac:dyDescent="0.25">
      <c r="A270" t="s">
        <v>274</v>
      </c>
      <c r="B270">
        <v>0.98018197421672304</v>
      </c>
      <c r="C270">
        <v>1.01237466005152</v>
      </c>
      <c r="D270">
        <v>0.96344123472356102</v>
      </c>
      <c r="E270">
        <v>0.80625793245530697</v>
      </c>
      <c r="F270">
        <v>0.57731360529661502</v>
      </c>
      <c r="G270">
        <v>0.16766583480950401</v>
      </c>
      <c r="H270">
        <v>8.6403879634845193E-2</v>
      </c>
      <c r="I270">
        <v>7.3410412578981094E-2</v>
      </c>
      <c r="J270">
        <v>6.6830459373284204E-2</v>
      </c>
      <c r="K270">
        <v>5.4647980202395301E-2</v>
      </c>
      <c r="L270">
        <v>1315.40787388073</v>
      </c>
      <c r="M270">
        <v>24.7498708942896</v>
      </c>
      <c r="N270">
        <v>53.3811548313749</v>
      </c>
      <c r="O270">
        <v>52.804745460466599</v>
      </c>
      <c r="P270">
        <v>-0.11117650723562</v>
      </c>
      <c r="Q270">
        <v>5.1216912978823602E-2</v>
      </c>
      <c r="R270">
        <v>0.99742518934598501</v>
      </c>
      <c r="S270" t="s">
        <v>3899</v>
      </c>
      <c r="T270" t="s">
        <v>7256</v>
      </c>
      <c r="U270" t="s">
        <v>7256</v>
      </c>
      <c r="V270" t="s">
        <v>7256</v>
      </c>
      <c r="W270">
        <v>18</v>
      </c>
      <c r="X270" t="s">
        <v>7526</v>
      </c>
      <c r="Y270">
        <v>0.47594923321415872</v>
      </c>
      <c r="Z270" t="str">
        <f>HYPERLINK("Melting_Curves/meltCurve_sp_O76054_S14L2_HUMAN_.pdf", "Melting_Curves/meltCurve_sp_O76054_S14L2_HUMAN_.pdf")</f>
        <v>Melting_Curves/meltCurve_sp_O76054_S14L2_HUMAN_.pdf</v>
      </c>
      <c r="AA270" t="s">
        <v>11150</v>
      </c>
      <c r="AB270" t="s">
        <v>14696</v>
      </c>
    </row>
    <row r="271" spans="1:28" x14ac:dyDescent="0.25">
      <c r="A271" t="s">
        <v>275</v>
      </c>
      <c r="B271">
        <v>0.98018197421672304</v>
      </c>
      <c r="C271">
        <v>1.0245582615225399</v>
      </c>
      <c r="D271">
        <v>0.96853038920271195</v>
      </c>
      <c r="E271">
        <v>0.72769028606223196</v>
      </c>
      <c r="F271">
        <v>0.58964861862959805</v>
      </c>
      <c r="G271">
        <v>0.41476338430349802</v>
      </c>
      <c r="H271">
        <v>0.23468432678894099</v>
      </c>
      <c r="I271">
        <v>0.14169925212436499</v>
      </c>
      <c r="J271">
        <v>0.101966075766335</v>
      </c>
      <c r="K271">
        <v>6.3654036926028196E-2</v>
      </c>
      <c r="L271">
        <v>692.31407102652599</v>
      </c>
      <c r="M271">
        <v>12.6426321505625</v>
      </c>
      <c r="N271">
        <v>54.868157102568503</v>
      </c>
      <c r="O271">
        <v>53.4444182448443</v>
      </c>
      <c r="P271">
        <v>-5.8424714223299597E-2</v>
      </c>
      <c r="Q271">
        <v>1.22752928470083E-2</v>
      </c>
      <c r="R271">
        <v>0.99335737987356398</v>
      </c>
      <c r="S271" t="s">
        <v>3900</v>
      </c>
      <c r="T271" t="s">
        <v>7256</v>
      </c>
      <c r="U271" t="s">
        <v>7256</v>
      </c>
      <c r="V271" t="s">
        <v>7256</v>
      </c>
      <c r="W271">
        <v>4</v>
      </c>
      <c r="X271" t="s">
        <v>7527</v>
      </c>
      <c r="Y271">
        <v>0.52110767573090089</v>
      </c>
      <c r="Z271" t="str">
        <f>HYPERLINK("Melting_Curves/meltCurve_sp_O76071_CIAO1_HUMAN_.pdf", "Melting_Curves/meltCurve_sp_O76071_CIAO1_HUMAN_.pdf")</f>
        <v>Melting_Curves/meltCurve_sp_O76071_CIAO1_HUMAN_.pdf</v>
      </c>
      <c r="AA271" t="s">
        <v>11151</v>
      </c>
      <c r="AB271" t="s">
        <v>14697</v>
      </c>
    </row>
    <row r="272" spans="1:28" x14ac:dyDescent="0.25">
      <c r="A272" t="s">
        <v>276</v>
      </c>
      <c r="B272">
        <v>0.98018197421672304</v>
      </c>
      <c r="C272">
        <v>0.97219980480586099</v>
      </c>
      <c r="D272">
        <v>0.81095296646575299</v>
      </c>
      <c r="E272">
        <v>0.35753949032232402</v>
      </c>
      <c r="F272">
        <v>0.213123310006057</v>
      </c>
      <c r="G272">
        <v>0.134775847029839</v>
      </c>
      <c r="H272">
        <v>9.9845535323491802E-2</v>
      </c>
      <c r="I272">
        <v>8.6353881932129201E-2</v>
      </c>
      <c r="J272">
        <v>9.8121839127951402E-2</v>
      </c>
      <c r="K272">
        <v>8.6260719148038498E-2</v>
      </c>
      <c r="L272">
        <v>1195.5215866378101</v>
      </c>
      <c r="M272">
        <v>24.712375995487001</v>
      </c>
      <c r="N272">
        <v>48.8025685276519</v>
      </c>
      <c r="O272">
        <v>48.063995430414103</v>
      </c>
      <c r="P272">
        <v>-0.116092966661547</v>
      </c>
      <c r="Q272">
        <v>9.6839047670204195E-2</v>
      </c>
      <c r="R272">
        <v>0.99863042498689203</v>
      </c>
      <c r="S272" t="s">
        <v>3901</v>
      </c>
      <c r="T272" t="s">
        <v>7256</v>
      </c>
      <c r="U272" t="s">
        <v>7256</v>
      </c>
      <c r="V272" t="s">
        <v>7256</v>
      </c>
      <c r="W272">
        <v>8</v>
      </c>
      <c r="X272" t="s">
        <v>7528</v>
      </c>
      <c r="Y272">
        <v>0.35722332383966421</v>
      </c>
      <c r="Z272" t="str">
        <f>HYPERLINK("Melting_Curves/meltCurve_sp_O76094_SRP72_HUMAN_.pdf", "Melting_Curves/meltCurve_sp_O76094_SRP72_HUMAN_.pdf")</f>
        <v>Melting_Curves/meltCurve_sp_O76094_SRP72_HUMAN_.pdf</v>
      </c>
      <c r="AA272" t="s">
        <v>11152</v>
      </c>
      <c r="AB272" t="s">
        <v>14698</v>
      </c>
    </row>
    <row r="273" spans="1:28" x14ac:dyDescent="0.25">
      <c r="A273" t="s">
        <v>277</v>
      </c>
      <c r="B273">
        <v>0.98018197421672304</v>
      </c>
      <c r="C273">
        <v>0.97745835442809403</v>
      </c>
      <c r="D273">
        <v>0.94587887588640895</v>
      </c>
      <c r="E273">
        <v>0.83281566726420997</v>
      </c>
      <c r="F273">
        <v>0.85145513370402304</v>
      </c>
      <c r="G273">
        <v>0.67572157297426605</v>
      </c>
      <c r="H273">
        <v>0.31395137047388599</v>
      </c>
      <c r="I273">
        <v>0.195529417693423</v>
      </c>
      <c r="J273">
        <v>0.13065696946425701</v>
      </c>
      <c r="K273">
        <v>0.127905089528697</v>
      </c>
      <c r="L273">
        <v>890.10634347182304</v>
      </c>
      <c r="M273">
        <v>15.2230097476272</v>
      </c>
      <c r="N273">
        <v>58.598412210946101</v>
      </c>
      <c r="O273">
        <v>57.489967038701401</v>
      </c>
      <c r="P273">
        <v>-6.5128068682511697E-2</v>
      </c>
      <c r="Q273">
        <v>1.6264588826653499E-2</v>
      </c>
      <c r="R273">
        <v>0.98221936197065995</v>
      </c>
      <c r="S273" t="s">
        <v>3902</v>
      </c>
      <c r="T273" t="s">
        <v>7256</v>
      </c>
      <c r="U273" t="s">
        <v>7256</v>
      </c>
      <c r="V273" t="s">
        <v>7256</v>
      </c>
      <c r="W273">
        <v>20</v>
      </c>
      <c r="X273" t="s">
        <v>7529</v>
      </c>
      <c r="Y273">
        <v>0.6338846965673447</v>
      </c>
      <c r="Z273" t="str">
        <f>HYPERLINK("Melting_Curves/meltCurve_sp_O94760_DDAH1_HUMAN_.pdf", "Melting_Curves/meltCurve_sp_O94760_DDAH1_HUMAN_.pdf")</f>
        <v>Melting_Curves/meltCurve_sp_O94760_DDAH1_HUMAN_.pdf</v>
      </c>
      <c r="AA273" t="s">
        <v>11153</v>
      </c>
      <c r="AB273" t="s">
        <v>14699</v>
      </c>
    </row>
    <row r="274" spans="1:28" x14ac:dyDescent="0.25">
      <c r="A274" t="s">
        <v>278</v>
      </c>
      <c r="B274">
        <v>0.98018197421672304</v>
      </c>
      <c r="C274">
        <v>1.0877511439754699</v>
      </c>
      <c r="D274">
        <v>0.72702995149403404</v>
      </c>
      <c r="E274">
        <v>0.58500499211638002</v>
      </c>
      <c r="F274">
        <v>0.49479570318661598</v>
      </c>
      <c r="G274">
        <v>0.45841426359010201</v>
      </c>
      <c r="H274">
        <v>0.36117106830858198</v>
      </c>
      <c r="I274">
        <v>0.237914305746457</v>
      </c>
      <c r="J274">
        <v>0.46985944877482</v>
      </c>
      <c r="K274">
        <v>0.33141553879553098</v>
      </c>
      <c r="L274">
        <v>881.75394865506803</v>
      </c>
      <c r="M274">
        <v>18.258867766398801</v>
      </c>
      <c r="N274">
        <v>51.930304814130302</v>
      </c>
      <c r="O274">
        <v>47.723735655742502</v>
      </c>
      <c r="P274">
        <v>-6.11334680678082E-2</v>
      </c>
      <c r="Q274">
        <v>0.36088448851766902</v>
      </c>
      <c r="R274">
        <v>0.90989061258332704</v>
      </c>
      <c r="S274" t="s">
        <v>3903</v>
      </c>
      <c r="T274" t="s">
        <v>7256</v>
      </c>
      <c r="U274" t="s">
        <v>7256</v>
      </c>
      <c r="V274" t="s">
        <v>7256</v>
      </c>
      <c r="W274">
        <v>4</v>
      </c>
      <c r="X274" t="s">
        <v>7530</v>
      </c>
      <c r="Y274">
        <v>0.54845190701876467</v>
      </c>
      <c r="Z274" t="str">
        <f>HYPERLINK("Melting_Curves/meltCurve_sp_O94776_MTA2_HUMAN_.pdf", "Melting_Curves/meltCurve_sp_O94776_MTA2_HUMAN_.pdf")</f>
        <v>Melting_Curves/meltCurve_sp_O94776_MTA2_HUMAN_.pdf</v>
      </c>
      <c r="AA274" t="s">
        <v>11154</v>
      </c>
      <c r="AB274" t="s">
        <v>14700</v>
      </c>
    </row>
    <row r="275" spans="1:28" x14ac:dyDescent="0.25">
      <c r="A275" t="s">
        <v>279</v>
      </c>
      <c r="B275">
        <v>0.98018197421672304</v>
      </c>
      <c r="C275">
        <v>1.02259045506144</v>
      </c>
      <c r="D275">
        <v>0.71104871957509497</v>
      </c>
      <c r="E275">
        <v>0.37302989749073301</v>
      </c>
      <c r="F275">
        <v>0.108382917084118</v>
      </c>
      <c r="G275">
        <v>2.7964989745475101E-2</v>
      </c>
      <c r="H275">
        <v>1.8181398822353301E-2</v>
      </c>
      <c r="I275">
        <v>6.7619550199180603E-3</v>
      </c>
      <c r="J275">
        <v>7.8792861678153806E-3</v>
      </c>
      <c r="K275">
        <v>6.7293776843505701E-3</v>
      </c>
      <c r="L275">
        <v>1067.88255533295</v>
      </c>
      <c r="M275">
        <v>22.048429945930099</v>
      </c>
      <c r="N275">
        <v>48.442882675950003</v>
      </c>
      <c r="O275">
        <v>48.040363549889797</v>
      </c>
      <c r="P275">
        <v>-0.11449688346808699</v>
      </c>
      <c r="Q275">
        <v>2.13314300627079E-3</v>
      </c>
      <c r="R275">
        <v>0.99316711105258904</v>
      </c>
      <c r="S275" t="s">
        <v>3904</v>
      </c>
      <c r="T275" t="s">
        <v>7256</v>
      </c>
      <c r="U275" t="s">
        <v>7256</v>
      </c>
      <c r="V275" t="s">
        <v>7256</v>
      </c>
      <c r="W275">
        <v>3</v>
      </c>
      <c r="X275" t="s">
        <v>7531</v>
      </c>
      <c r="Y275">
        <v>0.29412806464367308</v>
      </c>
      <c r="Z275" t="str">
        <f>HYPERLINK("Melting_Curves/meltCurve_sp_O94788_4_AL1A2_HUMAN_.pdf", "Melting_Curves/meltCurve_sp_O94788_4_AL1A2_HUMAN_.pdf")</f>
        <v>Melting_Curves/meltCurve_sp_O94788_4_AL1A2_HUMAN_.pdf</v>
      </c>
      <c r="AA275" t="s">
        <v>11155</v>
      </c>
      <c r="AB275" t="s">
        <v>14701</v>
      </c>
    </row>
    <row r="276" spans="1:28" x14ac:dyDescent="0.25">
      <c r="A276" t="s">
        <v>280</v>
      </c>
      <c r="B276">
        <v>0.98018197421672304</v>
      </c>
      <c r="C276">
        <v>0.613600734647333</v>
      </c>
      <c r="D276">
        <v>0.70834852471673704</v>
      </c>
      <c r="E276">
        <v>0.79757670394985702</v>
      </c>
      <c r="F276">
        <v>0.75659716486516104</v>
      </c>
      <c r="G276">
        <v>0.54964888464956196</v>
      </c>
      <c r="H276">
        <v>0.27381760401753802</v>
      </c>
      <c r="I276">
        <v>0.19236531056320899</v>
      </c>
      <c r="J276">
        <v>0.10098878907985499</v>
      </c>
      <c r="K276">
        <v>4.8157014754620101E-2</v>
      </c>
      <c r="L276">
        <v>464.61104698163302</v>
      </c>
      <c r="M276">
        <v>8.3914374607088202</v>
      </c>
      <c r="N276">
        <v>55.367277545429502</v>
      </c>
      <c r="O276">
        <v>52.490824708141602</v>
      </c>
      <c r="P276">
        <v>-4.00040217952701E-2</v>
      </c>
      <c r="Q276">
        <v>0</v>
      </c>
      <c r="R276">
        <v>0.80949988887027602</v>
      </c>
      <c r="S276" t="s">
        <v>3905</v>
      </c>
      <c r="T276" t="s">
        <v>7256</v>
      </c>
      <c r="U276" t="s">
        <v>7256</v>
      </c>
      <c r="V276" t="s">
        <v>7256</v>
      </c>
      <c r="W276">
        <v>2</v>
      </c>
      <c r="X276" t="s">
        <v>7532</v>
      </c>
      <c r="Y276">
        <v>0.53686221295200964</v>
      </c>
      <c r="Z276" t="str">
        <f>HYPERLINK("Melting_Curves/meltCurve_sp_O94804_STK10_HUMAN_.pdf", "Melting_Curves/meltCurve_sp_O94804_STK10_HUMAN_.pdf")</f>
        <v>Melting_Curves/meltCurve_sp_O94804_STK10_HUMAN_.pdf</v>
      </c>
      <c r="AA276" t="s">
        <v>11156</v>
      </c>
      <c r="AB276" t="s">
        <v>14702</v>
      </c>
    </row>
    <row r="277" spans="1:28" x14ac:dyDescent="0.25">
      <c r="A277" t="s">
        <v>281</v>
      </c>
      <c r="B277">
        <v>0.98018197421672304</v>
      </c>
      <c r="C277">
        <v>0.24494938213564299</v>
      </c>
      <c r="D277">
        <v>0.80428063398429595</v>
      </c>
      <c r="E277">
        <v>0.70627960510976096</v>
      </c>
      <c r="F277">
        <v>0.62281482972655799</v>
      </c>
      <c r="G277">
        <v>0.391676977890904</v>
      </c>
      <c r="H277">
        <v>0.31966708117539799</v>
      </c>
      <c r="I277">
        <v>0.32716467075442601</v>
      </c>
      <c r="J277">
        <v>0.40014013285710398</v>
      </c>
      <c r="K277">
        <v>0.418173034415456</v>
      </c>
      <c r="L277">
        <v>187.97764294451</v>
      </c>
      <c r="M277">
        <v>3.6786867609302001</v>
      </c>
      <c r="N277">
        <v>54.670861942685598</v>
      </c>
      <c r="O277">
        <v>40.791010922527697</v>
      </c>
      <c r="P277">
        <v>-2.0474997345931001E-2</v>
      </c>
      <c r="Q277">
        <v>0.106817891718216</v>
      </c>
      <c r="R277">
        <v>0.36253646982201299</v>
      </c>
      <c r="S277" t="s">
        <v>3906</v>
      </c>
      <c r="T277" t="s">
        <v>7256</v>
      </c>
      <c r="U277" t="s">
        <v>7256</v>
      </c>
      <c r="V277" t="s">
        <v>7256</v>
      </c>
      <c r="W277">
        <v>3</v>
      </c>
      <c r="X277" t="s">
        <v>7533</v>
      </c>
      <c r="Y277">
        <v>0.51671167406776386</v>
      </c>
      <c r="Z277" t="str">
        <f>HYPERLINK("Melting_Curves/meltCurve_sp_O94811_TPPP_HUMAN_.pdf", "Melting_Curves/meltCurve_sp_O94811_TPPP_HUMAN_.pdf")</f>
        <v>Melting_Curves/meltCurve_sp_O94811_TPPP_HUMAN_.pdf</v>
      </c>
      <c r="AA277" t="s">
        <v>11157</v>
      </c>
      <c r="AB277" t="s">
        <v>14703</v>
      </c>
    </row>
    <row r="278" spans="1:28" x14ac:dyDescent="0.25">
      <c r="A278" t="s">
        <v>282</v>
      </c>
      <c r="B278">
        <v>0.98018197421672304</v>
      </c>
      <c r="C278">
        <v>0.99845525356618203</v>
      </c>
      <c r="D278">
        <v>0.91934374619423098</v>
      </c>
      <c r="E278">
        <v>0.73190334239494703</v>
      </c>
      <c r="F278">
        <v>0.56036571391745305</v>
      </c>
      <c r="G278">
        <v>0.292624585774659</v>
      </c>
      <c r="H278">
        <v>0.193960861016961</v>
      </c>
      <c r="I278">
        <v>0.16070340802712199</v>
      </c>
      <c r="J278">
        <v>0.17386400497318799</v>
      </c>
      <c r="K278">
        <v>0.182667424427818</v>
      </c>
      <c r="L278">
        <v>946.79958386237297</v>
      </c>
      <c r="M278">
        <v>18.077154286166898</v>
      </c>
      <c r="N278">
        <v>53.418049072133599</v>
      </c>
      <c r="O278">
        <v>51.747152992758302</v>
      </c>
      <c r="P278">
        <v>-7.4355662499802494E-2</v>
      </c>
      <c r="Q278">
        <v>0.14864759132015701</v>
      </c>
      <c r="R278">
        <v>0.99700637870183695</v>
      </c>
      <c r="S278" t="s">
        <v>3907</v>
      </c>
      <c r="T278" t="s">
        <v>7256</v>
      </c>
      <c r="U278" t="s">
        <v>7256</v>
      </c>
      <c r="V278" t="s">
        <v>7256</v>
      </c>
      <c r="W278">
        <v>9</v>
      </c>
      <c r="X278" t="s">
        <v>7534</v>
      </c>
      <c r="Y278">
        <v>0.51383377048436285</v>
      </c>
      <c r="Z278" t="str">
        <f>HYPERLINK("Melting_Curves/meltCurve_sp_O94819_KBTBB_HUMAN_.pdf", "Melting_Curves/meltCurve_sp_O94819_KBTBB_HUMAN_.pdf")</f>
        <v>Melting_Curves/meltCurve_sp_O94819_KBTBB_HUMAN_.pdf</v>
      </c>
      <c r="AA278" t="s">
        <v>11158</v>
      </c>
      <c r="AB278" t="s">
        <v>14704</v>
      </c>
    </row>
    <row r="279" spans="1:28" x14ac:dyDescent="0.25">
      <c r="A279" t="s">
        <v>283</v>
      </c>
      <c r="B279">
        <v>0.98018197421672304</v>
      </c>
      <c r="C279">
        <v>0.97131313082477</v>
      </c>
      <c r="D279">
        <v>0.883356567635182</v>
      </c>
      <c r="E279">
        <v>0.76146678899932896</v>
      </c>
      <c r="F279">
        <v>0.21828725081287201</v>
      </c>
      <c r="G279">
        <v>0.11435762252852499</v>
      </c>
      <c r="H279">
        <v>5.9958800376809097E-2</v>
      </c>
      <c r="I279">
        <v>4.8063552792096002E-2</v>
      </c>
      <c r="J279">
        <v>2.9122208885814599E-2</v>
      </c>
      <c r="K279">
        <v>1.9900308207567899E-2</v>
      </c>
      <c r="L279">
        <v>2105.9860485357899</v>
      </c>
      <c r="M279">
        <v>41.1218117269175</v>
      </c>
      <c r="N279">
        <v>51.340460813726501</v>
      </c>
      <c r="O279">
        <v>51.092698018400597</v>
      </c>
      <c r="P279">
        <v>-0.19147408739448701</v>
      </c>
      <c r="Q279">
        <v>4.8397177286288798E-2</v>
      </c>
      <c r="R279">
        <v>0.98948413057847895</v>
      </c>
      <c r="S279" t="s">
        <v>3908</v>
      </c>
      <c r="T279" t="s">
        <v>7256</v>
      </c>
      <c r="U279" t="s">
        <v>7256</v>
      </c>
      <c r="V279" t="s">
        <v>7256</v>
      </c>
      <c r="W279">
        <v>6</v>
      </c>
      <c r="X279" t="s">
        <v>7535</v>
      </c>
      <c r="Y279">
        <v>0.40727167574495998</v>
      </c>
      <c r="Z279" t="str">
        <f>HYPERLINK("Melting_Curves/meltCurve_sp_O94826_TOM70_HUMAN_.pdf", "Melting_Curves/meltCurve_sp_O94826_TOM70_HUMAN_.pdf")</f>
        <v>Melting_Curves/meltCurve_sp_O94826_TOM70_HUMAN_.pdf</v>
      </c>
      <c r="AA279" t="s">
        <v>11159</v>
      </c>
      <c r="AB279" t="s">
        <v>14705</v>
      </c>
    </row>
    <row r="280" spans="1:28" x14ac:dyDescent="0.25">
      <c r="A280" t="s">
        <v>284</v>
      </c>
      <c r="B280">
        <v>0.98018197421672304</v>
      </c>
      <c r="C280">
        <v>0.74930998814521699</v>
      </c>
      <c r="D280">
        <v>0.74638828533247903</v>
      </c>
      <c r="E280">
        <v>0.47913362946808102</v>
      </c>
      <c r="F280">
        <v>0.2599372554696</v>
      </c>
      <c r="G280">
        <v>0.25518700406165501</v>
      </c>
      <c r="H280">
        <v>7.38063874101582E-2</v>
      </c>
      <c r="I280">
        <v>6.8570519269374602E-2</v>
      </c>
      <c r="J280">
        <v>0</v>
      </c>
      <c r="K280">
        <v>7.7703959757576102E-2</v>
      </c>
      <c r="L280">
        <v>548.43775268135096</v>
      </c>
      <c r="M280">
        <v>11.11297713279</v>
      </c>
      <c r="N280">
        <v>49.351122996338297</v>
      </c>
      <c r="O280">
        <v>47.833925911643398</v>
      </c>
      <c r="P280">
        <v>-5.8099882528546601E-2</v>
      </c>
      <c r="Q280">
        <v>0</v>
      </c>
      <c r="R280">
        <v>0.974446402048603</v>
      </c>
      <c r="S280" t="s">
        <v>3909</v>
      </c>
      <c r="T280" t="s">
        <v>7256</v>
      </c>
      <c r="U280" t="s">
        <v>7256</v>
      </c>
      <c r="V280" t="s">
        <v>7256</v>
      </c>
      <c r="W280">
        <v>2</v>
      </c>
      <c r="X280" t="s">
        <v>7536</v>
      </c>
      <c r="Y280">
        <v>0.35236309748107891</v>
      </c>
      <c r="Z280" t="str">
        <f>HYPERLINK("Melting_Curves/meltCurve_sp_O94851_5_MICA2_HUMAN_.pdf", "Melting_Curves/meltCurve_sp_O94851_5_MICA2_HUMAN_.pdf")</f>
        <v>Melting_Curves/meltCurve_sp_O94851_5_MICA2_HUMAN_.pdf</v>
      </c>
      <c r="AA280" t="s">
        <v>11160</v>
      </c>
      <c r="AB280" t="s">
        <v>14706</v>
      </c>
    </row>
    <row r="281" spans="1:28" x14ac:dyDescent="0.25">
      <c r="A281" t="s">
        <v>285</v>
      </c>
      <c r="B281">
        <v>0.98018197421672304</v>
      </c>
      <c r="C281">
        <v>0.94796229402199095</v>
      </c>
      <c r="D281">
        <v>0.84352492079794605</v>
      </c>
      <c r="E281">
        <v>0.68209795582434696</v>
      </c>
      <c r="F281">
        <v>0.25985158997742003</v>
      </c>
      <c r="G281">
        <v>9.2951309805556701E-2</v>
      </c>
      <c r="H281">
        <v>4.9677313348993099E-2</v>
      </c>
      <c r="I281">
        <v>3.9080196083411997E-2</v>
      </c>
      <c r="J281">
        <v>3.98479853033155E-2</v>
      </c>
      <c r="K281">
        <v>2.90254374396803E-2</v>
      </c>
      <c r="L281">
        <v>1165.18732716509</v>
      </c>
      <c r="M281">
        <v>22.884587498336799</v>
      </c>
      <c r="N281">
        <v>51.029130152686797</v>
      </c>
      <c r="O281">
        <v>50.5317971896337</v>
      </c>
      <c r="P281">
        <v>-0.11041588703217101</v>
      </c>
      <c r="Q281">
        <v>2.47747330015952E-2</v>
      </c>
      <c r="R281">
        <v>0.99016076573446499</v>
      </c>
      <c r="S281" t="s">
        <v>3910</v>
      </c>
      <c r="T281" t="s">
        <v>7256</v>
      </c>
      <c r="U281" t="s">
        <v>7256</v>
      </c>
      <c r="V281" t="s">
        <v>7256</v>
      </c>
      <c r="W281">
        <v>16</v>
      </c>
      <c r="X281" t="s">
        <v>7537</v>
      </c>
      <c r="Y281">
        <v>0.39008557537085259</v>
      </c>
      <c r="Z281" t="str">
        <f>HYPERLINK("Melting_Curves/meltCurve_sp_O94855_SC24D_HUMAN_.pdf", "Melting_Curves/meltCurve_sp_O94855_SC24D_HUMAN_.pdf")</f>
        <v>Melting_Curves/meltCurve_sp_O94855_SC24D_HUMAN_.pdf</v>
      </c>
      <c r="AA281" t="s">
        <v>11161</v>
      </c>
      <c r="AB281" t="s">
        <v>14707</v>
      </c>
    </row>
    <row r="282" spans="1:28" x14ac:dyDescent="0.25">
      <c r="A282" t="s">
        <v>286</v>
      </c>
      <c r="B282">
        <v>0.98018197421672304</v>
      </c>
      <c r="C282">
        <v>0.90118131607931296</v>
      </c>
      <c r="D282">
        <v>0.78362736933471699</v>
      </c>
      <c r="E282">
        <v>0.477970012508872</v>
      </c>
      <c r="F282">
        <v>0.204743133074335</v>
      </c>
      <c r="G282">
        <v>0.117259008263926</v>
      </c>
      <c r="H282">
        <v>7.4380779912429501E-2</v>
      </c>
      <c r="I282">
        <v>6.00318216742022E-2</v>
      </c>
      <c r="J282">
        <v>6.4438995579858299E-2</v>
      </c>
      <c r="K282">
        <v>5.1977919813639903E-2</v>
      </c>
      <c r="L282">
        <v>889.24953241468404</v>
      </c>
      <c r="M282">
        <v>18.1183436459437</v>
      </c>
      <c r="N282">
        <v>49.344099614606002</v>
      </c>
      <c r="O282">
        <v>48.493900789395902</v>
      </c>
      <c r="P282">
        <v>-8.9094377869151795E-2</v>
      </c>
      <c r="Q282">
        <v>4.6198469134211897E-2</v>
      </c>
      <c r="R282">
        <v>0.99697768113683105</v>
      </c>
      <c r="S282" t="s">
        <v>3911</v>
      </c>
      <c r="T282" t="s">
        <v>7256</v>
      </c>
      <c r="U282" t="s">
        <v>7256</v>
      </c>
      <c r="V282" t="s">
        <v>7256</v>
      </c>
      <c r="W282">
        <v>9</v>
      </c>
      <c r="X282" t="s">
        <v>7538</v>
      </c>
      <c r="Y282">
        <v>0.35116717863378061</v>
      </c>
      <c r="Z282" t="str">
        <f>HYPERLINK("Melting_Curves/meltCurve_sp_O94874_UFL1_HUMAN_.pdf", "Melting_Curves/meltCurve_sp_O94874_UFL1_HUMAN_.pdf")</f>
        <v>Melting_Curves/meltCurve_sp_O94874_UFL1_HUMAN_.pdf</v>
      </c>
      <c r="AA282" t="s">
        <v>11162</v>
      </c>
      <c r="AB282" t="s">
        <v>14708</v>
      </c>
    </row>
    <row r="283" spans="1:28" x14ac:dyDescent="0.25">
      <c r="A283" t="s">
        <v>287</v>
      </c>
      <c r="B283">
        <v>0.98018197421672304</v>
      </c>
      <c r="C283">
        <v>0.93844236103699497</v>
      </c>
      <c r="D283">
        <v>0.87152521277162598</v>
      </c>
      <c r="E283">
        <v>0.73092659655478398</v>
      </c>
      <c r="F283">
        <v>0.60149563542143103</v>
      </c>
      <c r="G283">
        <v>0.418726783855839</v>
      </c>
      <c r="H283">
        <v>0.39445807568973801</v>
      </c>
      <c r="I283">
        <v>0.40686720717098801</v>
      </c>
      <c r="J283">
        <v>0.46238883797770902</v>
      </c>
      <c r="K283">
        <v>0.54744309079902898</v>
      </c>
      <c r="L283">
        <v>917.90841304616504</v>
      </c>
      <c r="M283">
        <v>18.472576982863501</v>
      </c>
      <c r="N283">
        <v>55.979513324138303</v>
      </c>
      <c r="O283">
        <v>49.118983180444701</v>
      </c>
      <c r="P283">
        <v>-5.2912401053453399E-2</v>
      </c>
      <c r="Q283">
        <v>0.43724417552419598</v>
      </c>
      <c r="R283">
        <v>0.94666589701069903</v>
      </c>
      <c r="S283" t="s">
        <v>3912</v>
      </c>
      <c r="T283" t="s">
        <v>7256</v>
      </c>
      <c r="U283" t="s">
        <v>7256</v>
      </c>
      <c r="V283" t="s">
        <v>7256</v>
      </c>
      <c r="W283">
        <v>31</v>
      </c>
      <c r="X283" t="s">
        <v>7539</v>
      </c>
      <c r="Y283">
        <v>0.62818679370659036</v>
      </c>
      <c r="Z283" t="str">
        <f>HYPERLINK("Melting_Curves/meltCurve_sp_O94875_12_SRBS2_HUMAN_.pdf", "Melting_Curves/meltCurve_sp_O94875_12_SRBS2_HUMAN_.pdf")</f>
        <v>Melting_Curves/meltCurve_sp_O94875_12_SRBS2_HUMAN_.pdf</v>
      </c>
      <c r="AA283" t="s">
        <v>11163</v>
      </c>
      <c r="AB283" t="s">
        <v>14709</v>
      </c>
    </row>
    <row r="284" spans="1:28" x14ac:dyDescent="0.25">
      <c r="A284" t="s">
        <v>288</v>
      </c>
      <c r="B284">
        <v>0.98018197421672304</v>
      </c>
      <c r="C284">
        <v>1.00920835703434</v>
      </c>
      <c r="D284">
        <v>0.81845938304504595</v>
      </c>
      <c r="E284">
        <v>0.37667666600301097</v>
      </c>
      <c r="F284">
        <v>0.227982321059118</v>
      </c>
      <c r="G284">
        <v>0.121613803096725</v>
      </c>
      <c r="H284">
        <v>8.9296908881230194E-2</v>
      </c>
      <c r="I284">
        <v>5.30092803790016E-2</v>
      </c>
      <c r="J284">
        <v>7.6631839787780903E-2</v>
      </c>
      <c r="K284">
        <v>3.28527013190918E-2</v>
      </c>
      <c r="L284">
        <v>1129.80480152106</v>
      </c>
      <c r="M284">
        <v>23.158730353283602</v>
      </c>
      <c r="N284">
        <v>49.092592486895001</v>
      </c>
      <c r="O284">
        <v>48.4259002898578</v>
      </c>
      <c r="P284">
        <v>-0.111492031447262</v>
      </c>
      <c r="Q284">
        <v>6.7478924226103701E-2</v>
      </c>
      <c r="R284">
        <v>0.995416506617958</v>
      </c>
      <c r="S284" t="s">
        <v>3913</v>
      </c>
      <c r="T284" t="s">
        <v>7256</v>
      </c>
      <c r="U284" t="s">
        <v>7256</v>
      </c>
      <c r="V284" t="s">
        <v>7256</v>
      </c>
      <c r="W284">
        <v>3</v>
      </c>
      <c r="X284" t="s">
        <v>7540</v>
      </c>
      <c r="Y284">
        <v>0.35023220529123877</v>
      </c>
      <c r="Z284" t="str">
        <f>HYPERLINK("Melting_Curves/meltCurve_sp_O94887_FARP2_HUMAN_.pdf", "Melting_Curves/meltCurve_sp_O94887_FARP2_HUMAN_.pdf")</f>
        <v>Melting_Curves/meltCurve_sp_O94887_FARP2_HUMAN_.pdf</v>
      </c>
      <c r="AA284" t="s">
        <v>11164</v>
      </c>
      <c r="AB284" t="s">
        <v>14710</v>
      </c>
    </row>
    <row r="285" spans="1:28" x14ac:dyDescent="0.25">
      <c r="A285" t="s">
        <v>289</v>
      </c>
      <c r="B285">
        <v>0.98018197421672304</v>
      </c>
      <c r="C285">
        <v>1.0023775240867101</v>
      </c>
      <c r="D285">
        <v>0.96175987485109504</v>
      </c>
      <c r="E285">
        <v>0.76647191512227997</v>
      </c>
      <c r="F285">
        <v>0.51541679159457299</v>
      </c>
      <c r="G285">
        <v>0.19377137397314401</v>
      </c>
      <c r="H285">
        <v>0.10620595930002399</v>
      </c>
      <c r="I285">
        <v>8.6323051547660401E-2</v>
      </c>
      <c r="J285">
        <v>0.101829200651522</v>
      </c>
      <c r="K285">
        <v>7.4318445713441303E-2</v>
      </c>
      <c r="L285">
        <v>1191.33468472851</v>
      </c>
      <c r="M285">
        <v>22.658003981722299</v>
      </c>
      <c r="N285">
        <v>52.954642905826603</v>
      </c>
      <c r="O285">
        <v>52.174553826950699</v>
      </c>
      <c r="P285">
        <v>-0.100509894708265</v>
      </c>
      <c r="Q285">
        <v>7.4242412132500005E-2</v>
      </c>
      <c r="R285">
        <v>0.99881597738019401</v>
      </c>
      <c r="S285" t="s">
        <v>3914</v>
      </c>
      <c r="T285" t="s">
        <v>7256</v>
      </c>
      <c r="U285" t="s">
        <v>7256</v>
      </c>
      <c r="V285" t="s">
        <v>7256</v>
      </c>
      <c r="W285">
        <v>11</v>
      </c>
      <c r="X285" t="s">
        <v>7541</v>
      </c>
      <c r="Y285">
        <v>0.47262350078575899</v>
      </c>
      <c r="Z285" t="str">
        <f>HYPERLINK("Melting_Curves/meltCurve_sp_O94903_PROSC_HUMAN_.pdf", "Melting_Curves/meltCurve_sp_O94903_PROSC_HUMAN_.pdf")</f>
        <v>Melting_Curves/meltCurve_sp_O94903_PROSC_HUMAN_.pdf</v>
      </c>
      <c r="AA285" t="s">
        <v>11165</v>
      </c>
      <c r="AB285" t="s">
        <v>14711</v>
      </c>
    </row>
    <row r="286" spans="1:28" x14ac:dyDescent="0.25">
      <c r="A286" t="s">
        <v>290</v>
      </c>
      <c r="B286">
        <v>0.98018197421672304</v>
      </c>
      <c r="C286">
        <v>0.9198210258367</v>
      </c>
      <c r="D286">
        <v>0.81913000021334303</v>
      </c>
      <c r="E286">
        <v>0.60611150841269201</v>
      </c>
      <c r="F286">
        <v>0.48715980469372699</v>
      </c>
      <c r="G286">
        <v>0.31055239663908202</v>
      </c>
      <c r="H286">
        <v>0.22017152060574399</v>
      </c>
      <c r="I286">
        <v>0.17983497429374401</v>
      </c>
      <c r="J286">
        <v>0.20073944245071601</v>
      </c>
      <c r="K286">
        <v>0.21115667224714901</v>
      </c>
      <c r="L286">
        <v>666.19664841693304</v>
      </c>
      <c r="M286">
        <v>13.1594451763373</v>
      </c>
      <c r="N286">
        <v>52.1455067287528</v>
      </c>
      <c r="O286">
        <v>49.498727241682502</v>
      </c>
      <c r="P286">
        <v>-5.58827594919988E-2</v>
      </c>
      <c r="Q286">
        <v>0.159338561590703</v>
      </c>
      <c r="R286">
        <v>0.99637207490495905</v>
      </c>
      <c r="S286" t="s">
        <v>3915</v>
      </c>
      <c r="T286" t="s">
        <v>7256</v>
      </c>
      <c r="U286" t="s">
        <v>7256</v>
      </c>
      <c r="V286" t="s">
        <v>7256</v>
      </c>
      <c r="W286">
        <v>3</v>
      </c>
      <c r="X286" t="s">
        <v>7542</v>
      </c>
      <c r="Y286">
        <v>0.48142757570850891</v>
      </c>
      <c r="Z286" t="str">
        <f>HYPERLINK("Melting_Curves/meltCurve_sp_O94929_2_ABLM3_HUMAN_.pdf", "Melting_Curves/meltCurve_sp_O94929_2_ABLM3_HUMAN_.pdf")</f>
        <v>Melting_Curves/meltCurve_sp_O94929_2_ABLM3_HUMAN_.pdf</v>
      </c>
      <c r="AA286" t="s">
        <v>11166</v>
      </c>
      <c r="AB286" t="s">
        <v>14712</v>
      </c>
    </row>
    <row r="287" spans="1:28" x14ac:dyDescent="0.25">
      <c r="A287" t="s">
        <v>291</v>
      </c>
      <c r="B287">
        <v>0.98018197421672304</v>
      </c>
      <c r="C287">
        <v>1.00698105665319</v>
      </c>
      <c r="D287">
        <v>0.89268470993867699</v>
      </c>
      <c r="E287">
        <v>0.67854846604041397</v>
      </c>
      <c r="F287">
        <v>0.32143673796630401</v>
      </c>
      <c r="G287">
        <v>0.15011185450631501</v>
      </c>
      <c r="H287">
        <v>9.6504731957789594E-2</v>
      </c>
      <c r="I287">
        <v>6.5903644121014598E-2</v>
      </c>
      <c r="J287">
        <v>9.2768305435388901E-2</v>
      </c>
      <c r="K287">
        <v>5.3355425090912803E-2</v>
      </c>
      <c r="L287">
        <v>1194.7655050384601</v>
      </c>
      <c r="M287">
        <v>23.3957181847891</v>
      </c>
      <c r="N287">
        <v>51.389222026195199</v>
      </c>
      <c r="O287">
        <v>50.698966663177302</v>
      </c>
      <c r="P287">
        <v>-0.107513080429297</v>
      </c>
      <c r="Q287">
        <v>6.8084325421633493E-2</v>
      </c>
      <c r="R287">
        <v>0.99675372549211805</v>
      </c>
      <c r="S287" t="s">
        <v>3916</v>
      </c>
      <c r="T287" t="s">
        <v>7256</v>
      </c>
      <c r="U287" t="s">
        <v>7256</v>
      </c>
      <c r="V287" t="s">
        <v>7256</v>
      </c>
      <c r="W287">
        <v>22</v>
      </c>
      <c r="X287" t="s">
        <v>7543</v>
      </c>
      <c r="Y287">
        <v>0.42148054517534111</v>
      </c>
      <c r="Z287" t="str">
        <f>HYPERLINK("Melting_Curves/meltCurve_sp_O94973_AP2A2_HUMAN_.pdf", "Melting_Curves/meltCurve_sp_O94973_AP2A2_HUMAN_.pdf")</f>
        <v>Melting_Curves/meltCurve_sp_O94973_AP2A2_HUMAN_.pdf</v>
      </c>
      <c r="AA287" t="s">
        <v>11167</v>
      </c>
      <c r="AB287" t="s">
        <v>14713</v>
      </c>
    </row>
    <row r="288" spans="1:28" x14ac:dyDescent="0.25">
      <c r="A288" t="s">
        <v>292</v>
      </c>
      <c r="B288">
        <v>0.98018197421672304</v>
      </c>
      <c r="C288">
        <v>1.0105623242132999</v>
      </c>
      <c r="D288">
        <v>0.88565030625199104</v>
      </c>
      <c r="E288">
        <v>0.74066471377035403</v>
      </c>
      <c r="F288">
        <v>0.50066816647718804</v>
      </c>
      <c r="G288">
        <v>0.16203032357823899</v>
      </c>
      <c r="H288">
        <v>7.6020978410907394E-2</v>
      </c>
      <c r="I288">
        <v>6.03656726606E-2</v>
      </c>
      <c r="J288">
        <v>5.9773285670436202E-2</v>
      </c>
      <c r="K288">
        <v>4.7945839451873098E-2</v>
      </c>
      <c r="L288">
        <v>1039.7273632464601</v>
      </c>
      <c r="M288">
        <v>19.809197892078299</v>
      </c>
      <c r="N288">
        <v>52.659376085036399</v>
      </c>
      <c r="O288">
        <v>51.960985342665602</v>
      </c>
      <c r="P288">
        <v>-9.2320837379614606E-2</v>
      </c>
      <c r="Q288">
        <v>3.1375317561226801E-2</v>
      </c>
      <c r="R288">
        <v>0.99549027909873899</v>
      </c>
      <c r="S288" t="s">
        <v>3917</v>
      </c>
      <c r="T288" t="s">
        <v>7256</v>
      </c>
      <c r="U288" t="s">
        <v>7256</v>
      </c>
      <c r="V288" t="s">
        <v>7256</v>
      </c>
      <c r="W288">
        <v>25</v>
      </c>
      <c r="X288" t="s">
        <v>7544</v>
      </c>
      <c r="Y288">
        <v>0.4481500516858139</v>
      </c>
      <c r="Z288" t="str">
        <f>HYPERLINK("Melting_Curves/meltCurve_sp_O94979_3_SC31A_HUMAN_.pdf", "Melting_Curves/meltCurve_sp_O94979_3_SC31A_HUMAN_.pdf")</f>
        <v>Melting_Curves/meltCurve_sp_O94979_3_SC31A_HUMAN_.pdf</v>
      </c>
      <c r="AA288" t="s">
        <v>11168</v>
      </c>
      <c r="AB288" t="s">
        <v>14714</v>
      </c>
    </row>
    <row r="289" spans="1:28" x14ac:dyDescent="0.25">
      <c r="A289" t="s">
        <v>293</v>
      </c>
      <c r="B289">
        <v>0.98018197421672304</v>
      </c>
      <c r="C289">
        <v>0.88439397234617101</v>
      </c>
      <c r="D289">
        <v>0.78532878109049598</v>
      </c>
      <c r="E289">
        <v>0.69108309010103697</v>
      </c>
      <c r="F289">
        <v>0.40663942744946002</v>
      </c>
      <c r="G289">
        <v>0.28394191611751401</v>
      </c>
      <c r="H289">
        <v>0.20393573207153801</v>
      </c>
      <c r="I289">
        <v>0.184258929633421</v>
      </c>
      <c r="J289">
        <v>0.21746960523845399</v>
      </c>
      <c r="K289">
        <v>0.193314974614022</v>
      </c>
      <c r="L289">
        <v>677.33022144422603</v>
      </c>
      <c r="M289">
        <v>13.4251975815104</v>
      </c>
      <c r="N289">
        <v>51.881894779104499</v>
      </c>
      <c r="O289">
        <v>49.372199103463899</v>
      </c>
      <c r="P289">
        <v>-5.7477488290975501E-2</v>
      </c>
      <c r="Q289">
        <v>0.15462021883713301</v>
      </c>
      <c r="R289">
        <v>0.98340694341520696</v>
      </c>
      <c r="S289" t="s">
        <v>3918</v>
      </c>
      <c r="T289" t="s">
        <v>7256</v>
      </c>
      <c r="U289" t="s">
        <v>7256</v>
      </c>
      <c r="V289" t="s">
        <v>7256</v>
      </c>
      <c r="W289">
        <v>3</v>
      </c>
      <c r="X289" t="s">
        <v>7545</v>
      </c>
      <c r="Y289">
        <v>0.47306800880818922</v>
      </c>
      <c r="Z289" t="str">
        <f>HYPERLINK("Melting_Curves/meltCurve_sp_O94992_HEXI1_HUMAN_.pdf", "Melting_Curves/meltCurve_sp_O94992_HEXI1_HUMAN_.pdf")</f>
        <v>Melting_Curves/meltCurve_sp_O94992_HEXI1_HUMAN_.pdf</v>
      </c>
      <c r="AA289" t="s">
        <v>11169</v>
      </c>
      <c r="AB289" t="s">
        <v>14715</v>
      </c>
    </row>
    <row r="290" spans="1:28" x14ac:dyDescent="0.25">
      <c r="A290" t="s">
        <v>294</v>
      </c>
      <c r="B290">
        <v>0.98018197421672304</v>
      </c>
      <c r="C290">
        <v>1.15257854284304</v>
      </c>
      <c r="D290">
        <v>0.95343888890522099</v>
      </c>
      <c r="E290">
        <v>0.778232037321821</v>
      </c>
      <c r="F290">
        <v>0.38000894814511699</v>
      </c>
      <c r="G290">
        <v>0.33311031271381703</v>
      </c>
      <c r="H290">
        <v>0.18536953360507799</v>
      </c>
      <c r="I290">
        <v>0.16693231967814101</v>
      </c>
      <c r="J290">
        <v>0.191911292532014</v>
      </c>
      <c r="K290">
        <v>0.19445317632979101</v>
      </c>
      <c r="L290">
        <v>1581.6130981034901</v>
      </c>
      <c r="M290">
        <v>30.804622988592499</v>
      </c>
      <c r="N290">
        <v>52.208706518995299</v>
      </c>
      <c r="O290">
        <v>51.128424812413797</v>
      </c>
      <c r="P290">
        <v>-0.120510917346871</v>
      </c>
      <c r="Q290">
        <v>0.19992526423833001</v>
      </c>
      <c r="R290">
        <v>0.97211560764608296</v>
      </c>
      <c r="S290" t="s">
        <v>3919</v>
      </c>
      <c r="T290" t="s">
        <v>7256</v>
      </c>
      <c r="U290" t="s">
        <v>7256</v>
      </c>
      <c r="V290" t="s">
        <v>7256</v>
      </c>
      <c r="W290">
        <v>7</v>
      </c>
      <c r="X290" t="s">
        <v>7546</v>
      </c>
      <c r="Y290">
        <v>0.50724147856231416</v>
      </c>
      <c r="Z290" t="str">
        <f>HYPERLINK("Melting_Curves/meltCurve_sp_O95081_AGFG2_HUMAN_.pdf", "Melting_Curves/meltCurve_sp_O95081_AGFG2_HUMAN_.pdf")</f>
        <v>Melting_Curves/meltCurve_sp_O95081_AGFG2_HUMAN_.pdf</v>
      </c>
      <c r="AA290" t="s">
        <v>11170</v>
      </c>
      <c r="AB290" t="s">
        <v>14716</v>
      </c>
    </row>
    <row r="291" spans="1:28" x14ac:dyDescent="0.25">
      <c r="A291" t="s">
        <v>295</v>
      </c>
      <c r="B291">
        <v>0.98018197421672304</v>
      </c>
      <c r="C291">
        <v>0.87929819059844805</v>
      </c>
      <c r="D291">
        <v>0.87057104551853304</v>
      </c>
      <c r="E291">
        <v>0.66557225543591003</v>
      </c>
      <c r="F291">
        <v>0.32614077353857801</v>
      </c>
      <c r="G291">
        <v>0.161666564325223</v>
      </c>
      <c r="H291">
        <v>0.14146630245263001</v>
      </c>
      <c r="I291">
        <v>0.12535738263482499</v>
      </c>
      <c r="J291">
        <v>0.203093159428194</v>
      </c>
      <c r="K291">
        <v>0.19786056078079001</v>
      </c>
      <c r="L291">
        <v>1162.8513678002</v>
      </c>
      <c r="M291">
        <v>23.094101689947799</v>
      </c>
      <c r="N291">
        <v>51.144892223149299</v>
      </c>
      <c r="O291">
        <v>49.979754780083901</v>
      </c>
      <c r="P291">
        <v>-9.8150513898462202E-2</v>
      </c>
      <c r="Q291">
        <v>0.15035479527003501</v>
      </c>
      <c r="R291">
        <v>0.97730296387247795</v>
      </c>
      <c r="S291" t="s">
        <v>3920</v>
      </c>
      <c r="T291" t="s">
        <v>7256</v>
      </c>
      <c r="U291" t="s">
        <v>7256</v>
      </c>
      <c r="V291" t="s">
        <v>7256</v>
      </c>
      <c r="W291">
        <v>2</v>
      </c>
      <c r="X291" t="s">
        <v>7547</v>
      </c>
      <c r="Y291">
        <v>0.45248225761098698</v>
      </c>
      <c r="Z291" t="str">
        <f>HYPERLINK("Melting_Curves/meltCurve_sp_O95104_3_SFR15_HUMAN_.pdf", "Melting_Curves/meltCurve_sp_O95104_3_SFR15_HUMAN_.pdf")</f>
        <v>Melting_Curves/meltCurve_sp_O95104_3_SFR15_HUMAN_.pdf</v>
      </c>
      <c r="AA291" t="s">
        <v>11171</v>
      </c>
      <c r="AB291" t="s">
        <v>14717</v>
      </c>
    </row>
    <row r="292" spans="1:28" x14ac:dyDescent="0.25">
      <c r="A292" t="s">
        <v>296</v>
      </c>
      <c r="B292">
        <v>0.98018197421672304</v>
      </c>
      <c r="C292">
        <v>1.0236231101408999</v>
      </c>
      <c r="D292">
        <v>0.96323671532219501</v>
      </c>
      <c r="E292">
        <v>0.488817809895776</v>
      </c>
      <c r="F292">
        <v>0.142411765890266</v>
      </c>
      <c r="G292">
        <v>7.8021206170799204E-2</v>
      </c>
      <c r="H292">
        <v>4.8661398475472802E-2</v>
      </c>
      <c r="I292">
        <v>3.3437413639543202E-2</v>
      </c>
      <c r="J292">
        <v>3.37725185277407E-2</v>
      </c>
      <c r="K292">
        <v>2.43829752211586E-2</v>
      </c>
      <c r="L292">
        <v>1800.2358724410401</v>
      </c>
      <c r="M292">
        <v>36.122853960461697</v>
      </c>
      <c r="N292">
        <v>49.9555434790256</v>
      </c>
      <c r="O292">
        <v>49.684483924602503</v>
      </c>
      <c r="P292">
        <v>-0.174264793003194</v>
      </c>
      <c r="Q292">
        <v>4.12463696491457E-2</v>
      </c>
      <c r="R292">
        <v>0.99867296233603398</v>
      </c>
      <c r="S292" t="s">
        <v>3921</v>
      </c>
      <c r="T292" t="s">
        <v>7256</v>
      </c>
      <c r="U292" t="s">
        <v>7256</v>
      </c>
      <c r="V292" t="s">
        <v>7256</v>
      </c>
      <c r="W292">
        <v>13</v>
      </c>
      <c r="X292" t="s">
        <v>7548</v>
      </c>
      <c r="Y292">
        <v>0.35966512028770381</v>
      </c>
      <c r="Z292" t="str">
        <f>HYPERLINK("Melting_Curves/meltCurve_sp_O95154_ARK73_HUMAN_.pdf", "Melting_Curves/meltCurve_sp_O95154_ARK73_HUMAN_.pdf")</f>
        <v>Melting_Curves/meltCurve_sp_O95154_ARK73_HUMAN_.pdf</v>
      </c>
      <c r="AA292" t="s">
        <v>11172</v>
      </c>
      <c r="AB292" t="s">
        <v>14718</v>
      </c>
    </row>
    <row r="293" spans="1:28" x14ac:dyDescent="0.25">
      <c r="A293" t="s">
        <v>297</v>
      </c>
      <c r="B293">
        <v>0.98018197421672304</v>
      </c>
      <c r="C293">
        <v>0.89089203209086099</v>
      </c>
      <c r="D293">
        <v>0.84495931449992501</v>
      </c>
      <c r="E293">
        <v>0.66563126650705895</v>
      </c>
      <c r="F293">
        <v>0.43268267376078401</v>
      </c>
      <c r="G293">
        <v>0.151423587397394</v>
      </c>
      <c r="H293">
        <v>8.5883017036734094E-2</v>
      </c>
      <c r="I293">
        <v>5.3178851352353597E-2</v>
      </c>
      <c r="J293">
        <v>8.1005857155784802E-2</v>
      </c>
      <c r="K293">
        <v>3.79130034287639E-2</v>
      </c>
      <c r="L293">
        <v>786.50031370330396</v>
      </c>
      <c r="M293">
        <v>15.2303426501509</v>
      </c>
      <c r="N293">
        <v>51.733147755292798</v>
      </c>
      <c r="O293">
        <v>50.774644970182003</v>
      </c>
      <c r="P293">
        <v>-7.3986525112541404E-2</v>
      </c>
      <c r="Q293">
        <v>1.3474176117786099E-2</v>
      </c>
      <c r="R293">
        <v>0.99151925536250696</v>
      </c>
      <c r="S293" t="s">
        <v>3922</v>
      </c>
      <c r="T293" t="s">
        <v>7256</v>
      </c>
      <c r="U293" t="s">
        <v>7256</v>
      </c>
      <c r="V293" t="s">
        <v>7256</v>
      </c>
      <c r="W293">
        <v>3</v>
      </c>
      <c r="X293" t="s">
        <v>7549</v>
      </c>
      <c r="Y293">
        <v>0.41805309653436062</v>
      </c>
      <c r="Z293" t="str">
        <f>HYPERLINK("Melting_Curves/meltCurve_sp_O95155_3_UBE4B_HUMAN_.pdf", "Melting_Curves/meltCurve_sp_O95155_3_UBE4B_HUMAN_.pdf")</f>
        <v>Melting_Curves/meltCurve_sp_O95155_3_UBE4B_HUMAN_.pdf</v>
      </c>
      <c r="AA293" t="s">
        <v>11173</v>
      </c>
      <c r="AB293" t="s">
        <v>14719</v>
      </c>
    </row>
    <row r="294" spans="1:28" x14ac:dyDescent="0.25">
      <c r="A294" t="s">
        <v>298</v>
      </c>
      <c r="B294">
        <v>0.98018197421672304</v>
      </c>
      <c r="C294">
        <v>0.91492330710703096</v>
      </c>
      <c r="D294">
        <v>0.82403015568578897</v>
      </c>
      <c r="E294">
        <v>0.65888369431334504</v>
      </c>
      <c r="F294">
        <v>0.46429678901061699</v>
      </c>
      <c r="G294">
        <v>0.16004023299794201</v>
      </c>
      <c r="H294">
        <v>6.4726647069658805E-2</v>
      </c>
      <c r="I294">
        <v>4.7426757640781497E-2</v>
      </c>
      <c r="J294">
        <v>5.6880194749137497E-2</v>
      </c>
      <c r="K294">
        <v>3.7340378762905198E-2</v>
      </c>
      <c r="L294">
        <v>763.81297033405804</v>
      </c>
      <c r="M294">
        <v>14.735559206339</v>
      </c>
      <c r="N294">
        <v>51.834668238739397</v>
      </c>
      <c r="O294">
        <v>50.908118885339498</v>
      </c>
      <c r="P294">
        <v>-7.2371339566038306E-2</v>
      </c>
      <c r="Q294">
        <v>0</v>
      </c>
      <c r="R294">
        <v>0.99243113157728102</v>
      </c>
      <c r="S294" t="s">
        <v>3923</v>
      </c>
      <c r="T294" t="s">
        <v>7256</v>
      </c>
      <c r="U294" t="s">
        <v>7256</v>
      </c>
      <c r="V294" t="s">
        <v>7256</v>
      </c>
      <c r="W294">
        <v>8</v>
      </c>
      <c r="X294" t="s">
        <v>7550</v>
      </c>
      <c r="Y294">
        <v>0.41759820240139678</v>
      </c>
      <c r="Z294" t="str">
        <f>HYPERLINK("Melting_Curves/meltCurve_sp_O95163_ELP1_HUMAN_.pdf", "Melting_Curves/meltCurve_sp_O95163_ELP1_HUMAN_.pdf")</f>
        <v>Melting_Curves/meltCurve_sp_O95163_ELP1_HUMAN_.pdf</v>
      </c>
      <c r="AA294" t="s">
        <v>11174</v>
      </c>
      <c r="AB294" t="s">
        <v>14720</v>
      </c>
    </row>
    <row r="295" spans="1:28" x14ac:dyDescent="0.25">
      <c r="A295" t="s">
        <v>299</v>
      </c>
      <c r="B295">
        <v>0.98018197421672304</v>
      </c>
      <c r="C295">
        <v>0.84088514247588897</v>
      </c>
      <c r="D295">
        <v>0.88129003692007402</v>
      </c>
      <c r="E295">
        <v>0.76077768203158602</v>
      </c>
      <c r="F295">
        <v>0.67968686729192396</v>
      </c>
      <c r="G295">
        <v>0.58772807343643796</v>
      </c>
      <c r="H295">
        <v>0.43888436559515298</v>
      </c>
      <c r="I295">
        <v>0.45711326750648301</v>
      </c>
      <c r="J295">
        <v>0.42520101577611902</v>
      </c>
      <c r="K295">
        <v>0.52817891008357398</v>
      </c>
      <c r="L295">
        <v>494.32579945736802</v>
      </c>
      <c r="M295">
        <v>9.6125634741205594</v>
      </c>
      <c r="N295">
        <v>61.862913819832798</v>
      </c>
      <c r="O295">
        <v>49.3471689318771</v>
      </c>
      <c r="P295">
        <v>-2.9175380304537001E-2</v>
      </c>
      <c r="Q295">
        <v>0.40123835565228</v>
      </c>
      <c r="R295">
        <v>0.93777696281387302</v>
      </c>
      <c r="S295" t="s">
        <v>3924</v>
      </c>
      <c r="T295" t="s">
        <v>7256</v>
      </c>
      <c r="U295" t="s">
        <v>7256</v>
      </c>
      <c r="V295" t="s">
        <v>7256</v>
      </c>
      <c r="W295">
        <v>1</v>
      </c>
      <c r="X295" t="s">
        <v>7551</v>
      </c>
      <c r="Y295">
        <v>0.6543703115592352</v>
      </c>
      <c r="Z295" t="str">
        <f>HYPERLINK("Melting_Curves/meltCurve_sp_O95202_LETM1_HUMAN_.pdf", "Melting_Curves/meltCurve_sp_O95202_LETM1_HUMAN_.pdf")</f>
        <v>Melting_Curves/meltCurve_sp_O95202_LETM1_HUMAN_.pdf</v>
      </c>
      <c r="AA295" t="s">
        <v>11175</v>
      </c>
      <c r="AB295" t="s">
        <v>14721</v>
      </c>
    </row>
    <row r="296" spans="1:28" x14ac:dyDescent="0.25">
      <c r="A296" t="s">
        <v>300</v>
      </c>
      <c r="B296">
        <v>0.98018197421672304</v>
      </c>
      <c r="C296">
        <v>1.0007849707455001</v>
      </c>
      <c r="D296">
        <v>0.93184956072329095</v>
      </c>
      <c r="E296">
        <v>0.75849126633219499</v>
      </c>
      <c r="F296">
        <v>0.65893809782442703</v>
      </c>
      <c r="G296">
        <v>0.46308944709825201</v>
      </c>
      <c r="H296">
        <v>0.37507285323633399</v>
      </c>
      <c r="I296">
        <v>0.39367518176732602</v>
      </c>
      <c r="J296">
        <v>0.50271700238736905</v>
      </c>
      <c r="K296">
        <v>0.62033217497168303</v>
      </c>
      <c r="L296">
        <v>1175.78634890184</v>
      </c>
      <c r="M296">
        <v>23.216897816507</v>
      </c>
      <c r="N296">
        <v>57.374600953651502</v>
      </c>
      <c r="O296">
        <v>50.272326033776501</v>
      </c>
      <c r="P296">
        <v>-6.1517524559253002E-2</v>
      </c>
      <c r="Q296">
        <v>0.46718578841080399</v>
      </c>
      <c r="R296">
        <v>0.91072958251292102</v>
      </c>
      <c r="S296" t="s">
        <v>3925</v>
      </c>
      <c r="T296" t="s">
        <v>7256</v>
      </c>
      <c r="U296" t="s">
        <v>7256</v>
      </c>
      <c r="V296" t="s">
        <v>7256</v>
      </c>
      <c r="W296">
        <v>6</v>
      </c>
      <c r="X296" t="s">
        <v>7552</v>
      </c>
      <c r="Y296">
        <v>0.66176879950368395</v>
      </c>
      <c r="Z296" t="str">
        <f>HYPERLINK("Melting_Curves/meltCurve_sp_O95210_STBD1_HUMAN_.pdf", "Melting_Curves/meltCurve_sp_O95210_STBD1_HUMAN_.pdf")</f>
        <v>Melting_Curves/meltCurve_sp_O95210_STBD1_HUMAN_.pdf</v>
      </c>
      <c r="AA296" t="s">
        <v>11176</v>
      </c>
      <c r="AB296" t="s">
        <v>14722</v>
      </c>
    </row>
    <row r="297" spans="1:28" x14ac:dyDescent="0.25">
      <c r="A297" t="s">
        <v>301</v>
      </c>
      <c r="B297">
        <v>0.98018197421672304</v>
      </c>
      <c r="C297">
        <v>0.95435868743493302</v>
      </c>
      <c r="D297">
        <v>0.86705763231770205</v>
      </c>
      <c r="E297">
        <v>0.72637138662936795</v>
      </c>
      <c r="F297">
        <v>0.69064122902275604</v>
      </c>
      <c r="G297">
        <v>0.58974626540164898</v>
      </c>
      <c r="H297">
        <v>0.49643152617617198</v>
      </c>
      <c r="I297">
        <v>0.54583897829745498</v>
      </c>
      <c r="J297">
        <v>0.67147644156402397</v>
      </c>
      <c r="K297">
        <v>0.810486815681151</v>
      </c>
      <c r="L297">
        <v>995.113616869461</v>
      </c>
      <c r="M297">
        <v>21.012542593595001</v>
      </c>
      <c r="O297">
        <v>46.935405730868602</v>
      </c>
      <c r="P297">
        <v>-4.1864466614298601E-2</v>
      </c>
      <c r="Q297">
        <v>0.62596185432528495</v>
      </c>
      <c r="R297">
        <v>0.74723885954672298</v>
      </c>
      <c r="S297" t="s">
        <v>3926</v>
      </c>
      <c r="T297" t="s">
        <v>7256</v>
      </c>
      <c r="U297" t="s">
        <v>7256</v>
      </c>
      <c r="V297" t="s">
        <v>7256</v>
      </c>
      <c r="W297">
        <v>7</v>
      </c>
      <c r="X297" t="s">
        <v>7553</v>
      </c>
      <c r="Y297">
        <v>0.72255499810015633</v>
      </c>
      <c r="Z297" t="str">
        <f>HYPERLINK("Melting_Curves/meltCurve_sp_O95218_2_ZRAB2_HUMAN_.pdf", "Melting_Curves/meltCurve_sp_O95218_2_ZRAB2_HUMAN_.pdf")</f>
        <v>Melting_Curves/meltCurve_sp_O95218_2_ZRAB2_HUMAN_.pdf</v>
      </c>
      <c r="AA297" t="s">
        <v>11177</v>
      </c>
      <c r="AB297" t="s">
        <v>14723</v>
      </c>
    </row>
    <row r="298" spans="1:28" x14ac:dyDescent="0.25">
      <c r="A298" t="s">
        <v>302</v>
      </c>
      <c r="B298">
        <v>0.98018197421672304</v>
      </c>
      <c r="C298">
        <v>0.86877781221504502</v>
      </c>
      <c r="D298">
        <v>0.64761622245176997</v>
      </c>
      <c r="E298">
        <v>0.33022442961830301</v>
      </c>
      <c r="F298">
        <v>0.19048317018122399</v>
      </c>
      <c r="G298">
        <v>0.103193233267018</v>
      </c>
      <c r="H298">
        <v>7.5312965406976795E-2</v>
      </c>
      <c r="I298">
        <v>6.4179161204149904E-2</v>
      </c>
      <c r="J298">
        <v>5.8591549125506799E-2</v>
      </c>
      <c r="K298">
        <v>6.0745871282758997E-2</v>
      </c>
      <c r="L298">
        <v>826.18236601598801</v>
      </c>
      <c r="M298">
        <v>17.420724302607301</v>
      </c>
      <c r="N298">
        <v>47.749186575742101</v>
      </c>
      <c r="O298">
        <v>46.813551430904297</v>
      </c>
      <c r="P298">
        <v>-8.7852457212056007E-2</v>
      </c>
      <c r="Q298">
        <v>5.5732415823454097E-2</v>
      </c>
      <c r="R298">
        <v>0.99972941766574996</v>
      </c>
      <c r="S298" t="s">
        <v>3927</v>
      </c>
      <c r="T298" t="s">
        <v>7256</v>
      </c>
      <c r="U298" t="s">
        <v>7256</v>
      </c>
      <c r="V298" t="s">
        <v>7256</v>
      </c>
      <c r="W298">
        <v>4</v>
      </c>
      <c r="X298" t="s">
        <v>7554</v>
      </c>
      <c r="Y298">
        <v>0.30777670057947532</v>
      </c>
      <c r="Z298" t="str">
        <f>HYPERLINK("Melting_Curves/meltCurve_sp_O95219_SNX4_HUMAN_.pdf", "Melting_Curves/meltCurve_sp_O95219_SNX4_HUMAN_.pdf")</f>
        <v>Melting_Curves/meltCurve_sp_O95219_SNX4_HUMAN_.pdf</v>
      </c>
      <c r="AA298" t="s">
        <v>11178</v>
      </c>
      <c r="AB298" t="s">
        <v>14724</v>
      </c>
    </row>
    <row r="299" spans="1:28" x14ac:dyDescent="0.25">
      <c r="A299" t="s">
        <v>303</v>
      </c>
      <c r="B299">
        <v>0.98018197421672304</v>
      </c>
      <c r="C299">
        <v>0.88369865877434495</v>
      </c>
      <c r="D299">
        <v>0.89251803277465402</v>
      </c>
      <c r="E299">
        <v>0.74273613845877096</v>
      </c>
      <c r="F299">
        <v>0.52889461778190205</v>
      </c>
      <c r="G299">
        <v>0.37139529035499502</v>
      </c>
      <c r="H299">
        <v>0.29656069101789101</v>
      </c>
      <c r="I299">
        <v>0.25430682380831798</v>
      </c>
      <c r="J299">
        <v>0.22334549607515899</v>
      </c>
      <c r="K299">
        <v>0.223660417155393</v>
      </c>
      <c r="L299">
        <v>679.92073172569906</v>
      </c>
      <c r="M299">
        <v>13.043500762289399</v>
      </c>
      <c r="N299">
        <v>54.052308127978598</v>
      </c>
      <c r="O299">
        <v>50.947558326687897</v>
      </c>
      <c r="P299">
        <v>-5.2121853099986501E-2</v>
      </c>
      <c r="Q299">
        <v>0.18579583601746499</v>
      </c>
      <c r="R299">
        <v>0.99116163378968003</v>
      </c>
      <c r="S299" t="s">
        <v>3928</v>
      </c>
      <c r="T299" t="s">
        <v>7256</v>
      </c>
      <c r="U299" t="s">
        <v>7256</v>
      </c>
      <c r="V299" t="s">
        <v>7256</v>
      </c>
      <c r="W299">
        <v>3</v>
      </c>
      <c r="X299" t="s">
        <v>7555</v>
      </c>
      <c r="Y299">
        <v>0.53707522776589378</v>
      </c>
      <c r="Z299" t="str">
        <f>HYPERLINK("Melting_Curves/meltCurve_sp_O95232_LC7L3_HUMAN_.pdf", "Melting_Curves/meltCurve_sp_O95232_LC7L3_HUMAN_.pdf")</f>
        <v>Melting_Curves/meltCurve_sp_O95232_LC7L3_HUMAN_.pdf</v>
      </c>
      <c r="AA299" t="s">
        <v>11179</v>
      </c>
      <c r="AB299" t="s">
        <v>14725</v>
      </c>
    </row>
    <row r="300" spans="1:28" x14ac:dyDescent="0.25">
      <c r="A300" t="s">
        <v>304</v>
      </c>
      <c r="B300">
        <v>0.98018197421672304</v>
      </c>
      <c r="C300">
        <v>1.3501100014551699</v>
      </c>
      <c r="D300">
        <v>1.3485311723079401</v>
      </c>
      <c r="E300">
        <v>1.1050312226577601</v>
      </c>
      <c r="F300">
        <v>1.3438674583194601</v>
      </c>
      <c r="G300">
        <v>1.06683611622528</v>
      </c>
      <c r="H300">
        <v>0.80290780539229301</v>
      </c>
      <c r="I300">
        <v>0.81372233623521395</v>
      </c>
      <c r="J300">
        <v>1.06746656542136</v>
      </c>
      <c r="K300">
        <v>1.2781146935249099</v>
      </c>
      <c r="L300">
        <v>15000</v>
      </c>
      <c r="M300">
        <v>222.74158090024099</v>
      </c>
      <c r="O300">
        <v>67.337184035477506</v>
      </c>
      <c r="P300">
        <v>0.23004005402406399</v>
      </c>
      <c r="Q300">
        <v>1.2781743642736401</v>
      </c>
      <c r="R300">
        <v>-0.12984079106152099</v>
      </c>
      <c r="S300" t="s">
        <v>3929</v>
      </c>
      <c r="T300" t="s">
        <v>7256</v>
      </c>
      <c r="U300" t="s">
        <v>7256</v>
      </c>
      <c r="V300" t="s">
        <v>7256</v>
      </c>
      <c r="W300">
        <v>1</v>
      </c>
      <c r="X300" t="s">
        <v>7556</v>
      </c>
      <c r="Y300">
        <v>1.024599800797273</v>
      </c>
      <c r="Z300" t="str">
        <f>HYPERLINK("Melting_Curves/meltCurve_sp_O95251_2_KAT7_HUMAN_.pdf", "Melting_Curves/meltCurve_sp_O95251_2_KAT7_HUMAN_.pdf")</f>
        <v>Melting_Curves/meltCurve_sp_O95251_2_KAT7_HUMAN_.pdf</v>
      </c>
      <c r="AA300" t="s">
        <v>11180</v>
      </c>
      <c r="AB300" t="s">
        <v>14726</v>
      </c>
    </row>
    <row r="301" spans="1:28" x14ac:dyDescent="0.25">
      <c r="A301" t="s">
        <v>305</v>
      </c>
      <c r="B301">
        <v>0.98018197421672304</v>
      </c>
      <c r="C301">
        <v>0.86521130187428497</v>
      </c>
      <c r="D301">
        <v>0.68945009179288297</v>
      </c>
      <c r="E301">
        <v>0.59040622926846598</v>
      </c>
      <c r="F301">
        <v>0.49896235243114101</v>
      </c>
      <c r="G301">
        <v>0.31695470858971703</v>
      </c>
      <c r="H301">
        <v>0.145769210414082</v>
      </c>
      <c r="I301">
        <v>0.135408196305389</v>
      </c>
      <c r="J301">
        <v>0.13563435902587301</v>
      </c>
      <c r="K301">
        <v>0.14701849312258899</v>
      </c>
      <c r="L301">
        <v>480.28638605820601</v>
      </c>
      <c r="M301">
        <v>9.3581189579385207</v>
      </c>
      <c r="N301">
        <v>51.6843079051771</v>
      </c>
      <c r="O301">
        <v>49.142907958597398</v>
      </c>
      <c r="P301">
        <v>-4.6128114867717299E-2</v>
      </c>
      <c r="Q301">
        <v>3.1664108520455203E-2</v>
      </c>
      <c r="R301">
        <v>0.982534823849883</v>
      </c>
      <c r="S301" t="s">
        <v>3930</v>
      </c>
      <c r="T301" t="s">
        <v>7256</v>
      </c>
      <c r="U301" t="s">
        <v>7256</v>
      </c>
      <c r="V301" t="s">
        <v>7256</v>
      </c>
      <c r="W301">
        <v>1</v>
      </c>
      <c r="X301" t="s">
        <v>7557</v>
      </c>
      <c r="Y301">
        <v>0.43940769497177978</v>
      </c>
      <c r="Z301" t="str">
        <f>HYPERLINK("Melting_Curves/meltCurve_sp_O95278_7_EPM2A_HUMAN_.pdf", "Melting_Curves/meltCurve_sp_O95278_7_EPM2A_HUMAN_.pdf")</f>
        <v>Melting_Curves/meltCurve_sp_O95278_7_EPM2A_HUMAN_.pdf</v>
      </c>
      <c r="AA301" t="s">
        <v>11181</v>
      </c>
      <c r="AB301" t="s">
        <v>14727</v>
      </c>
    </row>
    <row r="302" spans="1:28" x14ac:dyDescent="0.25">
      <c r="A302" t="s">
        <v>306</v>
      </c>
      <c r="B302">
        <v>0.98018197421672304</v>
      </c>
      <c r="C302">
        <v>0.88958553158262799</v>
      </c>
      <c r="D302">
        <v>0.86508536834101002</v>
      </c>
      <c r="E302">
        <v>0.71033568919533996</v>
      </c>
      <c r="F302">
        <v>0.68030996404909905</v>
      </c>
      <c r="G302">
        <v>0.54627762262573798</v>
      </c>
      <c r="H302">
        <v>0.44328522818912097</v>
      </c>
      <c r="I302">
        <v>0.45895086122855799</v>
      </c>
      <c r="J302">
        <v>0.51268600376905604</v>
      </c>
      <c r="K302">
        <v>0.62502612209734498</v>
      </c>
      <c r="L302">
        <v>661.51337326757698</v>
      </c>
      <c r="M302">
        <v>13.522793487123799</v>
      </c>
      <c r="O302">
        <v>47.885820851395799</v>
      </c>
      <c r="P302">
        <v>-3.5422026540976502E-2</v>
      </c>
      <c r="Q302">
        <v>0.49834178249910199</v>
      </c>
      <c r="R302">
        <v>0.90609288756492301</v>
      </c>
      <c r="S302" t="s">
        <v>3931</v>
      </c>
      <c r="T302" t="s">
        <v>7256</v>
      </c>
      <c r="U302" t="s">
        <v>7256</v>
      </c>
      <c r="V302" t="s">
        <v>7256</v>
      </c>
      <c r="W302">
        <v>10</v>
      </c>
      <c r="X302" t="s">
        <v>7558</v>
      </c>
      <c r="Y302">
        <v>0.66251436868043101</v>
      </c>
      <c r="Z302" t="str">
        <f>HYPERLINK("Melting_Curves/meltCurve_sp_O95292_VAPB_HUMAN_.pdf", "Melting_Curves/meltCurve_sp_O95292_VAPB_HUMAN_.pdf")</f>
        <v>Melting_Curves/meltCurve_sp_O95292_VAPB_HUMAN_.pdf</v>
      </c>
      <c r="AA302" t="s">
        <v>11182</v>
      </c>
      <c r="AB302" t="s">
        <v>14728</v>
      </c>
    </row>
    <row r="303" spans="1:28" x14ac:dyDescent="0.25">
      <c r="A303" t="s">
        <v>307</v>
      </c>
      <c r="B303">
        <v>0.98018197421672304</v>
      </c>
      <c r="C303">
        <v>0.97254759641323196</v>
      </c>
      <c r="D303">
        <v>0.80391173250237302</v>
      </c>
      <c r="E303">
        <v>0.67948981998726599</v>
      </c>
      <c r="F303">
        <v>0.44843010466719602</v>
      </c>
      <c r="G303">
        <v>0.25026603627509098</v>
      </c>
      <c r="H303">
        <v>0.156637235440034</v>
      </c>
      <c r="I303">
        <v>0.133358682867252</v>
      </c>
      <c r="J303">
        <v>0.1226070572651</v>
      </c>
      <c r="K303">
        <v>0.11954904956866701</v>
      </c>
      <c r="L303">
        <v>738.07292713556899</v>
      </c>
      <c r="M303">
        <v>14.336969280952101</v>
      </c>
      <c r="N303">
        <v>52.1490946641158</v>
      </c>
      <c r="O303">
        <v>50.5099117193719</v>
      </c>
      <c r="P303">
        <v>-6.5010757026291902E-2</v>
      </c>
      <c r="Q303">
        <v>8.3964927011587295E-2</v>
      </c>
      <c r="R303">
        <v>0.99475838500295899</v>
      </c>
      <c r="S303" t="s">
        <v>3932</v>
      </c>
      <c r="T303" t="s">
        <v>7256</v>
      </c>
      <c r="U303" t="s">
        <v>7256</v>
      </c>
      <c r="V303" t="s">
        <v>7256</v>
      </c>
      <c r="W303">
        <v>4</v>
      </c>
      <c r="X303" t="s">
        <v>7559</v>
      </c>
      <c r="Y303">
        <v>0.45688968430801452</v>
      </c>
      <c r="Z303" t="str">
        <f>HYPERLINK("Melting_Curves/meltCurve_sp_O95295_SNAPN_HUMAN_.pdf", "Melting_Curves/meltCurve_sp_O95295_SNAPN_HUMAN_.pdf")</f>
        <v>Melting_Curves/meltCurve_sp_O95295_SNAPN_HUMAN_.pdf</v>
      </c>
      <c r="AA303" t="s">
        <v>11183</v>
      </c>
      <c r="AB303" t="s">
        <v>14729</v>
      </c>
    </row>
    <row r="304" spans="1:28" x14ac:dyDescent="0.25">
      <c r="A304" t="s">
        <v>308</v>
      </c>
      <c r="B304">
        <v>0.98018197421672304</v>
      </c>
      <c r="C304">
        <v>1.0470120068520501</v>
      </c>
      <c r="D304">
        <v>0.97662859129165402</v>
      </c>
      <c r="E304">
        <v>0.84015253159034597</v>
      </c>
      <c r="F304">
        <v>0.85015000695080101</v>
      </c>
      <c r="G304">
        <v>0.71329786584684995</v>
      </c>
      <c r="H304">
        <v>0.43801720934292998</v>
      </c>
      <c r="I304">
        <v>0.25660952841088402</v>
      </c>
      <c r="J304">
        <v>0.175297315908513</v>
      </c>
      <c r="K304">
        <v>9.7852604816661901E-2</v>
      </c>
      <c r="L304">
        <v>836.52440035605503</v>
      </c>
      <c r="M304">
        <v>14.002741014819501</v>
      </c>
      <c r="N304">
        <v>59.740046755878801</v>
      </c>
      <c r="O304">
        <v>58.561240561806997</v>
      </c>
      <c r="P304">
        <v>-5.97861226987845E-2</v>
      </c>
      <c r="Q304">
        <v>0</v>
      </c>
      <c r="R304">
        <v>0.986106610049726</v>
      </c>
      <c r="S304" t="s">
        <v>3933</v>
      </c>
      <c r="T304" t="s">
        <v>7256</v>
      </c>
      <c r="U304" t="s">
        <v>7256</v>
      </c>
      <c r="V304" t="s">
        <v>7256</v>
      </c>
      <c r="W304">
        <v>10</v>
      </c>
      <c r="X304" t="s">
        <v>7560</v>
      </c>
      <c r="Y304">
        <v>0.66500346030324708</v>
      </c>
      <c r="Z304" t="str">
        <f>HYPERLINK("Melting_Curves/meltCurve_sp_O95336_6PGL_HUMAN_.pdf", "Melting_Curves/meltCurve_sp_O95336_6PGL_HUMAN_.pdf")</f>
        <v>Melting_Curves/meltCurve_sp_O95336_6PGL_HUMAN_.pdf</v>
      </c>
      <c r="AA304" t="s">
        <v>11184</v>
      </c>
      <c r="AB304" t="s">
        <v>14730</v>
      </c>
    </row>
    <row r="305" spans="1:28" x14ac:dyDescent="0.25">
      <c r="A305" t="s">
        <v>309</v>
      </c>
      <c r="B305">
        <v>0.98018197421672304</v>
      </c>
      <c r="C305">
        <v>0.79599845394410196</v>
      </c>
      <c r="D305">
        <v>0.51496597045564396</v>
      </c>
      <c r="E305">
        <v>0.219988078087102</v>
      </c>
      <c r="F305">
        <v>0.119430668239995</v>
      </c>
      <c r="G305">
        <v>7.9525674663496596E-2</v>
      </c>
      <c r="H305">
        <v>6.20323848189413E-2</v>
      </c>
      <c r="I305">
        <v>4.5785194717108499E-2</v>
      </c>
      <c r="J305">
        <v>0.140459750032919</v>
      </c>
      <c r="K305">
        <v>4.4785973412324799E-2</v>
      </c>
      <c r="L305">
        <v>931.24032974800605</v>
      </c>
      <c r="M305">
        <v>20.338754977309002</v>
      </c>
      <c r="N305">
        <v>46.125484768289901</v>
      </c>
      <c r="O305">
        <v>45.350772061386003</v>
      </c>
      <c r="P305">
        <v>-0.10433930067930999</v>
      </c>
      <c r="Q305">
        <v>6.94174457176093E-2</v>
      </c>
      <c r="R305">
        <v>0.99292766959208001</v>
      </c>
      <c r="S305" t="s">
        <v>3934</v>
      </c>
      <c r="T305" t="s">
        <v>7256</v>
      </c>
      <c r="U305" t="s">
        <v>7256</v>
      </c>
      <c r="V305" t="s">
        <v>7256</v>
      </c>
      <c r="W305">
        <v>23</v>
      </c>
      <c r="X305" t="s">
        <v>7561</v>
      </c>
      <c r="Y305">
        <v>0.26297257570769811</v>
      </c>
      <c r="Z305" t="str">
        <f>HYPERLINK("Melting_Curves/meltCurve_sp_O95340_PAPS2_HUMAN_.pdf", "Melting_Curves/meltCurve_sp_O95340_PAPS2_HUMAN_.pdf")</f>
        <v>Melting_Curves/meltCurve_sp_O95340_PAPS2_HUMAN_.pdf</v>
      </c>
      <c r="AA305" t="s">
        <v>11185</v>
      </c>
      <c r="AB305" t="s">
        <v>14731</v>
      </c>
    </row>
    <row r="306" spans="1:28" x14ac:dyDescent="0.25">
      <c r="A306" t="s">
        <v>310</v>
      </c>
      <c r="B306">
        <v>0.98018197421672304</v>
      </c>
      <c r="C306">
        <v>0.94896526803644599</v>
      </c>
      <c r="D306">
        <v>0.86567100531150598</v>
      </c>
      <c r="E306">
        <v>0.53568515923091797</v>
      </c>
      <c r="F306">
        <v>0.177930248552049</v>
      </c>
      <c r="G306">
        <v>0.11106008317192199</v>
      </c>
      <c r="H306">
        <v>6.0560793259927602E-2</v>
      </c>
      <c r="I306">
        <v>4.2122340582833998E-2</v>
      </c>
      <c r="J306">
        <v>5.5673004069691903E-2</v>
      </c>
      <c r="K306">
        <v>4.0411655203198997E-2</v>
      </c>
      <c r="L306">
        <v>1196.74961166444</v>
      </c>
      <c r="M306">
        <v>24.031163296559701</v>
      </c>
      <c r="N306">
        <v>49.994371478931001</v>
      </c>
      <c r="O306">
        <v>49.458897524609299</v>
      </c>
      <c r="P306">
        <v>-0.116052167536094</v>
      </c>
      <c r="Q306">
        <v>4.4620215688966097E-2</v>
      </c>
      <c r="R306">
        <v>0.99600840064629204</v>
      </c>
      <c r="S306" t="s">
        <v>3935</v>
      </c>
      <c r="T306" t="s">
        <v>7256</v>
      </c>
      <c r="U306" t="s">
        <v>7256</v>
      </c>
      <c r="V306" t="s">
        <v>7256</v>
      </c>
      <c r="W306">
        <v>9</v>
      </c>
      <c r="X306" t="s">
        <v>7562</v>
      </c>
      <c r="Y306">
        <v>0.365937311728249</v>
      </c>
      <c r="Z306" t="str">
        <f>HYPERLINK("Melting_Curves/meltCurve_sp_O95352_ATG7_HUMAN_.pdf", "Melting_Curves/meltCurve_sp_O95352_ATG7_HUMAN_.pdf")</f>
        <v>Melting_Curves/meltCurve_sp_O95352_ATG7_HUMAN_.pdf</v>
      </c>
      <c r="AA306" t="s">
        <v>11186</v>
      </c>
      <c r="AB306" t="s">
        <v>14732</v>
      </c>
    </row>
    <row r="307" spans="1:28" x14ac:dyDescent="0.25">
      <c r="A307" t="s">
        <v>311</v>
      </c>
      <c r="B307">
        <v>0.98018197421672304</v>
      </c>
      <c r="C307">
        <v>0.89718388577615604</v>
      </c>
      <c r="D307">
        <v>0.511528536894992</v>
      </c>
      <c r="E307">
        <v>0.17161427440202501</v>
      </c>
      <c r="F307">
        <v>9.8064860482551405E-2</v>
      </c>
      <c r="G307">
        <v>7.1179030106646293E-2</v>
      </c>
      <c r="H307">
        <v>4.94758898548927E-2</v>
      </c>
      <c r="I307">
        <v>3.70581290627034E-2</v>
      </c>
      <c r="J307">
        <v>5.8610492202810199E-2</v>
      </c>
      <c r="K307">
        <v>2.8408379203910501E-2</v>
      </c>
      <c r="L307">
        <v>1190.61491651795</v>
      </c>
      <c r="M307">
        <v>25.868562411162401</v>
      </c>
      <c r="N307">
        <v>46.219067179197701</v>
      </c>
      <c r="O307">
        <v>45.7531487974749</v>
      </c>
      <c r="P307">
        <v>-0.13409575753088501</v>
      </c>
      <c r="Q307">
        <v>5.1322451729627301E-2</v>
      </c>
      <c r="R307">
        <v>0.99820221121310504</v>
      </c>
      <c r="S307" t="s">
        <v>3936</v>
      </c>
      <c r="T307" t="s">
        <v>7256</v>
      </c>
      <c r="U307" t="s">
        <v>7256</v>
      </c>
      <c r="V307" t="s">
        <v>7256</v>
      </c>
      <c r="W307">
        <v>4</v>
      </c>
      <c r="X307" t="s">
        <v>7563</v>
      </c>
      <c r="Y307">
        <v>0.24995730388800369</v>
      </c>
      <c r="Z307" t="str">
        <f>HYPERLINK("Melting_Curves/meltCurve_sp_O95363_SYFM_HUMAN_.pdf", "Melting_Curves/meltCurve_sp_O95363_SYFM_HUMAN_.pdf")</f>
        <v>Melting_Curves/meltCurve_sp_O95363_SYFM_HUMAN_.pdf</v>
      </c>
      <c r="AA307" t="s">
        <v>11187</v>
      </c>
      <c r="AB307" t="s">
        <v>14733</v>
      </c>
    </row>
    <row r="308" spans="1:28" x14ac:dyDescent="0.25">
      <c r="A308" t="s">
        <v>312</v>
      </c>
      <c r="B308">
        <v>0.98018197421672304</v>
      </c>
      <c r="C308">
        <v>1.01259808708695</v>
      </c>
      <c r="D308">
        <v>0.88594285301407505</v>
      </c>
      <c r="E308">
        <v>0.74876524052325899</v>
      </c>
      <c r="F308">
        <v>0.62496921354534196</v>
      </c>
      <c r="G308">
        <v>0.30082855361618099</v>
      </c>
      <c r="H308">
        <v>8.9874061561784693E-2</v>
      </c>
      <c r="I308">
        <v>5.4467893313409899E-2</v>
      </c>
      <c r="J308">
        <v>8.8342928786689201E-2</v>
      </c>
      <c r="K308">
        <v>4.7664866748862403E-2</v>
      </c>
      <c r="L308">
        <v>856.62082536677497</v>
      </c>
      <c r="M308">
        <v>15.8906201680576</v>
      </c>
      <c r="N308">
        <v>53.947426039425899</v>
      </c>
      <c r="O308">
        <v>53.075271377</v>
      </c>
      <c r="P308">
        <v>-7.4415998591604707E-2</v>
      </c>
      <c r="Q308">
        <v>5.8711742115213003E-3</v>
      </c>
      <c r="R308">
        <v>0.99134824542609701</v>
      </c>
      <c r="S308" t="s">
        <v>3937</v>
      </c>
      <c r="T308" t="s">
        <v>7256</v>
      </c>
      <c r="U308" t="s">
        <v>7256</v>
      </c>
      <c r="V308" t="s">
        <v>7256</v>
      </c>
      <c r="W308">
        <v>6</v>
      </c>
      <c r="X308" t="s">
        <v>7564</v>
      </c>
      <c r="Y308">
        <v>0.48575056487841101</v>
      </c>
      <c r="Z308" t="str">
        <f>HYPERLINK("Melting_Curves/meltCurve_sp_O95372_LYPA2_HUMAN_.pdf", "Melting_Curves/meltCurve_sp_O95372_LYPA2_HUMAN_.pdf")</f>
        <v>Melting_Curves/meltCurve_sp_O95372_LYPA2_HUMAN_.pdf</v>
      </c>
      <c r="AA308" t="s">
        <v>11188</v>
      </c>
      <c r="AB308" t="s">
        <v>14734</v>
      </c>
    </row>
    <row r="309" spans="1:28" x14ac:dyDescent="0.25">
      <c r="A309" t="s">
        <v>313</v>
      </c>
      <c r="B309">
        <v>0.98018197421672304</v>
      </c>
      <c r="C309">
        <v>0.87725282771748803</v>
      </c>
      <c r="D309">
        <v>0.83114821095787805</v>
      </c>
      <c r="E309">
        <v>0.71220642966879999</v>
      </c>
      <c r="F309">
        <v>0.51367937506809402</v>
      </c>
      <c r="G309">
        <v>0.24883218289256401</v>
      </c>
      <c r="H309">
        <v>8.1907029418240698E-2</v>
      </c>
      <c r="I309">
        <v>6.1904912071922003E-2</v>
      </c>
      <c r="J309">
        <v>6.0922197806959399E-2</v>
      </c>
      <c r="K309">
        <v>3.9377630289102898E-2</v>
      </c>
      <c r="L309">
        <v>718.76752238013205</v>
      </c>
      <c r="M309">
        <v>13.651287702758401</v>
      </c>
      <c r="N309">
        <v>52.652008527251802</v>
      </c>
      <c r="O309">
        <v>51.560680177039799</v>
      </c>
      <c r="P309">
        <v>-6.6200038719295307E-2</v>
      </c>
      <c r="Q309">
        <v>0</v>
      </c>
      <c r="R309">
        <v>0.98887323058591603</v>
      </c>
      <c r="S309" t="s">
        <v>3938</v>
      </c>
      <c r="T309" t="s">
        <v>7256</v>
      </c>
      <c r="U309" t="s">
        <v>7256</v>
      </c>
      <c r="V309" t="s">
        <v>7256</v>
      </c>
      <c r="W309">
        <v>11</v>
      </c>
      <c r="X309" t="s">
        <v>7565</v>
      </c>
      <c r="Y309">
        <v>0.44660258710933359</v>
      </c>
      <c r="Z309" t="str">
        <f>HYPERLINK("Melting_Curves/meltCurve_sp_O95373_IPO7_HUMAN_.pdf", "Melting_Curves/meltCurve_sp_O95373_IPO7_HUMAN_.pdf")</f>
        <v>Melting_Curves/meltCurve_sp_O95373_IPO7_HUMAN_.pdf</v>
      </c>
      <c r="AA309" t="s">
        <v>11189</v>
      </c>
      <c r="AB309" t="s">
        <v>14735</v>
      </c>
    </row>
    <row r="310" spans="1:28" x14ac:dyDescent="0.25">
      <c r="A310" t="s">
        <v>314</v>
      </c>
      <c r="B310">
        <v>0.98018197421672304</v>
      </c>
      <c r="C310">
        <v>1.0152763902205899</v>
      </c>
      <c r="D310">
        <v>0.88700538771320503</v>
      </c>
      <c r="E310">
        <v>0.75740420360216398</v>
      </c>
      <c r="F310">
        <v>0.56409148707012802</v>
      </c>
      <c r="G310">
        <v>0.22516730539485499</v>
      </c>
      <c r="H310">
        <v>0.12637015668642201</v>
      </c>
      <c r="I310">
        <v>9.4818398575753707E-2</v>
      </c>
      <c r="J310">
        <v>0.115622219734639</v>
      </c>
      <c r="K310">
        <v>8.0322349579961594E-2</v>
      </c>
      <c r="L310">
        <v>980.93317534954303</v>
      </c>
      <c r="M310">
        <v>18.552099794005802</v>
      </c>
      <c r="N310">
        <v>53.291130274365798</v>
      </c>
      <c r="O310">
        <v>52.271655029715099</v>
      </c>
      <c r="P310">
        <v>-8.2743081834511706E-2</v>
      </c>
      <c r="Q310">
        <v>6.7506438240735697E-2</v>
      </c>
      <c r="R310">
        <v>0.99398817898126801</v>
      </c>
      <c r="S310" t="s">
        <v>3939</v>
      </c>
      <c r="T310" t="s">
        <v>7256</v>
      </c>
      <c r="U310" t="s">
        <v>7256</v>
      </c>
      <c r="V310" t="s">
        <v>7256</v>
      </c>
      <c r="W310">
        <v>2</v>
      </c>
      <c r="X310" t="s">
        <v>7566</v>
      </c>
      <c r="Y310">
        <v>0.48225519599310118</v>
      </c>
      <c r="Z310" t="str">
        <f>HYPERLINK("Melting_Curves/meltCurve_sp_O95376_ARI2_HUMAN_.pdf", "Melting_Curves/meltCurve_sp_O95376_ARI2_HUMAN_.pdf")</f>
        <v>Melting_Curves/meltCurve_sp_O95376_ARI2_HUMAN_.pdf</v>
      </c>
      <c r="AA310" t="s">
        <v>11190</v>
      </c>
      <c r="AB310" t="s">
        <v>14736</v>
      </c>
    </row>
    <row r="311" spans="1:28" x14ac:dyDescent="0.25">
      <c r="A311" t="s">
        <v>315</v>
      </c>
      <c r="B311">
        <v>0.98018197421672304</v>
      </c>
      <c r="C311">
        <v>0.96756785228090503</v>
      </c>
      <c r="D311">
        <v>0.94193572397936298</v>
      </c>
      <c r="E311">
        <v>0.60223716553061302</v>
      </c>
      <c r="F311">
        <v>0.18845433511361001</v>
      </c>
      <c r="G311">
        <v>0.112137041590368</v>
      </c>
      <c r="H311">
        <v>6.8785367999578198E-2</v>
      </c>
      <c r="I311">
        <v>5.4033721426322498E-2</v>
      </c>
      <c r="J311">
        <v>7.4522796993077997E-2</v>
      </c>
      <c r="K311">
        <v>4.4987588762632501E-2</v>
      </c>
      <c r="L311">
        <v>1716.68611763637</v>
      </c>
      <c r="M311">
        <v>34.0855343531343</v>
      </c>
      <c r="N311">
        <v>50.567370309042303</v>
      </c>
      <c r="O311">
        <v>50.191658364661897</v>
      </c>
      <c r="P311">
        <v>-0.15890649646737301</v>
      </c>
      <c r="Q311">
        <v>6.4031182726241601E-2</v>
      </c>
      <c r="R311">
        <v>0.99752640035748597</v>
      </c>
      <c r="S311" t="s">
        <v>3940</v>
      </c>
      <c r="T311" t="s">
        <v>7256</v>
      </c>
      <c r="U311" t="s">
        <v>7256</v>
      </c>
      <c r="V311" t="s">
        <v>7256</v>
      </c>
      <c r="W311">
        <v>20</v>
      </c>
      <c r="X311" t="s">
        <v>7567</v>
      </c>
      <c r="Y311">
        <v>0.39188028003515452</v>
      </c>
      <c r="Z311" t="str">
        <f>HYPERLINK("Melting_Curves/meltCurve_sp_O95394_AGM1_HUMAN_.pdf", "Melting_Curves/meltCurve_sp_O95394_AGM1_HUMAN_.pdf")</f>
        <v>Melting_Curves/meltCurve_sp_O95394_AGM1_HUMAN_.pdf</v>
      </c>
      <c r="AA311" t="s">
        <v>11191</v>
      </c>
      <c r="AB311" t="s">
        <v>14737</v>
      </c>
    </row>
    <row r="312" spans="1:28" x14ac:dyDescent="0.25">
      <c r="A312" t="s">
        <v>316</v>
      </c>
      <c r="B312">
        <v>0.98018197421672304</v>
      </c>
      <c r="C312">
        <v>0.87174923463962395</v>
      </c>
      <c r="D312">
        <v>0.66708269184727498</v>
      </c>
      <c r="E312">
        <v>0.347842499839213</v>
      </c>
      <c r="F312">
        <v>0.177944014571042</v>
      </c>
      <c r="G312">
        <v>0.127074743343073</v>
      </c>
      <c r="H312">
        <v>9.0023247927717195E-2</v>
      </c>
      <c r="I312">
        <v>6.3786610403114993E-2</v>
      </c>
      <c r="J312">
        <v>0.11729452221898699</v>
      </c>
      <c r="K312">
        <v>7.4229079861028294E-2</v>
      </c>
      <c r="L312">
        <v>867.37615083411902</v>
      </c>
      <c r="M312">
        <v>18.2936129562944</v>
      </c>
      <c r="N312">
        <v>47.862326850975599</v>
      </c>
      <c r="O312">
        <v>46.858456097140298</v>
      </c>
      <c r="P312">
        <v>-8.9921923274471502E-2</v>
      </c>
      <c r="Q312">
        <v>7.8714835061851104E-2</v>
      </c>
      <c r="R312">
        <v>0.99779083057555595</v>
      </c>
      <c r="S312" t="s">
        <v>3941</v>
      </c>
      <c r="T312" t="s">
        <v>7256</v>
      </c>
      <c r="U312" t="s">
        <v>7256</v>
      </c>
      <c r="V312" t="s">
        <v>7256</v>
      </c>
      <c r="W312">
        <v>7</v>
      </c>
      <c r="X312" t="s">
        <v>7568</v>
      </c>
      <c r="Y312">
        <v>0.32251656626728109</v>
      </c>
      <c r="Z312" t="str">
        <f>HYPERLINK("Melting_Curves/meltCurve_sp_O95396_MOCS3_HUMAN_.pdf", "Melting_Curves/meltCurve_sp_O95396_MOCS3_HUMAN_.pdf")</f>
        <v>Melting_Curves/meltCurve_sp_O95396_MOCS3_HUMAN_.pdf</v>
      </c>
      <c r="AA312" t="s">
        <v>11192</v>
      </c>
      <c r="AB312" t="s">
        <v>14738</v>
      </c>
    </row>
    <row r="313" spans="1:28" x14ac:dyDescent="0.25">
      <c r="A313" t="s">
        <v>317</v>
      </c>
      <c r="B313">
        <v>0.98018197421672304</v>
      </c>
      <c r="C313">
        <v>0.88151151006127504</v>
      </c>
      <c r="D313">
        <v>0.90121734063116898</v>
      </c>
      <c r="E313">
        <v>0.74158908378430299</v>
      </c>
      <c r="F313">
        <v>0.52704276262160399</v>
      </c>
      <c r="G313">
        <v>0.29819649033506801</v>
      </c>
      <c r="H313">
        <v>0.19741668627233799</v>
      </c>
      <c r="I313">
        <v>0.116167162253055</v>
      </c>
      <c r="J313">
        <v>7.6105464516014604E-2</v>
      </c>
      <c r="K313">
        <v>6.0602091464276399E-2</v>
      </c>
      <c r="L313">
        <v>667.70227811183304</v>
      </c>
      <c r="M313">
        <v>12.470095871198</v>
      </c>
      <c r="N313">
        <v>53.582181920590401</v>
      </c>
      <c r="O313">
        <v>52.223240961130998</v>
      </c>
      <c r="P313">
        <v>-5.9446298711105398E-2</v>
      </c>
      <c r="Q313">
        <v>4.3914012611610403E-3</v>
      </c>
      <c r="R313">
        <v>0.99363048020012601</v>
      </c>
      <c r="S313" t="s">
        <v>3942</v>
      </c>
      <c r="T313" t="s">
        <v>7256</v>
      </c>
      <c r="U313" t="s">
        <v>7256</v>
      </c>
      <c r="V313" t="s">
        <v>7256</v>
      </c>
      <c r="W313">
        <v>1</v>
      </c>
      <c r="X313" t="s">
        <v>7569</v>
      </c>
      <c r="Y313">
        <v>0.47992600545543868</v>
      </c>
      <c r="Z313" t="str">
        <f>HYPERLINK("Melting_Curves/meltCurve_sp_O95399_UTS2_HUMAN_.pdf", "Melting_Curves/meltCurve_sp_O95399_UTS2_HUMAN_.pdf")</f>
        <v>Melting_Curves/meltCurve_sp_O95399_UTS2_HUMAN_.pdf</v>
      </c>
      <c r="AA313" t="s">
        <v>11193</v>
      </c>
      <c r="AB313" t="s">
        <v>14739</v>
      </c>
    </row>
    <row r="314" spans="1:28" x14ac:dyDescent="0.25">
      <c r="A314" t="s">
        <v>318</v>
      </c>
      <c r="B314">
        <v>0.98018197421672304</v>
      </c>
      <c r="C314">
        <v>0.81583629989217699</v>
      </c>
      <c r="D314">
        <v>0.80597172379977899</v>
      </c>
      <c r="E314">
        <v>0.64374002678265396</v>
      </c>
      <c r="F314">
        <v>0.46259310422764499</v>
      </c>
      <c r="G314">
        <v>0.32028218087636501</v>
      </c>
      <c r="H314">
        <v>0.242437378135159</v>
      </c>
      <c r="I314">
        <v>0.22586590412933599</v>
      </c>
      <c r="J314">
        <v>0.225298080360813</v>
      </c>
      <c r="K314">
        <v>0.286932413708055</v>
      </c>
      <c r="L314">
        <v>592.496847096843</v>
      </c>
      <c r="M314">
        <v>11.859626899110699</v>
      </c>
      <c r="N314">
        <v>52.124835358223599</v>
      </c>
      <c r="O314">
        <v>48.602238263428703</v>
      </c>
      <c r="P314">
        <v>-4.9149155278790803E-2</v>
      </c>
      <c r="Q314">
        <v>0.19452598010639</v>
      </c>
      <c r="R314">
        <v>0.97680232293089797</v>
      </c>
      <c r="S314" t="s">
        <v>3943</v>
      </c>
      <c r="T314" t="s">
        <v>7256</v>
      </c>
      <c r="U314" t="s">
        <v>7256</v>
      </c>
      <c r="V314" t="s">
        <v>7256</v>
      </c>
      <c r="W314">
        <v>2</v>
      </c>
      <c r="X314" t="s">
        <v>7570</v>
      </c>
      <c r="Y314">
        <v>0.49038794323084761</v>
      </c>
      <c r="Z314" t="str">
        <f>HYPERLINK("Melting_Curves/meltCurve_sp_O95425_2_SVIL_HUMAN_.pdf", "Melting_Curves/meltCurve_sp_O95425_2_SVIL_HUMAN_.pdf")</f>
        <v>Melting_Curves/meltCurve_sp_O95425_2_SVIL_HUMAN_.pdf</v>
      </c>
      <c r="AA314" t="s">
        <v>11194</v>
      </c>
      <c r="AB314" t="s">
        <v>14740</v>
      </c>
    </row>
    <row r="315" spans="1:28" x14ac:dyDescent="0.25">
      <c r="A315" t="s">
        <v>319</v>
      </c>
      <c r="B315">
        <v>0.98018197421672304</v>
      </c>
      <c r="C315">
        <v>0.94425888421262905</v>
      </c>
      <c r="D315">
        <v>0.95379183223895503</v>
      </c>
      <c r="E315">
        <v>0.84327594249119198</v>
      </c>
      <c r="F315">
        <v>0.73490539965627</v>
      </c>
      <c r="G315">
        <v>0.39413671379727899</v>
      </c>
      <c r="H315">
        <v>0.42200875288322898</v>
      </c>
      <c r="I315">
        <v>0.53936338987599797</v>
      </c>
      <c r="J315">
        <v>0.55800089023138399</v>
      </c>
      <c r="K315">
        <v>0.69588710297970502</v>
      </c>
      <c r="L315">
        <v>1693.2979077872899</v>
      </c>
      <c r="M315">
        <v>32.809564194840902</v>
      </c>
      <c r="O315">
        <v>51.419291541891397</v>
      </c>
      <c r="P315">
        <v>-7.5607919220166506E-2</v>
      </c>
      <c r="Q315">
        <v>0.52602992471951804</v>
      </c>
      <c r="R315">
        <v>0.82915591592079296</v>
      </c>
      <c r="S315" t="s">
        <v>3944</v>
      </c>
      <c r="T315" t="s">
        <v>7256</v>
      </c>
      <c r="U315" t="s">
        <v>7256</v>
      </c>
      <c r="V315" t="s">
        <v>7256</v>
      </c>
      <c r="W315">
        <v>1</v>
      </c>
      <c r="X315" t="s">
        <v>7571</v>
      </c>
      <c r="Y315">
        <v>0.71197149036209617</v>
      </c>
      <c r="Z315" t="str">
        <f>HYPERLINK("Melting_Curves/meltCurve_sp_O95429_2_BAG4_HUMAN_.pdf", "Melting_Curves/meltCurve_sp_O95429_2_BAG4_HUMAN_.pdf")</f>
        <v>Melting_Curves/meltCurve_sp_O95429_2_BAG4_HUMAN_.pdf</v>
      </c>
      <c r="AA315" t="s">
        <v>11195</v>
      </c>
      <c r="AB315" t="s">
        <v>14741</v>
      </c>
    </row>
    <row r="316" spans="1:28" x14ac:dyDescent="0.25">
      <c r="A316" t="s">
        <v>320</v>
      </c>
      <c r="B316">
        <v>0.98018197421672304</v>
      </c>
      <c r="C316">
        <v>0.96850305454147201</v>
      </c>
      <c r="D316">
        <v>0.89520417727557</v>
      </c>
      <c r="E316">
        <v>0.72843370801989804</v>
      </c>
      <c r="F316">
        <v>0.61547098633875297</v>
      </c>
      <c r="G316">
        <v>0.221450055456196</v>
      </c>
      <c r="H316">
        <v>7.6992516496546398E-2</v>
      </c>
      <c r="I316">
        <v>5.4606882280219503E-2</v>
      </c>
      <c r="J316">
        <v>5.8979087934383098E-2</v>
      </c>
      <c r="K316">
        <v>4.81171752804384E-2</v>
      </c>
      <c r="L316">
        <v>906.15441905438195</v>
      </c>
      <c r="M316">
        <v>16.962204811590201</v>
      </c>
      <c r="N316">
        <v>53.461812964534097</v>
      </c>
      <c r="O316">
        <v>52.696029458828598</v>
      </c>
      <c r="P316">
        <v>-7.9971532228496095E-2</v>
      </c>
      <c r="Q316">
        <v>6.280221019786E-3</v>
      </c>
      <c r="R316">
        <v>0.99075860819138595</v>
      </c>
      <c r="S316" t="s">
        <v>3945</v>
      </c>
      <c r="T316" t="s">
        <v>7256</v>
      </c>
      <c r="U316" t="s">
        <v>7256</v>
      </c>
      <c r="V316" t="s">
        <v>7256</v>
      </c>
      <c r="W316">
        <v>9</v>
      </c>
      <c r="X316" t="s">
        <v>7572</v>
      </c>
      <c r="Y316">
        <v>0.46852204043521251</v>
      </c>
      <c r="Z316" t="str">
        <f>HYPERLINK("Melting_Curves/meltCurve_sp_O95433_AHSA1_HUMAN_.pdf", "Melting_Curves/meltCurve_sp_O95433_AHSA1_HUMAN_.pdf")</f>
        <v>Melting_Curves/meltCurve_sp_O95433_AHSA1_HUMAN_.pdf</v>
      </c>
      <c r="AA316" t="s">
        <v>11196</v>
      </c>
      <c r="AB316" t="s">
        <v>14742</v>
      </c>
    </row>
    <row r="317" spans="1:28" x14ac:dyDescent="0.25">
      <c r="A317" t="s">
        <v>321</v>
      </c>
      <c r="B317">
        <v>0.98018197421672304</v>
      </c>
      <c r="C317">
        <v>0.91131944372039397</v>
      </c>
      <c r="D317">
        <v>0.86827782290891597</v>
      </c>
      <c r="E317">
        <v>0.76225194192463097</v>
      </c>
      <c r="F317">
        <v>0.598858602539318</v>
      </c>
      <c r="G317">
        <v>0.43079621912902299</v>
      </c>
      <c r="H317">
        <v>0.26190503803815302</v>
      </c>
      <c r="I317">
        <v>0.142041665231013</v>
      </c>
      <c r="J317">
        <v>7.5017686457855906E-2</v>
      </c>
      <c r="K317">
        <v>6.7485117968331093E-2</v>
      </c>
      <c r="L317">
        <v>617.76220266843404</v>
      </c>
      <c r="M317">
        <v>11.254649359086899</v>
      </c>
      <c r="N317">
        <v>54.889511237467701</v>
      </c>
      <c r="O317">
        <v>53.242197857001599</v>
      </c>
      <c r="P317">
        <v>-5.2862796536693901E-2</v>
      </c>
      <c r="Q317">
        <v>0</v>
      </c>
      <c r="R317">
        <v>0.99384390695477198</v>
      </c>
      <c r="S317" t="s">
        <v>3946</v>
      </c>
      <c r="T317" t="s">
        <v>7256</v>
      </c>
      <c r="U317" t="s">
        <v>7256</v>
      </c>
      <c r="V317" t="s">
        <v>7256</v>
      </c>
      <c r="W317">
        <v>4</v>
      </c>
      <c r="X317" t="s">
        <v>7573</v>
      </c>
      <c r="Y317">
        <v>0.52111778711352463</v>
      </c>
      <c r="Z317" t="str">
        <f>HYPERLINK("Melting_Curves/meltCurve_sp_O95456_2_PSMG1_HUMAN_.pdf", "Melting_Curves/meltCurve_sp_O95456_2_PSMG1_HUMAN_.pdf")</f>
        <v>Melting_Curves/meltCurve_sp_O95456_2_PSMG1_HUMAN_.pdf</v>
      </c>
      <c r="AA317" t="s">
        <v>11197</v>
      </c>
      <c r="AB317" t="s">
        <v>14743</v>
      </c>
    </row>
    <row r="318" spans="1:28" x14ac:dyDescent="0.25">
      <c r="A318" t="s">
        <v>322</v>
      </c>
      <c r="B318">
        <v>0.98018197421672304</v>
      </c>
      <c r="C318">
        <v>0.99440033806308303</v>
      </c>
      <c r="D318">
        <v>0.92562700675165899</v>
      </c>
      <c r="E318">
        <v>0.69756746079408904</v>
      </c>
      <c r="F318">
        <v>0.229722644120637</v>
      </c>
      <c r="G318">
        <v>0.10865485979727001</v>
      </c>
      <c r="H318">
        <v>6.8569416242397804E-2</v>
      </c>
      <c r="I318">
        <v>5.4583843390625497E-2</v>
      </c>
      <c r="J318">
        <v>6.0918844964511602E-2</v>
      </c>
      <c r="K318">
        <v>4.28577330597711E-2</v>
      </c>
      <c r="L318">
        <v>1805.68164804036</v>
      </c>
      <c r="M318">
        <v>35.446267778067799</v>
      </c>
      <c r="N318">
        <v>51.1250020962798</v>
      </c>
      <c r="O318">
        <v>50.780057907586603</v>
      </c>
      <c r="P318">
        <v>-0.16407880859694199</v>
      </c>
      <c r="Q318">
        <v>5.9770933142304999E-2</v>
      </c>
      <c r="R318">
        <v>0.99688862885569296</v>
      </c>
      <c r="S318" t="s">
        <v>3947</v>
      </c>
      <c r="T318" t="s">
        <v>7256</v>
      </c>
      <c r="U318" t="s">
        <v>7256</v>
      </c>
      <c r="V318" t="s">
        <v>7256</v>
      </c>
      <c r="W318">
        <v>26</v>
      </c>
      <c r="X318" t="s">
        <v>7574</v>
      </c>
      <c r="Y318">
        <v>0.406907529558653</v>
      </c>
      <c r="Z318" t="str">
        <f>HYPERLINK("Melting_Curves/meltCurve_sp_O95479_G6PE_HUMAN_.pdf", "Melting_Curves/meltCurve_sp_O95479_G6PE_HUMAN_.pdf")</f>
        <v>Melting_Curves/meltCurve_sp_O95479_G6PE_HUMAN_.pdf</v>
      </c>
      <c r="AA318" t="s">
        <v>11198</v>
      </c>
      <c r="AB318" t="s">
        <v>14744</v>
      </c>
    </row>
    <row r="319" spans="1:28" x14ac:dyDescent="0.25">
      <c r="A319" t="s">
        <v>323</v>
      </c>
      <c r="B319">
        <v>0.98018197421672304</v>
      </c>
      <c r="C319">
        <v>0.99037706750889498</v>
      </c>
      <c r="D319">
        <v>0.84674512169445004</v>
      </c>
      <c r="E319">
        <v>0.55061923937805801</v>
      </c>
      <c r="F319">
        <v>0.16396646413996899</v>
      </c>
      <c r="G319">
        <v>0.115672347756875</v>
      </c>
      <c r="H319">
        <v>6.0418389392558197E-2</v>
      </c>
      <c r="I319">
        <v>3.1181671106902599E-2</v>
      </c>
      <c r="J319">
        <v>7.2944321089278494E-2</v>
      </c>
      <c r="K319">
        <v>2.8573393446238701E-2</v>
      </c>
      <c r="L319">
        <v>1216.07255251334</v>
      </c>
      <c r="M319">
        <v>24.404821988721999</v>
      </c>
      <c r="N319">
        <v>50.017133031049902</v>
      </c>
      <c r="O319">
        <v>49.498241725918</v>
      </c>
      <c r="P319">
        <v>-0.117862551528855</v>
      </c>
      <c r="Q319">
        <v>4.3811526175858297E-2</v>
      </c>
      <c r="R319">
        <v>0.993277382093397</v>
      </c>
      <c r="S319" t="s">
        <v>3948</v>
      </c>
      <c r="T319" t="s">
        <v>7256</v>
      </c>
      <c r="U319" t="s">
        <v>7256</v>
      </c>
      <c r="V319" t="s">
        <v>7256</v>
      </c>
      <c r="W319">
        <v>10</v>
      </c>
      <c r="X319" t="s">
        <v>7575</v>
      </c>
      <c r="Y319">
        <v>0.36605343973136251</v>
      </c>
      <c r="Z319" t="str">
        <f>HYPERLINK("Melting_Curves/meltCurve_sp_O95486_SC24A_HUMAN_.pdf", "Melting_Curves/meltCurve_sp_O95486_SC24A_HUMAN_.pdf")</f>
        <v>Melting_Curves/meltCurve_sp_O95486_SC24A_HUMAN_.pdf</v>
      </c>
      <c r="AA319" t="s">
        <v>11199</v>
      </c>
      <c r="AB319" t="s">
        <v>14745</v>
      </c>
    </row>
    <row r="320" spans="1:28" x14ac:dyDescent="0.25">
      <c r="A320" t="s">
        <v>324</v>
      </c>
      <c r="B320">
        <v>0.98018197421672304</v>
      </c>
      <c r="C320">
        <v>0.87508734669601396</v>
      </c>
      <c r="D320">
        <v>0.76627462709534899</v>
      </c>
      <c r="E320">
        <v>0.42708468099060598</v>
      </c>
      <c r="F320">
        <v>0.21907360902567199</v>
      </c>
      <c r="G320">
        <v>0.16474817684301399</v>
      </c>
      <c r="H320">
        <v>0.12395080744695799</v>
      </c>
      <c r="I320">
        <v>8.9568995791102501E-2</v>
      </c>
      <c r="J320">
        <v>0.120311659742729</v>
      </c>
      <c r="K320">
        <v>0.109481420688017</v>
      </c>
      <c r="L320">
        <v>878.77735636414297</v>
      </c>
      <c r="M320">
        <v>18.187387770173601</v>
      </c>
      <c r="N320">
        <v>48.9167405226992</v>
      </c>
      <c r="O320">
        <v>47.745173476934603</v>
      </c>
      <c r="P320">
        <v>-8.5731995417200002E-2</v>
      </c>
      <c r="Q320">
        <v>9.9794832483506707E-2</v>
      </c>
      <c r="R320">
        <v>0.99616059473840002</v>
      </c>
      <c r="S320" t="s">
        <v>3949</v>
      </c>
      <c r="T320" t="s">
        <v>7256</v>
      </c>
      <c r="U320" t="s">
        <v>7256</v>
      </c>
      <c r="V320" t="s">
        <v>7256</v>
      </c>
      <c r="W320">
        <v>8</v>
      </c>
      <c r="X320" t="s">
        <v>7576</v>
      </c>
      <c r="Y320">
        <v>0.36488591854189178</v>
      </c>
      <c r="Z320" t="str">
        <f>HYPERLINK("Melting_Curves/meltCurve_sp_O95487_2_SC24B_HUMAN_.pdf", "Melting_Curves/meltCurve_sp_O95487_2_SC24B_HUMAN_.pdf")</f>
        <v>Melting_Curves/meltCurve_sp_O95487_2_SC24B_HUMAN_.pdf</v>
      </c>
      <c r="AA320" t="s">
        <v>11200</v>
      </c>
      <c r="AB320" t="s">
        <v>14746</v>
      </c>
    </row>
    <row r="321" spans="1:28" x14ac:dyDescent="0.25">
      <c r="A321" t="s">
        <v>325</v>
      </c>
      <c r="B321">
        <v>0.98018197421672304</v>
      </c>
      <c r="C321">
        <v>0.81707264900849097</v>
      </c>
      <c r="D321">
        <v>0.91681268655991199</v>
      </c>
      <c r="E321">
        <v>0.60175605792516196</v>
      </c>
      <c r="F321">
        <v>0.49517519307644903</v>
      </c>
      <c r="G321">
        <v>0.359532253425209</v>
      </c>
      <c r="H321">
        <v>0.286001631765749</v>
      </c>
      <c r="I321">
        <v>0.21234893878833999</v>
      </c>
      <c r="J321">
        <v>0.24214960902702501</v>
      </c>
      <c r="K321">
        <v>0.128828538360935</v>
      </c>
      <c r="L321">
        <v>544.94163050274801</v>
      </c>
      <c r="M321">
        <v>10.5303297724752</v>
      </c>
      <c r="N321">
        <v>53.127501433423703</v>
      </c>
      <c r="O321">
        <v>49.987971830477797</v>
      </c>
      <c r="P321">
        <v>-4.63901210650891E-2</v>
      </c>
      <c r="Q321">
        <v>0.119486980783486</v>
      </c>
      <c r="R321">
        <v>0.97011869916891202</v>
      </c>
      <c r="S321" t="s">
        <v>3950</v>
      </c>
      <c r="T321" t="s">
        <v>7256</v>
      </c>
      <c r="U321" t="s">
        <v>7256</v>
      </c>
      <c r="V321" t="s">
        <v>7256</v>
      </c>
      <c r="W321">
        <v>1</v>
      </c>
      <c r="X321" t="s">
        <v>7577</v>
      </c>
      <c r="Y321">
        <v>0.49660491276899571</v>
      </c>
      <c r="Z321" t="str">
        <f>HYPERLINK("Melting_Curves/meltCurve_sp_O95497_VNN1_HUMAN_.pdf", "Melting_Curves/meltCurve_sp_O95497_VNN1_HUMAN_.pdf")</f>
        <v>Melting_Curves/meltCurve_sp_O95497_VNN1_HUMAN_.pdf</v>
      </c>
      <c r="AA321" t="s">
        <v>11201</v>
      </c>
      <c r="AB321" t="s">
        <v>14747</v>
      </c>
    </row>
    <row r="322" spans="1:28" x14ac:dyDescent="0.25">
      <c r="A322" t="s">
        <v>326</v>
      </c>
      <c r="B322">
        <v>0.98018197421672304</v>
      </c>
      <c r="C322">
        <v>0.99181274889229698</v>
      </c>
      <c r="D322">
        <v>0.84491296680032801</v>
      </c>
      <c r="E322">
        <v>0.73005939628612004</v>
      </c>
      <c r="F322">
        <v>0.52795802661262003</v>
      </c>
      <c r="G322">
        <v>0.41715032040407102</v>
      </c>
      <c r="H322">
        <v>0.32611996881504501</v>
      </c>
      <c r="I322">
        <v>0.31510168869854199</v>
      </c>
      <c r="J322">
        <v>0.26757720555783099</v>
      </c>
      <c r="K322">
        <v>0.23154921422168501</v>
      </c>
      <c r="L322">
        <v>678.38914471915405</v>
      </c>
      <c r="M322">
        <v>13.102225811314799</v>
      </c>
      <c r="N322">
        <v>54.342903478847497</v>
      </c>
      <c r="O322">
        <v>50.615050129318497</v>
      </c>
      <c r="P322">
        <v>-4.9794657314915398E-2</v>
      </c>
      <c r="Q322">
        <v>0.230687274341879</v>
      </c>
      <c r="R322">
        <v>0.99319992431397397</v>
      </c>
      <c r="S322" t="s">
        <v>3951</v>
      </c>
      <c r="T322" t="s">
        <v>7256</v>
      </c>
      <c r="U322" t="s">
        <v>7256</v>
      </c>
      <c r="V322" t="s">
        <v>7256</v>
      </c>
      <c r="W322">
        <v>4</v>
      </c>
      <c r="X322" t="s">
        <v>7578</v>
      </c>
      <c r="Y322">
        <v>0.55387561654272621</v>
      </c>
      <c r="Z322" t="str">
        <f>HYPERLINK("Melting_Curves/meltCurve_sp_O95544_NADK_HUMAN_.pdf", "Melting_Curves/meltCurve_sp_O95544_NADK_HUMAN_.pdf")</f>
        <v>Melting_Curves/meltCurve_sp_O95544_NADK_HUMAN_.pdf</v>
      </c>
      <c r="AA322" t="s">
        <v>11202</v>
      </c>
      <c r="AB322" t="s">
        <v>14748</v>
      </c>
    </row>
    <row r="323" spans="1:28" x14ac:dyDescent="0.25">
      <c r="A323" t="s">
        <v>327</v>
      </c>
      <c r="B323">
        <v>0.98018197421672304</v>
      </c>
      <c r="C323">
        <v>0.99343083824245604</v>
      </c>
      <c r="D323">
        <v>0.938852153181569</v>
      </c>
      <c r="E323">
        <v>0.75993868728910297</v>
      </c>
      <c r="F323">
        <v>0.71658722109401696</v>
      </c>
      <c r="G323">
        <v>0.53109334010752396</v>
      </c>
      <c r="H323">
        <v>0.27334731369769</v>
      </c>
      <c r="I323">
        <v>0.12933145170032301</v>
      </c>
      <c r="J323">
        <v>5.5936658954081502E-2</v>
      </c>
      <c r="K323">
        <v>3.7530161291719898E-2</v>
      </c>
      <c r="L323">
        <v>758.58601066462597</v>
      </c>
      <c r="M323">
        <v>13.468192648832099</v>
      </c>
      <c r="N323">
        <v>56.324261367076097</v>
      </c>
      <c r="O323">
        <v>55.125995726168703</v>
      </c>
      <c r="P323">
        <v>-6.1088512541834297E-2</v>
      </c>
      <c r="Q323">
        <v>0</v>
      </c>
      <c r="R323">
        <v>0.98683651281842699</v>
      </c>
      <c r="S323" t="s">
        <v>3952</v>
      </c>
      <c r="T323" t="s">
        <v>7256</v>
      </c>
      <c r="U323" t="s">
        <v>7256</v>
      </c>
      <c r="V323" t="s">
        <v>7256</v>
      </c>
      <c r="W323">
        <v>13</v>
      </c>
      <c r="X323" t="s">
        <v>7579</v>
      </c>
      <c r="Y323">
        <v>0.56255480732804541</v>
      </c>
      <c r="Z323" t="str">
        <f>HYPERLINK("Melting_Curves/meltCurve_sp_O95571_ETHE1_HUMAN_.pdf", "Melting_Curves/meltCurve_sp_O95571_ETHE1_HUMAN_.pdf")</f>
        <v>Melting_Curves/meltCurve_sp_O95571_ETHE1_HUMAN_.pdf</v>
      </c>
      <c r="AA323" t="s">
        <v>11203</v>
      </c>
      <c r="AB323" t="s">
        <v>14749</v>
      </c>
    </row>
    <row r="324" spans="1:28" x14ac:dyDescent="0.25">
      <c r="A324" t="s">
        <v>328</v>
      </c>
      <c r="B324">
        <v>0.98018197421672304</v>
      </c>
      <c r="C324">
        <v>0.91692609009569404</v>
      </c>
      <c r="D324">
        <v>0.90081917321147698</v>
      </c>
      <c r="E324">
        <v>0.75270452162864798</v>
      </c>
      <c r="F324">
        <v>0.57628528215568198</v>
      </c>
      <c r="G324">
        <v>0.22800449186359001</v>
      </c>
      <c r="H324">
        <v>0.10845956237604901</v>
      </c>
      <c r="I324">
        <v>8.0367928262543006E-2</v>
      </c>
      <c r="J324">
        <v>9.5250583128599006E-2</v>
      </c>
      <c r="K324">
        <v>4.7832077185359499E-2</v>
      </c>
      <c r="L324">
        <v>895.65774175091997</v>
      </c>
      <c r="M324">
        <v>16.843931281843702</v>
      </c>
      <c r="N324">
        <v>53.377313898299697</v>
      </c>
      <c r="O324">
        <v>52.441392629681303</v>
      </c>
      <c r="P324">
        <v>-7.7807937434594701E-2</v>
      </c>
      <c r="Q324">
        <v>3.1082456670573199E-2</v>
      </c>
      <c r="R324">
        <v>0.991868687187905</v>
      </c>
      <c r="S324" t="s">
        <v>3953</v>
      </c>
      <c r="T324" t="s">
        <v>7256</v>
      </c>
      <c r="U324" t="s">
        <v>7256</v>
      </c>
      <c r="V324" t="s">
        <v>7256</v>
      </c>
      <c r="W324">
        <v>8</v>
      </c>
      <c r="X324" t="s">
        <v>7580</v>
      </c>
      <c r="Y324">
        <v>0.47408141522304081</v>
      </c>
      <c r="Z324" t="str">
        <f>HYPERLINK("Melting_Curves/meltCurve_sp_O95630_STABP_HUMAN_.pdf", "Melting_Curves/meltCurve_sp_O95630_STABP_HUMAN_.pdf")</f>
        <v>Melting_Curves/meltCurve_sp_O95630_STABP_HUMAN_.pdf</v>
      </c>
      <c r="AA324" t="s">
        <v>11204</v>
      </c>
      <c r="AB324" t="s">
        <v>14750</v>
      </c>
    </row>
    <row r="325" spans="1:28" x14ac:dyDescent="0.25">
      <c r="A325" t="s">
        <v>329</v>
      </c>
      <c r="B325">
        <v>0.98018197421672304</v>
      </c>
      <c r="C325">
        <v>0.97493997075727601</v>
      </c>
      <c r="D325">
        <v>0.91481242247552197</v>
      </c>
      <c r="E325">
        <v>0.67574598441241296</v>
      </c>
      <c r="F325">
        <v>0.33998860903225803</v>
      </c>
      <c r="G325">
        <v>0.13497348956208699</v>
      </c>
      <c r="H325">
        <v>8.6026346113289506E-2</v>
      </c>
      <c r="I325">
        <v>4.46045516835442E-2</v>
      </c>
      <c r="J325">
        <v>0.108025307911865</v>
      </c>
      <c r="K325">
        <v>3.137889371047E-2</v>
      </c>
      <c r="L325">
        <v>1191.10670402345</v>
      </c>
      <c r="M325">
        <v>23.260749081282501</v>
      </c>
      <c r="N325">
        <v>51.473832215786402</v>
      </c>
      <c r="O325">
        <v>50.832736241841197</v>
      </c>
      <c r="P325">
        <v>-0.107896820869191</v>
      </c>
      <c r="Q325">
        <v>5.6849863736249902E-2</v>
      </c>
      <c r="R325">
        <v>0.99670725008656402</v>
      </c>
      <c r="S325" t="s">
        <v>3954</v>
      </c>
      <c r="T325" t="s">
        <v>7256</v>
      </c>
      <c r="U325" t="s">
        <v>7256</v>
      </c>
      <c r="V325" t="s">
        <v>7256</v>
      </c>
      <c r="W325">
        <v>13</v>
      </c>
      <c r="X325" t="s">
        <v>7581</v>
      </c>
      <c r="Y325">
        <v>0.41899673220845102</v>
      </c>
      <c r="Z325" t="str">
        <f>HYPERLINK("Melting_Curves/meltCurve_sp_O95671_2_ASML_HUMAN_.pdf", "Melting_Curves/meltCurve_sp_O95671_2_ASML_HUMAN_.pdf")</f>
        <v>Melting_Curves/meltCurve_sp_O95671_2_ASML_HUMAN_.pdf</v>
      </c>
      <c r="AA325" t="s">
        <v>11205</v>
      </c>
      <c r="AB325" t="s">
        <v>14751</v>
      </c>
    </row>
    <row r="326" spans="1:28" x14ac:dyDescent="0.25">
      <c r="A326" t="s">
        <v>330</v>
      </c>
      <c r="B326">
        <v>0.98018197421672304</v>
      </c>
      <c r="C326">
        <v>0.83017890174530196</v>
      </c>
      <c r="D326">
        <v>0.924716778473332</v>
      </c>
      <c r="E326">
        <v>0.77772305058094504</v>
      </c>
      <c r="F326">
        <v>0.58727718015228603</v>
      </c>
      <c r="G326">
        <v>0.40315918746240997</v>
      </c>
      <c r="H326">
        <v>0.45434832070611902</v>
      </c>
      <c r="I326">
        <v>0.40432013082554202</v>
      </c>
      <c r="J326">
        <v>0.62750962906115104</v>
      </c>
      <c r="K326">
        <v>0.56620121810787205</v>
      </c>
      <c r="L326">
        <v>1247.0150543003599</v>
      </c>
      <c r="M326">
        <v>24.9757289086367</v>
      </c>
      <c r="N326">
        <v>58.929617174657999</v>
      </c>
      <c r="O326">
        <v>49.612288279798598</v>
      </c>
      <c r="P326">
        <v>-6.4315431955798599E-2</v>
      </c>
      <c r="Q326">
        <v>0.48897704832842698</v>
      </c>
      <c r="R326">
        <v>0.81705597529097096</v>
      </c>
      <c r="S326" t="s">
        <v>3955</v>
      </c>
      <c r="T326" t="s">
        <v>7256</v>
      </c>
      <c r="U326" t="s">
        <v>7256</v>
      </c>
      <c r="V326" t="s">
        <v>7256</v>
      </c>
      <c r="W326">
        <v>2</v>
      </c>
      <c r="X326" t="s">
        <v>7582</v>
      </c>
      <c r="Y326">
        <v>0.66268297145643773</v>
      </c>
      <c r="Z326" t="str">
        <f>HYPERLINK("Melting_Curves/meltCurve_sp_O95721_SNP29_HUMAN_.pdf", "Melting_Curves/meltCurve_sp_O95721_SNP29_HUMAN_.pdf")</f>
        <v>Melting_Curves/meltCurve_sp_O95721_SNP29_HUMAN_.pdf</v>
      </c>
      <c r="AA326" t="s">
        <v>11206</v>
      </c>
      <c r="AB326" t="s">
        <v>14752</v>
      </c>
    </row>
    <row r="327" spans="1:28" x14ac:dyDescent="0.25">
      <c r="A327" t="s">
        <v>331</v>
      </c>
      <c r="B327">
        <v>0.98018197421672304</v>
      </c>
      <c r="C327">
        <v>0.86397120633892799</v>
      </c>
      <c r="D327">
        <v>0.60542653653082301</v>
      </c>
      <c r="E327">
        <v>0.31308848363837699</v>
      </c>
      <c r="F327">
        <v>0.23126878069073301</v>
      </c>
      <c r="G327">
        <v>0.12700803903904001</v>
      </c>
      <c r="H327">
        <v>8.2972998712705207E-2</v>
      </c>
      <c r="I327">
        <v>7.3118727104821105E-2</v>
      </c>
      <c r="J327">
        <v>6.7496947673124599E-2</v>
      </c>
      <c r="K327">
        <v>7.1552420268726297E-2</v>
      </c>
      <c r="L327">
        <v>785.00083853444801</v>
      </c>
      <c r="M327">
        <v>16.665201429265402</v>
      </c>
      <c r="N327">
        <v>47.531328293427698</v>
      </c>
      <c r="O327">
        <v>46.4416010852377</v>
      </c>
      <c r="P327">
        <v>-8.3477375688140898E-2</v>
      </c>
      <c r="Q327">
        <v>6.9542495175590094E-2</v>
      </c>
      <c r="R327">
        <v>0.997180578795409</v>
      </c>
      <c r="S327" t="s">
        <v>3956</v>
      </c>
      <c r="T327" t="s">
        <v>7256</v>
      </c>
      <c r="U327" t="s">
        <v>7256</v>
      </c>
      <c r="V327" t="s">
        <v>7256</v>
      </c>
      <c r="W327">
        <v>6</v>
      </c>
      <c r="X327" t="s">
        <v>7583</v>
      </c>
      <c r="Y327">
        <v>0.31003680302539999</v>
      </c>
      <c r="Z327" t="str">
        <f>HYPERLINK("Melting_Curves/meltCurve_sp_O95747_OXSR1_HUMAN_.pdf", "Melting_Curves/meltCurve_sp_O95747_OXSR1_HUMAN_.pdf")</f>
        <v>Melting_Curves/meltCurve_sp_O95747_OXSR1_HUMAN_.pdf</v>
      </c>
      <c r="AA327" t="s">
        <v>11207</v>
      </c>
      <c r="AB327" t="s">
        <v>14753</v>
      </c>
    </row>
    <row r="328" spans="1:28" x14ac:dyDescent="0.25">
      <c r="A328" t="s">
        <v>332</v>
      </c>
      <c r="B328">
        <v>0.98018197421672304</v>
      </c>
      <c r="C328">
        <v>0.92493791738798803</v>
      </c>
      <c r="D328">
        <v>0.749560186703775</v>
      </c>
      <c r="E328">
        <v>0.37252595800626698</v>
      </c>
      <c r="F328">
        <v>0.191810275091673</v>
      </c>
      <c r="G328">
        <v>0.120255281932002</v>
      </c>
      <c r="H328">
        <v>8.2615581778177405E-2</v>
      </c>
      <c r="I328">
        <v>6.4923884657320893E-2</v>
      </c>
      <c r="J328">
        <v>7.4513064838492293E-2</v>
      </c>
      <c r="K328">
        <v>6.3814893157953398E-2</v>
      </c>
      <c r="L328">
        <v>970.11203235070502</v>
      </c>
      <c r="M328">
        <v>20.113523198473001</v>
      </c>
      <c r="N328">
        <v>48.578487681292401</v>
      </c>
      <c r="O328">
        <v>47.762653106975797</v>
      </c>
      <c r="P328">
        <v>-9.8243517221011406E-2</v>
      </c>
      <c r="Q328">
        <v>6.6852355063126798E-2</v>
      </c>
      <c r="R328">
        <v>0.99968759518154404</v>
      </c>
      <c r="S328" t="s">
        <v>3957</v>
      </c>
      <c r="T328" t="s">
        <v>7256</v>
      </c>
      <c r="U328" t="s">
        <v>7256</v>
      </c>
      <c r="V328" t="s">
        <v>7256</v>
      </c>
      <c r="W328">
        <v>13</v>
      </c>
      <c r="X328" t="s">
        <v>7584</v>
      </c>
      <c r="Y328">
        <v>0.33594972322134481</v>
      </c>
      <c r="Z328" t="str">
        <f>HYPERLINK("Melting_Curves/meltCurve_sp_O95757_HS74L_HUMAN_.pdf", "Melting_Curves/meltCurve_sp_O95757_HS74L_HUMAN_.pdf")</f>
        <v>Melting_Curves/meltCurve_sp_O95757_HS74L_HUMAN_.pdf</v>
      </c>
      <c r="AA328" t="s">
        <v>11208</v>
      </c>
      <c r="AB328" t="s">
        <v>14754</v>
      </c>
    </row>
    <row r="329" spans="1:28" x14ac:dyDescent="0.25">
      <c r="A329" t="s">
        <v>333</v>
      </c>
      <c r="B329">
        <v>0.98018197421672304</v>
      </c>
      <c r="C329">
        <v>0.99628760555812901</v>
      </c>
      <c r="D329">
        <v>0.89069709284197196</v>
      </c>
      <c r="E329">
        <v>0.82518374786190296</v>
      </c>
      <c r="F329">
        <v>0.74031772597281398</v>
      </c>
      <c r="G329">
        <v>0.618051772540536</v>
      </c>
      <c r="H329">
        <v>0.44815620030926101</v>
      </c>
      <c r="I329">
        <v>0.408967367549116</v>
      </c>
      <c r="J329">
        <v>0.43670972977591499</v>
      </c>
      <c r="K329">
        <v>0.38425931819432002</v>
      </c>
      <c r="L329">
        <v>613.53711901123199</v>
      </c>
      <c r="M329">
        <v>11.2059336843907</v>
      </c>
      <c r="N329">
        <v>60.441527093872899</v>
      </c>
      <c r="O329">
        <v>53.094327093121102</v>
      </c>
      <c r="P329">
        <v>-3.5579243152077299E-2</v>
      </c>
      <c r="Q329">
        <v>0.325906131252647</v>
      </c>
      <c r="R329">
        <v>0.98732935625360596</v>
      </c>
      <c r="S329" t="s">
        <v>3958</v>
      </c>
      <c r="T329" t="s">
        <v>7256</v>
      </c>
      <c r="U329" t="s">
        <v>7256</v>
      </c>
      <c r="V329" t="s">
        <v>7256</v>
      </c>
      <c r="W329">
        <v>4</v>
      </c>
      <c r="X329" t="s">
        <v>7585</v>
      </c>
      <c r="Y329">
        <v>0.67443629612388289</v>
      </c>
      <c r="Z329" t="str">
        <f>HYPERLINK("Melting_Curves/meltCurve_sp_O95777_NAA38_HUMAN_.pdf", "Melting_Curves/meltCurve_sp_O95777_NAA38_HUMAN_.pdf")</f>
        <v>Melting_Curves/meltCurve_sp_O95777_NAA38_HUMAN_.pdf</v>
      </c>
      <c r="AA329" t="s">
        <v>11209</v>
      </c>
      <c r="AB329" t="s">
        <v>14755</v>
      </c>
    </row>
    <row r="330" spans="1:28" x14ac:dyDescent="0.25">
      <c r="A330" t="s">
        <v>334</v>
      </c>
      <c r="B330">
        <v>0.98018197421672304</v>
      </c>
      <c r="C330">
        <v>0.969621787315742</v>
      </c>
      <c r="D330">
        <v>0.87590641439428096</v>
      </c>
      <c r="E330">
        <v>0.67820351869921702</v>
      </c>
      <c r="F330">
        <v>0.47006728638156697</v>
      </c>
      <c r="G330">
        <v>0.21476982432123001</v>
      </c>
      <c r="H330">
        <v>9.9035483549194295E-2</v>
      </c>
      <c r="I330">
        <v>6.1427221245703198E-2</v>
      </c>
      <c r="J330">
        <v>6.2197168487532699E-2</v>
      </c>
      <c r="K330">
        <v>4.5121125542426602E-2</v>
      </c>
      <c r="L330">
        <v>818.10709975536895</v>
      </c>
      <c r="M330">
        <v>15.663074914311601</v>
      </c>
      <c r="N330">
        <v>52.357278236456999</v>
      </c>
      <c r="O330">
        <v>51.402390417902097</v>
      </c>
      <c r="P330">
        <v>-7.4779124831738195E-2</v>
      </c>
      <c r="Q330">
        <v>1.8455934373532899E-2</v>
      </c>
      <c r="R330">
        <v>0.99898898967056604</v>
      </c>
      <c r="S330" t="s">
        <v>3959</v>
      </c>
      <c r="T330" t="s">
        <v>7256</v>
      </c>
      <c r="U330" t="s">
        <v>7256</v>
      </c>
      <c r="V330" t="s">
        <v>7256</v>
      </c>
      <c r="W330">
        <v>27</v>
      </c>
      <c r="X330" t="s">
        <v>7586</v>
      </c>
      <c r="Y330">
        <v>0.4390286805482122</v>
      </c>
      <c r="Z330" t="str">
        <f>HYPERLINK("Melting_Curves/meltCurve_sp_O95782_2_AP2A1_HUMAN_.pdf", "Melting_Curves/meltCurve_sp_O95782_2_AP2A1_HUMAN_.pdf")</f>
        <v>Melting_Curves/meltCurve_sp_O95782_2_AP2A1_HUMAN_.pdf</v>
      </c>
      <c r="AA330" t="s">
        <v>11210</v>
      </c>
      <c r="AB330" t="s">
        <v>14756</v>
      </c>
    </row>
    <row r="331" spans="1:28" x14ac:dyDescent="0.25">
      <c r="A331" t="s">
        <v>335</v>
      </c>
      <c r="B331">
        <v>0.98018197421672304</v>
      </c>
      <c r="C331">
        <v>1.01738664581227</v>
      </c>
      <c r="D331">
        <v>0.85526245630230702</v>
      </c>
      <c r="E331">
        <v>0.73449493131042298</v>
      </c>
      <c r="F331">
        <v>0.71060077865411797</v>
      </c>
      <c r="G331">
        <v>0.52556179856249297</v>
      </c>
      <c r="H331">
        <v>0.49450063390008397</v>
      </c>
      <c r="I331">
        <v>0.50187283926670301</v>
      </c>
      <c r="J331">
        <v>0.693302834671643</v>
      </c>
      <c r="K331">
        <v>0.93457573442394704</v>
      </c>
      <c r="L331">
        <v>1190.02718179422</v>
      </c>
      <c r="M331">
        <v>25.123322161493299</v>
      </c>
      <c r="O331">
        <v>47.070378927057597</v>
      </c>
      <c r="P331">
        <v>-4.8092494530062799E-2</v>
      </c>
      <c r="Q331">
        <v>0.63958554907244403</v>
      </c>
      <c r="R331">
        <v>0.57323933064164501</v>
      </c>
      <c r="S331" t="s">
        <v>3960</v>
      </c>
      <c r="T331" t="s">
        <v>7256</v>
      </c>
      <c r="U331" t="s">
        <v>7256</v>
      </c>
      <c r="V331" t="s">
        <v>7256</v>
      </c>
      <c r="W331">
        <v>1</v>
      </c>
      <c r="X331" t="s">
        <v>7587</v>
      </c>
      <c r="Y331">
        <v>0.73126181676109991</v>
      </c>
      <c r="Z331" t="str">
        <f>HYPERLINK("Melting_Curves/meltCurve_sp_O95810_SDPR_HUMAN_.pdf", "Melting_Curves/meltCurve_sp_O95810_SDPR_HUMAN_.pdf")</f>
        <v>Melting_Curves/meltCurve_sp_O95810_SDPR_HUMAN_.pdf</v>
      </c>
      <c r="AA331" t="s">
        <v>11211</v>
      </c>
      <c r="AB331" t="s">
        <v>14757</v>
      </c>
    </row>
    <row r="332" spans="1:28" x14ac:dyDescent="0.25">
      <c r="A332" t="s">
        <v>336</v>
      </c>
      <c r="B332">
        <v>0.98018197421672304</v>
      </c>
      <c r="C332">
        <v>0.89543347912350801</v>
      </c>
      <c r="D332">
        <v>0.80390153392264996</v>
      </c>
      <c r="E332">
        <v>0.67380664082264496</v>
      </c>
      <c r="F332">
        <v>0</v>
      </c>
      <c r="G332">
        <v>0.235224383053287</v>
      </c>
      <c r="H332">
        <v>0.193715113224456</v>
      </c>
      <c r="I332">
        <v>0.13732013334496501</v>
      </c>
      <c r="J332">
        <v>0.160616619862961</v>
      </c>
      <c r="K332">
        <v>0.130583087783497</v>
      </c>
      <c r="L332">
        <v>12524.353709967299</v>
      </c>
      <c r="M332">
        <v>250</v>
      </c>
      <c r="N332">
        <v>50.1649580975078</v>
      </c>
      <c r="O332">
        <v>50.094208244498198</v>
      </c>
      <c r="P332">
        <v>-1.0693479137387101</v>
      </c>
      <c r="Q332">
        <v>0.142909795916835</v>
      </c>
      <c r="R332">
        <v>0.93425756599001197</v>
      </c>
      <c r="S332" t="s">
        <v>3961</v>
      </c>
      <c r="T332" t="s">
        <v>7256</v>
      </c>
      <c r="U332" t="s">
        <v>7256</v>
      </c>
      <c r="V332" t="s">
        <v>7256</v>
      </c>
      <c r="W332">
        <v>1</v>
      </c>
      <c r="X332" t="s">
        <v>7588</v>
      </c>
      <c r="Y332">
        <v>0.43146499630525947</v>
      </c>
      <c r="Z332" t="str">
        <f>HYPERLINK("Melting_Curves/meltCurve_sp_O95816_BAG2_HUMAN_.pdf", "Melting_Curves/meltCurve_sp_O95816_BAG2_HUMAN_.pdf")</f>
        <v>Melting_Curves/meltCurve_sp_O95816_BAG2_HUMAN_.pdf</v>
      </c>
      <c r="AA332" t="s">
        <v>11212</v>
      </c>
      <c r="AB332" t="s">
        <v>14758</v>
      </c>
    </row>
    <row r="333" spans="1:28" x14ac:dyDescent="0.25">
      <c r="A333" t="s">
        <v>337</v>
      </c>
      <c r="B333">
        <v>0.98018197421672304</v>
      </c>
      <c r="C333">
        <v>0.935364688290376</v>
      </c>
      <c r="D333">
        <v>0.84325275876723704</v>
      </c>
      <c r="E333">
        <v>0.72931246797553795</v>
      </c>
      <c r="F333">
        <v>0.63978638337123706</v>
      </c>
      <c r="G333">
        <v>0.47508911994265701</v>
      </c>
      <c r="H333">
        <v>0.36296708391946098</v>
      </c>
      <c r="I333">
        <v>0.344798946829942</v>
      </c>
      <c r="J333">
        <v>0.449094127543962</v>
      </c>
      <c r="K333">
        <v>0.50539330447947595</v>
      </c>
      <c r="L333">
        <v>720.92699363591896</v>
      </c>
      <c r="M333">
        <v>14.337224533143999</v>
      </c>
      <c r="N333">
        <v>56.5273868615308</v>
      </c>
      <c r="O333">
        <v>49.335686301376299</v>
      </c>
      <c r="P333">
        <v>-4.3785997803356701E-2</v>
      </c>
      <c r="Q333">
        <v>0.397386344246622</v>
      </c>
      <c r="R333">
        <v>0.944631877017863</v>
      </c>
      <c r="S333" t="s">
        <v>3962</v>
      </c>
      <c r="T333" t="s">
        <v>7256</v>
      </c>
      <c r="U333" t="s">
        <v>7256</v>
      </c>
      <c r="V333" t="s">
        <v>7256</v>
      </c>
      <c r="W333">
        <v>2</v>
      </c>
      <c r="X333" t="s">
        <v>7589</v>
      </c>
      <c r="Y333">
        <v>0.61934490598329728</v>
      </c>
      <c r="Z333" t="str">
        <f>HYPERLINK("Melting_Curves/meltCurve_sp_O95817_BAG3_HUMAN_.pdf", "Melting_Curves/meltCurve_sp_O95817_BAG3_HUMAN_.pdf")</f>
        <v>Melting_Curves/meltCurve_sp_O95817_BAG3_HUMAN_.pdf</v>
      </c>
      <c r="AA333" t="s">
        <v>11213</v>
      </c>
      <c r="AB333" t="s">
        <v>14759</v>
      </c>
    </row>
    <row r="334" spans="1:28" x14ac:dyDescent="0.25">
      <c r="A334" t="s">
        <v>338</v>
      </c>
      <c r="B334">
        <v>0.98018197421672304</v>
      </c>
      <c r="C334">
        <v>0.95266609100306499</v>
      </c>
      <c r="D334">
        <v>0.86818194350677902</v>
      </c>
      <c r="E334">
        <v>0.49035105004785701</v>
      </c>
      <c r="F334">
        <v>0.201662499845462</v>
      </c>
      <c r="G334">
        <v>0.109508310833435</v>
      </c>
      <c r="H334">
        <v>6.33365406189796E-2</v>
      </c>
      <c r="I334">
        <v>4.9387763441793603E-2</v>
      </c>
      <c r="J334">
        <v>5.5519719875503901E-2</v>
      </c>
      <c r="K334">
        <v>3.8698888355165301E-2</v>
      </c>
      <c r="L334">
        <v>1147.7179456461199</v>
      </c>
      <c r="M334">
        <v>23.142565944744899</v>
      </c>
      <c r="N334">
        <v>49.808735013112504</v>
      </c>
      <c r="O334">
        <v>49.227528978644102</v>
      </c>
      <c r="P334">
        <v>-0.11193514349872299</v>
      </c>
      <c r="Q334">
        <v>4.7609520293140001E-2</v>
      </c>
      <c r="R334">
        <v>0.99878423724261101</v>
      </c>
      <c r="S334" t="s">
        <v>3963</v>
      </c>
      <c r="T334" t="s">
        <v>7256</v>
      </c>
      <c r="U334" t="s">
        <v>7256</v>
      </c>
      <c r="V334" t="s">
        <v>7256</v>
      </c>
      <c r="W334">
        <v>24</v>
      </c>
      <c r="X334" t="s">
        <v>7590</v>
      </c>
      <c r="Y334">
        <v>0.36207846824791567</v>
      </c>
      <c r="Z334" t="str">
        <f>HYPERLINK("Melting_Curves/meltCurve_sp_O95822_DCMC_HUMAN_.pdf", "Melting_Curves/meltCurve_sp_O95822_DCMC_HUMAN_.pdf")</f>
        <v>Melting_Curves/meltCurve_sp_O95822_DCMC_HUMAN_.pdf</v>
      </c>
      <c r="AA334" t="s">
        <v>11214</v>
      </c>
      <c r="AB334" t="s">
        <v>14760</v>
      </c>
    </row>
    <row r="335" spans="1:28" x14ac:dyDescent="0.25">
      <c r="A335" t="s">
        <v>339</v>
      </c>
      <c r="B335">
        <v>0.98018197421672304</v>
      </c>
      <c r="C335">
        <v>0.99084117946345296</v>
      </c>
      <c r="D335">
        <v>0.92403223142629398</v>
      </c>
      <c r="E335">
        <v>0.79225885301073196</v>
      </c>
      <c r="F335">
        <v>0.70215439549573999</v>
      </c>
      <c r="G335">
        <v>0.61343404006579205</v>
      </c>
      <c r="H335">
        <v>0.28497792322960702</v>
      </c>
      <c r="I335">
        <v>7.6825899464296896E-2</v>
      </c>
      <c r="J335">
        <v>5.76152422624455E-2</v>
      </c>
      <c r="K335">
        <v>4.4454456112960603E-2</v>
      </c>
      <c r="L335">
        <v>806.119309746353</v>
      </c>
      <c r="M335">
        <v>14.198846239717501</v>
      </c>
      <c r="N335">
        <v>56.773554353455197</v>
      </c>
      <c r="O335">
        <v>55.6830434612395</v>
      </c>
      <c r="P335">
        <v>-6.3756502784616906E-2</v>
      </c>
      <c r="Q335">
        <v>0</v>
      </c>
      <c r="R335">
        <v>0.97388942038948301</v>
      </c>
      <c r="S335" t="s">
        <v>3964</v>
      </c>
      <c r="T335" t="s">
        <v>7256</v>
      </c>
      <c r="U335" t="s">
        <v>7256</v>
      </c>
      <c r="V335" t="s">
        <v>7256</v>
      </c>
      <c r="W335">
        <v>7</v>
      </c>
      <c r="X335" t="s">
        <v>7591</v>
      </c>
      <c r="Y335">
        <v>0.57593558129666678</v>
      </c>
      <c r="Z335" t="str">
        <f>HYPERLINK("Melting_Curves/meltCurve_sp_O95825_QORL1_HUMAN_.pdf", "Melting_Curves/meltCurve_sp_O95825_QORL1_HUMAN_.pdf")</f>
        <v>Melting_Curves/meltCurve_sp_O95825_QORL1_HUMAN_.pdf</v>
      </c>
      <c r="AA335" t="s">
        <v>11215</v>
      </c>
      <c r="AB335" t="s">
        <v>14761</v>
      </c>
    </row>
    <row r="336" spans="1:28" x14ac:dyDescent="0.25">
      <c r="A336" t="s">
        <v>340</v>
      </c>
      <c r="B336">
        <v>0.98018197421672304</v>
      </c>
      <c r="C336">
        <v>0.92360102736406902</v>
      </c>
      <c r="D336">
        <v>0.91396798198406604</v>
      </c>
      <c r="E336">
        <v>0.76757104269897003</v>
      </c>
      <c r="F336">
        <v>0.66238919687598496</v>
      </c>
      <c r="G336">
        <v>0.43194255101592499</v>
      </c>
      <c r="H336">
        <v>0.19296549820466299</v>
      </c>
      <c r="I336">
        <v>9.2004815407967705E-2</v>
      </c>
      <c r="J336">
        <v>5.01669000646646E-2</v>
      </c>
      <c r="K336">
        <v>3.292042821736E-2</v>
      </c>
      <c r="L336">
        <v>763.39383463646698</v>
      </c>
      <c r="M336">
        <v>13.8554880025009</v>
      </c>
      <c r="N336">
        <v>55.096842729854998</v>
      </c>
      <c r="O336">
        <v>53.987190027542702</v>
      </c>
      <c r="P336">
        <v>-6.4169839662917394E-2</v>
      </c>
      <c r="Q336">
        <v>0</v>
      </c>
      <c r="R336">
        <v>0.99201374528347497</v>
      </c>
      <c r="S336" t="s">
        <v>3965</v>
      </c>
      <c r="T336" t="s">
        <v>7256</v>
      </c>
      <c r="U336" t="s">
        <v>7256</v>
      </c>
      <c r="V336" t="s">
        <v>7256</v>
      </c>
      <c r="W336">
        <v>15</v>
      </c>
      <c r="X336" t="s">
        <v>7592</v>
      </c>
      <c r="Y336">
        <v>0.52392113900480752</v>
      </c>
      <c r="Z336" t="str">
        <f>HYPERLINK("Melting_Curves/meltCurve_sp_O95831_3_AIFM1_HUMAN_.pdf", "Melting_Curves/meltCurve_sp_O95831_3_AIFM1_HUMAN_.pdf")</f>
        <v>Melting_Curves/meltCurve_sp_O95831_3_AIFM1_HUMAN_.pdf</v>
      </c>
      <c r="AA336" t="s">
        <v>11216</v>
      </c>
      <c r="AB336" t="s">
        <v>14762</v>
      </c>
    </row>
    <row r="337" spans="1:28" x14ac:dyDescent="0.25">
      <c r="A337" t="s">
        <v>341</v>
      </c>
      <c r="B337">
        <v>0.98018197421672304</v>
      </c>
      <c r="C337">
        <v>0.91572231028008499</v>
      </c>
      <c r="D337">
        <v>0.93025920289024699</v>
      </c>
      <c r="E337">
        <v>0.79173825746005499</v>
      </c>
      <c r="F337">
        <v>0.61843988782833903</v>
      </c>
      <c r="G337">
        <v>0.225399178997615</v>
      </c>
      <c r="H337">
        <v>0.123355245764808</v>
      </c>
      <c r="I337">
        <v>7.3046402265668095E-2</v>
      </c>
      <c r="J337">
        <v>6.5475469265578901E-2</v>
      </c>
      <c r="K337">
        <v>7.4224312023325301E-2</v>
      </c>
      <c r="L337">
        <v>1055.38198481926</v>
      </c>
      <c r="M337">
        <v>19.713981306580202</v>
      </c>
      <c r="N337">
        <v>53.790800584066098</v>
      </c>
      <c r="O337">
        <v>52.992982453800302</v>
      </c>
      <c r="P337">
        <v>-8.8839814637125397E-2</v>
      </c>
      <c r="Q337">
        <v>4.4794985296786299E-2</v>
      </c>
      <c r="R337">
        <v>0.99155997274031005</v>
      </c>
      <c r="S337" t="s">
        <v>3966</v>
      </c>
      <c r="T337" t="s">
        <v>7256</v>
      </c>
      <c r="U337" t="s">
        <v>7256</v>
      </c>
      <c r="V337" t="s">
        <v>7256</v>
      </c>
      <c r="W337">
        <v>12</v>
      </c>
      <c r="X337" t="s">
        <v>7593</v>
      </c>
      <c r="Y337">
        <v>0.48912221284406621</v>
      </c>
      <c r="Z337" t="str">
        <f>HYPERLINK("Melting_Curves/meltCurve_sp_O95834_EMAL2_HUMAN_.pdf", "Melting_Curves/meltCurve_sp_O95834_EMAL2_HUMAN_.pdf")</f>
        <v>Melting_Curves/meltCurve_sp_O95834_EMAL2_HUMAN_.pdf</v>
      </c>
      <c r="AA337" t="s">
        <v>11217</v>
      </c>
      <c r="AB337" t="s">
        <v>14763</v>
      </c>
    </row>
    <row r="338" spans="1:28" x14ac:dyDescent="0.25">
      <c r="A338" t="s">
        <v>342</v>
      </c>
      <c r="B338">
        <v>0.98018197421672304</v>
      </c>
      <c r="C338">
        <v>1.03021351610733</v>
      </c>
      <c r="D338">
        <v>1.0289640105361799</v>
      </c>
      <c r="E338">
        <v>0.86217608665288703</v>
      </c>
      <c r="F338">
        <v>0.85416973691637699</v>
      </c>
      <c r="G338">
        <v>0.59672056653427896</v>
      </c>
      <c r="H338">
        <v>0.13013615708979001</v>
      </c>
      <c r="I338">
        <v>7.0620816876826795E-2</v>
      </c>
      <c r="J338">
        <v>7.1454399578697106E-2</v>
      </c>
      <c r="K338">
        <v>6.9822027951532403E-2</v>
      </c>
      <c r="L338">
        <v>1443.33574885288</v>
      </c>
      <c r="M338">
        <v>25.239731415453701</v>
      </c>
      <c r="N338">
        <v>57.321176172920097</v>
      </c>
      <c r="O338">
        <v>56.829715532641501</v>
      </c>
      <c r="P338">
        <v>-0.107804284518046</v>
      </c>
      <c r="Q338">
        <v>2.9085151690112401E-2</v>
      </c>
      <c r="R338">
        <v>0.98487925956947298</v>
      </c>
      <c r="S338" t="s">
        <v>3967</v>
      </c>
      <c r="T338" t="s">
        <v>7256</v>
      </c>
      <c r="U338" t="s">
        <v>7256</v>
      </c>
      <c r="V338" t="s">
        <v>7256</v>
      </c>
      <c r="W338">
        <v>11</v>
      </c>
      <c r="X338" t="s">
        <v>7594</v>
      </c>
      <c r="Y338">
        <v>0.59383609325790543</v>
      </c>
      <c r="Z338" t="str">
        <f>HYPERLINK("Melting_Curves/meltCurve_sp_O95865_DDAH2_HUMAN_.pdf", "Melting_Curves/meltCurve_sp_O95865_DDAH2_HUMAN_.pdf")</f>
        <v>Melting_Curves/meltCurve_sp_O95865_DDAH2_HUMAN_.pdf</v>
      </c>
      <c r="AA338" t="s">
        <v>11218</v>
      </c>
      <c r="AB338" t="s">
        <v>14764</v>
      </c>
    </row>
    <row r="339" spans="1:28" x14ac:dyDescent="0.25">
      <c r="A339" t="s">
        <v>343</v>
      </c>
      <c r="B339">
        <v>0.98018197421672304</v>
      </c>
      <c r="C339">
        <v>1.0124535641522101</v>
      </c>
      <c r="D339">
        <v>0.91889745581876303</v>
      </c>
      <c r="E339">
        <v>0.77676905474065805</v>
      </c>
      <c r="F339">
        <v>0.71336446428412104</v>
      </c>
      <c r="G339">
        <v>0.50940589272092895</v>
      </c>
      <c r="H339">
        <v>0.262177008838058</v>
      </c>
      <c r="I339">
        <v>0.22640995632830499</v>
      </c>
      <c r="J339">
        <v>0.27443596806526599</v>
      </c>
      <c r="K339">
        <v>0.30826761776070999</v>
      </c>
      <c r="L339">
        <v>828.86959134160998</v>
      </c>
      <c r="M339">
        <v>15.339611307201</v>
      </c>
      <c r="N339">
        <v>56.163987924583999</v>
      </c>
      <c r="O339">
        <v>53.141243919382397</v>
      </c>
      <c r="P339">
        <v>-5.6257657473922099E-2</v>
      </c>
      <c r="Q339">
        <v>0.220495202081713</v>
      </c>
      <c r="R339">
        <v>0.97600692614368101</v>
      </c>
      <c r="S339" t="s">
        <v>3968</v>
      </c>
      <c r="T339" t="s">
        <v>7256</v>
      </c>
      <c r="U339" t="s">
        <v>7256</v>
      </c>
      <c r="V339" t="s">
        <v>7256</v>
      </c>
      <c r="W339">
        <v>4</v>
      </c>
      <c r="X339" t="s">
        <v>7595</v>
      </c>
      <c r="Y339">
        <v>0.60068599262180977</v>
      </c>
      <c r="Z339" t="str">
        <f>HYPERLINK("Melting_Curves/meltCurve_sp_O95881_TXD12_HUMAN_.pdf", "Melting_Curves/meltCurve_sp_O95881_TXD12_HUMAN_.pdf")</f>
        <v>Melting_Curves/meltCurve_sp_O95881_TXD12_HUMAN_.pdf</v>
      </c>
      <c r="AA339" t="s">
        <v>11219</v>
      </c>
      <c r="AB339" t="s">
        <v>14765</v>
      </c>
    </row>
    <row r="340" spans="1:28" x14ac:dyDescent="0.25">
      <c r="A340" t="s">
        <v>344</v>
      </c>
      <c r="B340">
        <v>0.98018197421672304</v>
      </c>
      <c r="C340">
        <v>0.73669269473509602</v>
      </c>
      <c r="D340">
        <v>0.882161005395391</v>
      </c>
      <c r="E340">
        <v>0.232948425191667</v>
      </c>
      <c r="F340">
        <v>8.2108943468103698E-2</v>
      </c>
      <c r="G340">
        <v>5.0995112057733202E-2</v>
      </c>
      <c r="H340">
        <v>3.2845427858558797E-2</v>
      </c>
      <c r="I340">
        <v>2.73825304948325E-2</v>
      </c>
      <c r="J340">
        <v>2.8846502651270499E-2</v>
      </c>
      <c r="K340">
        <v>2.1032065978884101E-2</v>
      </c>
      <c r="L340">
        <v>1503.26976694974</v>
      </c>
      <c r="M340">
        <v>31.219477801606999</v>
      </c>
      <c r="N340">
        <v>48.239867961730397</v>
      </c>
      <c r="O340">
        <v>47.955405203302</v>
      </c>
      <c r="P340">
        <v>-0.158238405977189</v>
      </c>
      <c r="Q340">
        <v>2.7742597005038599E-2</v>
      </c>
      <c r="R340">
        <v>0.95402843384240799</v>
      </c>
      <c r="S340" t="s">
        <v>3969</v>
      </c>
      <c r="T340" t="s">
        <v>7256</v>
      </c>
      <c r="U340" t="s">
        <v>7256</v>
      </c>
      <c r="V340" t="s">
        <v>7256</v>
      </c>
      <c r="W340">
        <v>32</v>
      </c>
      <c r="X340" t="s">
        <v>7596</v>
      </c>
      <c r="Y340">
        <v>0.29732071874356109</v>
      </c>
      <c r="Z340" t="str">
        <f>HYPERLINK("Melting_Curves/meltCurve_sp_O95954_FTCD_HUMAN_.pdf", "Melting_Curves/meltCurve_sp_O95954_FTCD_HUMAN_.pdf")</f>
        <v>Melting_Curves/meltCurve_sp_O95954_FTCD_HUMAN_.pdf</v>
      </c>
      <c r="AA340" t="s">
        <v>11220</v>
      </c>
      <c r="AB340" t="s">
        <v>14766</v>
      </c>
    </row>
    <row r="341" spans="1:28" x14ac:dyDescent="0.25">
      <c r="A341" t="s">
        <v>345</v>
      </c>
      <c r="B341">
        <v>0.98018197421672304</v>
      </c>
      <c r="C341">
        <v>0.95806253837975996</v>
      </c>
      <c r="D341">
        <v>0.92161613519862595</v>
      </c>
      <c r="E341">
        <v>0.79192266863094596</v>
      </c>
      <c r="F341">
        <v>0.83141899557657595</v>
      </c>
      <c r="G341">
        <v>0.60599936630110096</v>
      </c>
      <c r="H341">
        <v>0.19561341507803601</v>
      </c>
      <c r="I341">
        <v>8.2816357095183896E-2</v>
      </c>
      <c r="J341">
        <v>6.63359476978857E-2</v>
      </c>
      <c r="K341">
        <v>7.8997243511350304E-2</v>
      </c>
      <c r="L341">
        <v>1003.084353628</v>
      </c>
      <c r="M341">
        <v>17.522575649725798</v>
      </c>
      <c r="N341">
        <v>57.245257879257501</v>
      </c>
      <c r="O341">
        <v>56.515291937347797</v>
      </c>
      <c r="P341">
        <v>-7.7516799181432103E-2</v>
      </c>
      <c r="Q341">
        <v>0</v>
      </c>
      <c r="R341">
        <v>0.97166370876060304</v>
      </c>
      <c r="S341" t="s">
        <v>3970</v>
      </c>
      <c r="T341" t="s">
        <v>7256</v>
      </c>
      <c r="U341" t="s">
        <v>7256</v>
      </c>
      <c r="V341" t="s">
        <v>7256</v>
      </c>
      <c r="W341">
        <v>3</v>
      </c>
      <c r="X341" t="s">
        <v>7597</v>
      </c>
      <c r="Y341">
        <v>0.58859234666246985</v>
      </c>
      <c r="Z341" t="str">
        <f>HYPERLINK("Melting_Curves/meltCurve_sp_O95989_NUDT3_HUMAN_.pdf", "Melting_Curves/meltCurve_sp_O95989_NUDT3_HUMAN_.pdf")</f>
        <v>Melting_Curves/meltCurve_sp_O95989_NUDT3_HUMAN_.pdf</v>
      </c>
      <c r="AA341" t="s">
        <v>11221</v>
      </c>
      <c r="AB341" t="s">
        <v>14767</v>
      </c>
    </row>
    <row r="342" spans="1:28" x14ac:dyDescent="0.25">
      <c r="A342" t="s">
        <v>346</v>
      </c>
      <c r="B342">
        <v>0.98018197421672304</v>
      </c>
      <c r="C342">
        <v>0.89819142121820805</v>
      </c>
      <c r="D342">
        <v>0.83369302762276698</v>
      </c>
      <c r="E342">
        <v>0.70544770544938895</v>
      </c>
      <c r="F342">
        <v>0.52993516682951303</v>
      </c>
      <c r="G342">
        <v>0.30549720952072301</v>
      </c>
      <c r="H342">
        <v>0.28467489486382802</v>
      </c>
      <c r="I342">
        <v>0.297879060598851</v>
      </c>
      <c r="J342">
        <v>0.28547835713570302</v>
      </c>
      <c r="K342">
        <v>0.37272241128248201</v>
      </c>
      <c r="L342">
        <v>780.01026506329197</v>
      </c>
      <c r="M342">
        <v>15.5164557530663</v>
      </c>
      <c r="N342">
        <v>53.077047090441297</v>
      </c>
      <c r="O342">
        <v>49.457101176309202</v>
      </c>
      <c r="P342">
        <v>-5.6483215289188801E-2</v>
      </c>
      <c r="Q342">
        <v>0.27992603223732299</v>
      </c>
      <c r="R342">
        <v>0.96987809619729004</v>
      </c>
      <c r="S342" t="s">
        <v>3971</v>
      </c>
      <c r="T342" t="s">
        <v>7256</v>
      </c>
      <c r="U342" t="s">
        <v>7256</v>
      </c>
      <c r="V342" t="s">
        <v>7256</v>
      </c>
      <c r="W342">
        <v>4</v>
      </c>
      <c r="X342" t="s">
        <v>7598</v>
      </c>
      <c r="Y342">
        <v>0.54247049196827013</v>
      </c>
      <c r="Z342" t="str">
        <f>HYPERLINK("Melting_Curves/meltCurve_sp_O96007_MOC2B_HUMAN_.pdf", "Melting_Curves/meltCurve_sp_O96007_MOC2B_HUMAN_.pdf")</f>
        <v>Melting_Curves/meltCurve_sp_O96007_MOC2B_HUMAN_.pdf</v>
      </c>
      <c r="AA342" t="s">
        <v>11222</v>
      </c>
      <c r="AB342" t="s">
        <v>14768</v>
      </c>
    </row>
    <row r="343" spans="1:28" x14ac:dyDescent="0.25">
      <c r="A343" t="s">
        <v>347</v>
      </c>
      <c r="B343">
        <v>0.98018197421672304</v>
      </c>
      <c r="C343">
        <v>0.96066546466076097</v>
      </c>
      <c r="D343">
        <v>0.91539165636339703</v>
      </c>
      <c r="E343">
        <v>0.80479656498840901</v>
      </c>
      <c r="F343">
        <v>0.72256346336016497</v>
      </c>
      <c r="G343">
        <v>0.61125186173281798</v>
      </c>
      <c r="H343">
        <v>0.44631152373147798</v>
      </c>
      <c r="I343">
        <v>0.43237000366329198</v>
      </c>
      <c r="J343">
        <v>0.51529412009874698</v>
      </c>
      <c r="K343">
        <v>0.39492083811286699</v>
      </c>
      <c r="L343">
        <v>628.39003016250695</v>
      </c>
      <c r="M343">
        <v>11.749695800392599</v>
      </c>
      <c r="N343">
        <v>61.062644644120297</v>
      </c>
      <c r="O343">
        <v>52.002722248733598</v>
      </c>
      <c r="P343">
        <v>-3.4819086125975299E-2</v>
      </c>
      <c r="Q343">
        <v>0.38374105998811397</v>
      </c>
      <c r="R343">
        <v>0.97492387358815402</v>
      </c>
      <c r="S343" t="s">
        <v>3972</v>
      </c>
      <c r="T343" t="s">
        <v>7256</v>
      </c>
      <c r="U343" t="s">
        <v>7256</v>
      </c>
      <c r="V343" t="s">
        <v>7256</v>
      </c>
      <c r="W343">
        <v>3</v>
      </c>
      <c r="X343" t="s">
        <v>7599</v>
      </c>
      <c r="Y343">
        <v>0.67790751496460733</v>
      </c>
      <c r="Z343" t="str">
        <f>HYPERLINK("Melting_Curves/meltCurve_sp_O96033_MOC2A_HUMAN_.pdf", "Melting_Curves/meltCurve_sp_O96033_MOC2A_HUMAN_.pdf")</f>
        <v>Melting_Curves/meltCurve_sp_O96033_MOC2A_HUMAN_.pdf</v>
      </c>
      <c r="AA343" t="s">
        <v>11222</v>
      </c>
      <c r="AB343" t="s">
        <v>14769</v>
      </c>
    </row>
    <row r="344" spans="1:28" x14ac:dyDescent="0.25">
      <c r="A344" t="s">
        <v>348</v>
      </c>
      <c r="B344">
        <v>0.98018197421672304</v>
      </c>
      <c r="C344">
        <v>0.90731180656364896</v>
      </c>
      <c r="D344">
        <v>0.92079291014855302</v>
      </c>
      <c r="E344">
        <v>0.81039169172349901</v>
      </c>
      <c r="F344">
        <v>0.79555515381769104</v>
      </c>
      <c r="G344">
        <v>0.71379764968422899</v>
      </c>
      <c r="H344">
        <v>0.48319364548068799</v>
      </c>
      <c r="I344">
        <v>0.35318480719313</v>
      </c>
      <c r="J344">
        <v>0.169329932591752</v>
      </c>
      <c r="K344">
        <v>0.133774371043858</v>
      </c>
      <c r="L344">
        <v>651.34980628305198</v>
      </c>
      <c r="M344">
        <v>10.872458312521299</v>
      </c>
      <c r="N344">
        <v>59.908236730438503</v>
      </c>
      <c r="O344">
        <v>57.9884421346651</v>
      </c>
      <c r="P344">
        <v>-4.6889925678931098E-2</v>
      </c>
      <c r="Q344">
        <v>0</v>
      </c>
      <c r="R344">
        <v>0.96696618864700501</v>
      </c>
      <c r="S344" t="s">
        <v>3973</v>
      </c>
      <c r="T344" t="s">
        <v>7256</v>
      </c>
      <c r="U344" t="s">
        <v>7256</v>
      </c>
      <c r="V344" t="s">
        <v>7256</v>
      </c>
      <c r="W344">
        <v>32</v>
      </c>
      <c r="X344" t="s">
        <v>7600</v>
      </c>
      <c r="Y344">
        <v>0.66347643340233486</v>
      </c>
      <c r="Z344" t="str">
        <f>HYPERLINK("Melting_Curves/meltCurve_sp_P00325_ADH1B_HUMAN_.pdf", "Melting_Curves/meltCurve_sp_P00325_ADH1B_HUMAN_.pdf")</f>
        <v>Melting_Curves/meltCurve_sp_P00325_ADH1B_HUMAN_.pdf</v>
      </c>
      <c r="AA344" t="s">
        <v>11223</v>
      </c>
      <c r="AB344" t="s">
        <v>14770</v>
      </c>
    </row>
    <row r="345" spans="1:28" x14ac:dyDescent="0.25">
      <c r="A345" t="s">
        <v>349</v>
      </c>
      <c r="B345">
        <v>0.98018197421672304</v>
      </c>
      <c r="C345">
        <v>1.0150995174970401</v>
      </c>
      <c r="D345">
        <v>0.98402481977120304</v>
      </c>
      <c r="E345">
        <v>0.90746962489029903</v>
      </c>
      <c r="F345">
        <v>0.88535373809408802</v>
      </c>
      <c r="G345">
        <v>0.79691365857486895</v>
      </c>
      <c r="H345">
        <v>0.54345972811413101</v>
      </c>
      <c r="I345">
        <v>0.61036933699278995</v>
      </c>
      <c r="J345">
        <v>0.31794532812458498</v>
      </c>
      <c r="K345">
        <v>0.27254158131995199</v>
      </c>
      <c r="L345">
        <v>656.77971271986303</v>
      </c>
      <c r="M345">
        <v>10.3065012584927</v>
      </c>
      <c r="N345">
        <v>63.724821505203202</v>
      </c>
      <c r="O345">
        <v>61.465647598161802</v>
      </c>
      <c r="P345">
        <v>-4.1937922768188897E-2</v>
      </c>
      <c r="Q345">
        <v>0</v>
      </c>
      <c r="R345">
        <v>0.96268979931512799</v>
      </c>
      <c r="S345" t="s">
        <v>3974</v>
      </c>
      <c r="T345" t="s">
        <v>7256</v>
      </c>
      <c r="U345" t="s">
        <v>7256</v>
      </c>
      <c r="V345" t="s">
        <v>7256</v>
      </c>
      <c r="W345">
        <v>26</v>
      </c>
      <c r="X345" t="s">
        <v>7601</v>
      </c>
      <c r="Y345">
        <v>0.75397238012643697</v>
      </c>
      <c r="Z345" t="str">
        <f>HYPERLINK("Melting_Curves/meltCurve_sp_P00326_ADH1G_HUMAN_.pdf", "Melting_Curves/meltCurve_sp_P00326_ADH1G_HUMAN_.pdf")</f>
        <v>Melting_Curves/meltCurve_sp_P00326_ADH1G_HUMAN_.pdf</v>
      </c>
      <c r="AA345" t="s">
        <v>11224</v>
      </c>
      <c r="AB345" t="s">
        <v>14771</v>
      </c>
    </row>
    <row r="346" spans="1:28" x14ac:dyDescent="0.25">
      <c r="A346" t="s">
        <v>350</v>
      </c>
      <c r="B346">
        <v>0.98018197421672304</v>
      </c>
      <c r="C346">
        <v>0.96719821499085801</v>
      </c>
      <c r="D346">
        <v>0.86687959043601304</v>
      </c>
      <c r="E346">
        <v>0.82270635610601095</v>
      </c>
      <c r="F346">
        <v>0.71790742623665404</v>
      </c>
      <c r="G346">
        <v>0.531799090391053</v>
      </c>
      <c r="H346">
        <v>0.142650913921368</v>
      </c>
      <c r="I346">
        <v>6.03717022869458E-2</v>
      </c>
      <c r="J346">
        <v>6.2742751554013196E-2</v>
      </c>
      <c r="K346">
        <v>4.2707626308694603E-2</v>
      </c>
      <c r="L346">
        <v>894.52423167730205</v>
      </c>
      <c r="M346">
        <v>15.9781483560425</v>
      </c>
      <c r="N346">
        <v>55.984242941005</v>
      </c>
      <c r="O346">
        <v>55.129336557166901</v>
      </c>
      <c r="P346">
        <v>-7.2463302019604103E-2</v>
      </c>
      <c r="Q346">
        <v>0</v>
      </c>
      <c r="R346">
        <v>0.97747929685466195</v>
      </c>
      <c r="S346" t="s">
        <v>3975</v>
      </c>
      <c r="T346" t="s">
        <v>7256</v>
      </c>
      <c r="U346" t="s">
        <v>7256</v>
      </c>
      <c r="V346" t="s">
        <v>7256</v>
      </c>
      <c r="W346">
        <v>24</v>
      </c>
      <c r="X346" t="s">
        <v>7602</v>
      </c>
      <c r="Y346">
        <v>0.54958112738134079</v>
      </c>
      <c r="Z346" t="str">
        <f>HYPERLINK("Melting_Curves/meltCurve_sp_P00338_LDHA_HUMAN_.pdf", "Melting_Curves/meltCurve_sp_P00338_LDHA_HUMAN_.pdf")</f>
        <v>Melting_Curves/meltCurve_sp_P00338_LDHA_HUMAN_.pdf</v>
      </c>
      <c r="AA346" t="s">
        <v>11225</v>
      </c>
      <c r="AB346" t="s">
        <v>14772</v>
      </c>
    </row>
    <row r="347" spans="1:28" x14ac:dyDescent="0.25">
      <c r="A347" t="s">
        <v>351</v>
      </c>
      <c r="B347">
        <v>0.98018197421672304</v>
      </c>
      <c r="C347">
        <v>0.92658966227135098</v>
      </c>
      <c r="D347">
        <v>0.884431240409014</v>
      </c>
      <c r="E347">
        <v>0.82951075876816804</v>
      </c>
      <c r="F347">
        <v>0.71253950287290801</v>
      </c>
      <c r="G347">
        <v>0.57360416862140895</v>
      </c>
      <c r="H347">
        <v>0.47457979942773099</v>
      </c>
      <c r="I347">
        <v>0.50071863490339497</v>
      </c>
      <c r="J347">
        <v>0.41992781298803</v>
      </c>
      <c r="K347">
        <v>0.226295279532265</v>
      </c>
      <c r="L347">
        <v>388.01774622651902</v>
      </c>
      <c r="M347">
        <v>6.3564641666761101</v>
      </c>
      <c r="N347">
        <v>61.043016434726503</v>
      </c>
      <c r="O347">
        <v>55.839233910612101</v>
      </c>
      <c r="P347">
        <v>-2.8533689800865101E-2</v>
      </c>
      <c r="Q347">
        <v>0</v>
      </c>
      <c r="R347">
        <v>0.96736891614557097</v>
      </c>
      <c r="S347" t="s">
        <v>3976</v>
      </c>
      <c r="T347" t="s">
        <v>7256</v>
      </c>
      <c r="U347" t="s">
        <v>7256</v>
      </c>
      <c r="V347" t="s">
        <v>7256</v>
      </c>
      <c r="W347">
        <v>43</v>
      </c>
      <c r="X347" t="s">
        <v>7603</v>
      </c>
      <c r="Y347">
        <v>0.65816149140199853</v>
      </c>
      <c r="Z347" t="str">
        <f>HYPERLINK("Melting_Curves/meltCurve_sp_P00352_AL1A1_HUMAN_.pdf", "Melting_Curves/meltCurve_sp_P00352_AL1A1_HUMAN_.pdf")</f>
        <v>Melting_Curves/meltCurve_sp_P00352_AL1A1_HUMAN_.pdf</v>
      </c>
      <c r="AA347" t="s">
        <v>11226</v>
      </c>
      <c r="AB347" t="s">
        <v>14773</v>
      </c>
    </row>
    <row r="348" spans="1:28" x14ac:dyDescent="0.25">
      <c r="A348" t="s">
        <v>352</v>
      </c>
      <c r="B348">
        <v>0.98018197421672304</v>
      </c>
      <c r="C348">
        <v>0.922613766926068</v>
      </c>
      <c r="D348">
        <v>0.82030208826226003</v>
      </c>
      <c r="E348">
        <v>0.61019411706445903</v>
      </c>
      <c r="F348">
        <v>0.164930453982465</v>
      </c>
      <c r="G348">
        <v>6.3649300719622201E-2</v>
      </c>
      <c r="H348">
        <v>3.2996705781718101E-2</v>
      </c>
      <c r="I348">
        <v>2.06348553281697E-2</v>
      </c>
      <c r="J348">
        <v>1.67891145585401E-2</v>
      </c>
      <c r="K348">
        <v>9.6084649843460792E-3</v>
      </c>
      <c r="L348">
        <v>1101.9568912551399</v>
      </c>
      <c r="M348">
        <v>21.952226792682101</v>
      </c>
      <c r="N348">
        <v>50.213053944756403</v>
      </c>
      <c r="O348">
        <v>49.786961533115097</v>
      </c>
      <c r="P348">
        <v>-0.109870658530313</v>
      </c>
      <c r="Q348">
        <v>3.2896082920959402E-3</v>
      </c>
      <c r="R348">
        <v>0.98681560392323697</v>
      </c>
      <c r="S348" t="s">
        <v>3977</v>
      </c>
      <c r="T348" t="s">
        <v>7256</v>
      </c>
      <c r="U348" t="s">
        <v>7256</v>
      </c>
      <c r="V348" t="s">
        <v>7256</v>
      </c>
      <c r="W348">
        <v>4</v>
      </c>
      <c r="X348" t="s">
        <v>7604</v>
      </c>
      <c r="Y348">
        <v>0.35366218120187981</v>
      </c>
      <c r="Z348" t="str">
        <f>HYPERLINK("Melting_Curves/meltCurve_sp_P00387_2_NB5R3_HUMAN_.pdf", "Melting_Curves/meltCurve_sp_P00387_2_NB5R3_HUMAN_.pdf")</f>
        <v>Melting_Curves/meltCurve_sp_P00387_2_NB5R3_HUMAN_.pdf</v>
      </c>
      <c r="AA348" t="s">
        <v>11227</v>
      </c>
      <c r="AB348" t="s">
        <v>14774</v>
      </c>
    </row>
    <row r="349" spans="1:28" x14ac:dyDescent="0.25">
      <c r="A349" t="s">
        <v>353</v>
      </c>
      <c r="B349">
        <v>0.98018197421672304</v>
      </c>
      <c r="C349">
        <v>0.78692419349078302</v>
      </c>
      <c r="D349">
        <v>0.85539304192565402</v>
      </c>
      <c r="E349">
        <v>0.79744144722515597</v>
      </c>
      <c r="F349">
        <v>0.69310019571249604</v>
      </c>
      <c r="G349">
        <v>0.56994825744599398</v>
      </c>
      <c r="H349">
        <v>0.34897607417913301</v>
      </c>
      <c r="I349">
        <v>0.293283894835352</v>
      </c>
      <c r="J349">
        <v>0.12273889945757301</v>
      </c>
      <c r="K349">
        <v>7.9318280186696094E-2</v>
      </c>
      <c r="L349">
        <v>534.61567931022398</v>
      </c>
      <c r="M349">
        <v>9.3886064649963199</v>
      </c>
      <c r="N349">
        <v>56.943032174053798</v>
      </c>
      <c r="O349">
        <v>54.538847936083201</v>
      </c>
      <c r="P349">
        <v>-4.3062949049708997E-2</v>
      </c>
      <c r="Q349">
        <v>0</v>
      </c>
      <c r="R349">
        <v>0.94834317542664504</v>
      </c>
      <c r="S349" t="s">
        <v>3978</v>
      </c>
      <c r="T349" t="s">
        <v>7256</v>
      </c>
      <c r="U349" t="s">
        <v>7256</v>
      </c>
      <c r="V349" t="s">
        <v>7256</v>
      </c>
      <c r="W349">
        <v>20</v>
      </c>
      <c r="X349" t="s">
        <v>7605</v>
      </c>
      <c r="Y349">
        <v>0.58013474311203861</v>
      </c>
      <c r="Z349" t="str">
        <f>HYPERLINK("Melting_Curves/meltCurve_sp_P00390_2_GSHR_HUMAN_.pdf", "Melting_Curves/meltCurve_sp_P00390_2_GSHR_HUMAN_.pdf")</f>
        <v>Melting_Curves/meltCurve_sp_P00390_2_GSHR_HUMAN_.pdf</v>
      </c>
      <c r="AA349" t="s">
        <v>11228</v>
      </c>
      <c r="AB349" t="s">
        <v>14775</v>
      </c>
    </row>
    <row r="350" spans="1:28" x14ac:dyDescent="0.25">
      <c r="A350" t="s">
        <v>354</v>
      </c>
      <c r="B350">
        <v>0.98018197421672304</v>
      </c>
      <c r="C350">
        <v>0.91596668350766497</v>
      </c>
      <c r="D350">
        <v>0.90775586998917401</v>
      </c>
      <c r="E350">
        <v>0.85102548186305604</v>
      </c>
      <c r="F350">
        <v>0.67029080355029003</v>
      </c>
      <c r="G350">
        <v>0.51249710540070303</v>
      </c>
      <c r="H350">
        <v>0.34217544491902002</v>
      </c>
      <c r="I350">
        <v>0.19501571948301499</v>
      </c>
      <c r="J350">
        <v>0.144035331641856</v>
      </c>
      <c r="K350">
        <v>0.14530179104941701</v>
      </c>
      <c r="L350">
        <v>612.12450885667204</v>
      </c>
      <c r="M350">
        <v>10.759787078852399</v>
      </c>
      <c r="N350">
        <v>56.890045066983603</v>
      </c>
      <c r="O350">
        <v>55.030626246032703</v>
      </c>
      <c r="P350">
        <v>-4.8898861683919402E-2</v>
      </c>
      <c r="Q350">
        <v>0</v>
      </c>
      <c r="R350">
        <v>0.992134468898769</v>
      </c>
      <c r="S350" t="s">
        <v>3979</v>
      </c>
      <c r="T350" t="s">
        <v>7256</v>
      </c>
      <c r="U350" t="s">
        <v>7256</v>
      </c>
      <c r="V350" t="s">
        <v>7256</v>
      </c>
      <c r="W350">
        <v>17</v>
      </c>
      <c r="X350" t="s">
        <v>7606</v>
      </c>
      <c r="Y350">
        <v>0.57997094876625477</v>
      </c>
      <c r="Z350" t="str">
        <f>HYPERLINK("Melting_Curves/meltCurve_sp_P00390_5_GSHR_HUMAN_.pdf", "Melting_Curves/meltCurve_sp_P00390_5_GSHR_HUMAN_.pdf")</f>
        <v>Melting_Curves/meltCurve_sp_P00390_5_GSHR_HUMAN_.pdf</v>
      </c>
      <c r="AA350" t="s">
        <v>11228</v>
      </c>
      <c r="AB350" t="s">
        <v>14776</v>
      </c>
    </row>
    <row r="351" spans="1:28" x14ac:dyDescent="0.25">
      <c r="A351" t="s">
        <v>355</v>
      </c>
      <c r="B351">
        <v>0.98018197421672304</v>
      </c>
      <c r="C351">
        <v>0.896358495314871</v>
      </c>
      <c r="D351">
        <v>0.71759018099781102</v>
      </c>
      <c r="E351">
        <v>0.40774560748363298</v>
      </c>
      <c r="F351">
        <v>0.14618343808370901</v>
      </c>
      <c r="G351">
        <v>7.2063857398005804E-2</v>
      </c>
      <c r="H351">
        <v>4.5131888852189203E-2</v>
      </c>
      <c r="I351">
        <v>3.54219561342334E-2</v>
      </c>
      <c r="J351">
        <v>4.8324148603101802E-2</v>
      </c>
      <c r="K351">
        <v>2.3972546554645102E-2</v>
      </c>
      <c r="L351">
        <v>882.801929297632</v>
      </c>
      <c r="M351">
        <v>18.2541069796249</v>
      </c>
      <c r="N351">
        <v>48.483930040915297</v>
      </c>
      <c r="O351">
        <v>47.7926267665759</v>
      </c>
      <c r="P351">
        <v>-9.3345282037817501E-2</v>
      </c>
      <c r="Q351">
        <v>2.2464820371766302E-2</v>
      </c>
      <c r="R351">
        <v>0.99705964333933605</v>
      </c>
      <c r="S351" t="s">
        <v>3980</v>
      </c>
      <c r="T351" t="s">
        <v>7256</v>
      </c>
      <c r="U351" t="s">
        <v>7256</v>
      </c>
      <c r="V351" t="s">
        <v>7256</v>
      </c>
      <c r="W351">
        <v>29</v>
      </c>
      <c r="X351" t="s">
        <v>7607</v>
      </c>
      <c r="Y351">
        <v>0.31161294384543842</v>
      </c>
      <c r="Z351" t="str">
        <f>HYPERLINK("Melting_Curves/meltCurve_sp_P00439_PH4H_HUMAN_.pdf", "Melting_Curves/meltCurve_sp_P00439_PH4H_HUMAN_.pdf")</f>
        <v>Melting_Curves/meltCurve_sp_P00439_PH4H_HUMAN_.pdf</v>
      </c>
      <c r="AA351" t="s">
        <v>11229</v>
      </c>
      <c r="AB351" t="s">
        <v>14777</v>
      </c>
    </row>
    <row r="352" spans="1:28" x14ac:dyDescent="0.25">
      <c r="A352" t="s">
        <v>356</v>
      </c>
      <c r="B352">
        <v>0.98018197421672304</v>
      </c>
      <c r="C352">
        <v>0.97941166007042202</v>
      </c>
      <c r="D352">
        <v>0.91422166953169104</v>
      </c>
      <c r="E352">
        <v>0.81748177443709102</v>
      </c>
      <c r="F352">
        <v>0.62177776777411198</v>
      </c>
      <c r="G352">
        <v>0.30494800772046599</v>
      </c>
      <c r="H352">
        <v>0.17168482434301099</v>
      </c>
      <c r="I352">
        <v>0.17290744372841901</v>
      </c>
      <c r="J352">
        <v>0.17297488857660201</v>
      </c>
      <c r="K352">
        <v>0.13672109298589899</v>
      </c>
      <c r="L352">
        <v>1057.5118624991601</v>
      </c>
      <c r="M352">
        <v>19.8209231229146</v>
      </c>
      <c r="N352">
        <v>54.197312933134</v>
      </c>
      <c r="O352">
        <v>52.819130334011703</v>
      </c>
      <c r="P352">
        <v>-8.1360392864484196E-2</v>
      </c>
      <c r="Q352">
        <v>0.13278699242105199</v>
      </c>
      <c r="R352">
        <v>0.99539654745814898</v>
      </c>
      <c r="S352" t="s">
        <v>3981</v>
      </c>
      <c r="T352" t="s">
        <v>7256</v>
      </c>
      <c r="U352" t="s">
        <v>7256</v>
      </c>
      <c r="V352" t="s">
        <v>7256</v>
      </c>
      <c r="W352">
        <v>16</v>
      </c>
      <c r="X352" t="s">
        <v>7608</v>
      </c>
      <c r="Y352">
        <v>0.53085931663631891</v>
      </c>
      <c r="Z352" t="str">
        <f>HYPERLINK("Melting_Curves/meltCurve_sp_P00450_CERU_HUMAN_.pdf", "Melting_Curves/meltCurve_sp_P00450_CERU_HUMAN_.pdf")</f>
        <v>Melting_Curves/meltCurve_sp_P00450_CERU_HUMAN_.pdf</v>
      </c>
      <c r="AA352" t="s">
        <v>11230</v>
      </c>
      <c r="AB352" t="s">
        <v>14778</v>
      </c>
    </row>
    <row r="353" spans="1:28" x14ac:dyDescent="0.25">
      <c r="A353" t="s">
        <v>357</v>
      </c>
      <c r="B353">
        <v>0.98018197421672304</v>
      </c>
      <c r="C353">
        <v>0.98820970084253601</v>
      </c>
      <c r="D353">
        <v>0.93779055630681796</v>
      </c>
      <c r="E353">
        <v>0.85207821543926598</v>
      </c>
      <c r="F353">
        <v>0.78588592887372</v>
      </c>
      <c r="G353">
        <v>0.68739147822256597</v>
      </c>
      <c r="H353">
        <v>0.44235019429915701</v>
      </c>
      <c r="I353">
        <v>0.14782770088685701</v>
      </c>
      <c r="J353">
        <v>4.9620447054833899E-2</v>
      </c>
      <c r="K353">
        <v>4.2006021045510801E-2</v>
      </c>
      <c r="L353">
        <v>942.31145301546906</v>
      </c>
      <c r="M353">
        <v>16.030697703547499</v>
      </c>
      <c r="N353">
        <v>58.781687393365097</v>
      </c>
      <c r="O353">
        <v>57.889785503453503</v>
      </c>
      <c r="P353">
        <v>-6.92347772021078E-2</v>
      </c>
      <c r="Q353">
        <v>0</v>
      </c>
      <c r="R353">
        <v>0.97243290217987899</v>
      </c>
      <c r="S353" t="s">
        <v>3982</v>
      </c>
      <c r="T353" t="s">
        <v>7256</v>
      </c>
      <c r="U353" t="s">
        <v>7256</v>
      </c>
      <c r="V353" t="s">
        <v>7256</v>
      </c>
      <c r="W353">
        <v>19</v>
      </c>
      <c r="X353" t="s">
        <v>7609</v>
      </c>
      <c r="Y353">
        <v>0.63734429737601273</v>
      </c>
      <c r="Z353" t="str">
        <f>HYPERLINK("Melting_Curves/meltCurve_sp_P00480_OTC_HUMAN_.pdf", "Melting_Curves/meltCurve_sp_P00480_OTC_HUMAN_.pdf")</f>
        <v>Melting_Curves/meltCurve_sp_P00480_OTC_HUMAN_.pdf</v>
      </c>
      <c r="AA353" t="s">
        <v>11231</v>
      </c>
      <c r="AB353" t="s">
        <v>14779</v>
      </c>
    </row>
    <row r="354" spans="1:28" x14ac:dyDescent="0.25">
      <c r="A354" t="s">
        <v>358</v>
      </c>
      <c r="B354">
        <v>0.98018197421672304</v>
      </c>
      <c r="C354">
        <v>0.96610409899222505</v>
      </c>
      <c r="D354">
        <v>0.89635814395625002</v>
      </c>
      <c r="E354">
        <v>0.821347916912192</v>
      </c>
      <c r="F354">
        <v>0.72460035305650305</v>
      </c>
      <c r="G354">
        <v>0.63421089327621805</v>
      </c>
      <c r="H354">
        <v>0.47786616472656401</v>
      </c>
      <c r="I354">
        <v>0.46601322860970401</v>
      </c>
      <c r="J354">
        <v>0.31474690548462902</v>
      </c>
      <c r="K354">
        <v>0.139140630450726</v>
      </c>
      <c r="L354">
        <v>485.22939401633198</v>
      </c>
      <c r="M354">
        <v>8.0607762120346091</v>
      </c>
      <c r="N354">
        <v>60.196360668755901</v>
      </c>
      <c r="O354">
        <v>56.830906049879999</v>
      </c>
      <c r="P354">
        <v>-3.5498460171133998E-2</v>
      </c>
      <c r="Q354">
        <v>0</v>
      </c>
      <c r="R354">
        <v>0.97259402859483002</v>
      </c>
      <c r="S354" t="s">
        <v>3983</v>
      </c>
      <c r="T354" t="s">
        <v>7256</v>
      </c>
      <c r="U354" t="s">
        <v>7256</v>
      </c>
      <c r="V354" t="s">
        <v>7256</v>
      </c>
      <c r="W354">
        <v>12</v>
      </c>
      <c r="X354" t="s">
        <v>7610</v>
      </c>
      <c r="Y354">
        <v>0.65655452712857076</v>
      </c>
      <c r="Z354" t="str">
        <f>HYPERLINK("Melting_Curves/meltCurve_sp_P00491_PNPH_HUMAN_.pdf", "Melting_Curves/meltCurve_sp_P00491_PNPH_HUMAN_.pdf")</f>
        <v>Melting_Curves/meltCurve_sp_P00491_PNPH_HUMAN_.pdf</v>
      </c>
      <c r="AA354" t="s">
        <v>11232</v>
      </c>
      <c r="AB354" t="s">
        <v>14780</v>
      </c>
    </row>
    <row r="355" spans="1:28" x14ac:dyDescent="0.25">
      <c r="A355" t="s">
        <v>359</v>
      </c>
      <c r="B355">
        <v>0.98018197421672304</v>
      </c>
      <c r="C355">
        <v>0.98061215814773295</v>
      </c>
      <c r="D355">
        <v>0.89996127251064895</v>
      </c>
      <c r="E355">
        <v>0.81174236616616702</v>
      </c>
      <c r="F355">
        <v>0.70911672418528604</v>
      </c>
      <c r="G355">
        <v>0.59074687760828704</v>
      </c>
      <c r="H355">
        <v>0.46087102904722899</v>
      </c>
      <c r="I355">
        <v>0.50039494587947198</v>
      </c>
      <c r="J355">
        <v>0.50660390748519601</v>
      </c>
      <c r="K355">
        <v>0.48623293506880899</v>
      </c>
      <c r="L355">
        <v>736.24390616266896</v>
      </c>
      <c r="M355">
        <v>14.169108854127</v>
      </c>
      <c r="N355">
        <v>63.439289696850601</v>
      </c>
      <c r="O355">
        <v>50.959043552884303</v>
      </c>
      <c r="P355">
        <v>-3.7437947405565199E-2</v>
      </c>
      <c r="Q355">
        <v>0.46148733685767801</v>
      </c>
      <c r="R355">
        <v>0.986333750973866</v>
      </c>
      <c r="S355" t="s">
        <v>3984</v>
      </c>
      <c r="T355" t="s">
        <v>7256</v>
      </c>
      <c r="U355" t="s">
        <v>7256</v>
      </c>
      <c r="V355" t="s">
        <v>7256</v>
      </c>
      <c r="W355">
        <v>11</v>
      </c>
      <c r="X355" t="s">
        <v>7611</v>
      </c>
      <c r="Y355">
        <v>0.68932963896263622</v>
      </c>
      <c r="Z355" t="str">
        <f>HYPERLINK("Melting_Curves/meltCurve_sp_P00492_HPRT_HUMAN_.pdf", "Melting_Curves/meltCurve_sp_P00492_HPRT_HUMAN_.pdf")</f>
        <v>Melting_Curves/meltCurve_sp_P00492_HPRT_HUMAN_.pdf</v>
      </c>
      <c r="AA355" t="s">
        <v>11233</v>
      </c>
      <c r="AB355" t="s">
        <v>14781</v>
      </c>
    </row>
    <row r="356" spans="1:28" x14ac:dyDescent="0.25">
      <c r="A356" t="s">
        <v>360</v>
      </c>
      <c r="B356">
        <v>0.98018197421672304</v>
      </c>
      <c r="C356">
        <v>1.4849837067834499</v>
      </c>
      <c r="D356">
        <v>0.83261263422819098</v>
      </c>
      <c r="E356">
        <v>0.81178268350177896</v>
      </c>
      <c r="F356">
        <v>0.69905356295624899</v>
      </c>
      <c r="G356">
        <v>0.55003986241202796</v>
      </c>
      <c r="H356">
        <v>0.43278381806788402</v>
      </c>
      <c r="I356">
        <v>0.51004915112240901</v>
      </c>
      <c r="J356">
        <v>0.28861622523413999</v>
      </c>
      <c r="K356">
        <v>0.27264715538157103</v>
      </c>
      <c r="L356">
        <v>755.66161219406297</v>
      </c>
      <c r="M356">
        <v>13.8357184904426</v>
      </c>
      <c r="N356">
        <v>58.397970115412001</v>
      </c>
      <c r="O356">
        <v>53.5136984381896</v>
      </c>
      <c r="P356">
        <v>-4.5518617761079003E-2</v>
      </c>
      <c r="Q356">
        <v>0.29587132630044399</v>
      </c>
      <c r="R356">
        <v>0.75879873267275799</v>
      </c>
      <c r="S356" t="s">
        <v>3985</v>
      </c>
      <c r="T356" t="s">
        <v>7256</v>
      </c>
      <c r="U356" t="s">
        <v>7256</v>
      </c>
      <c r="V356" t="s">
        <v>7256</v>
      </c>
      <c r="W356">
        <v>41</v>
      </c>
      <c r="X356" t="s">
        <v>7612</v>
      </c>
      <c r="Y356">
        <v>0.65413321994237361</v>
      </c>
      <c r="Z356" t="str">
        <f>HYPERLINK("Melting_Curves/meltCurve_sp_P00505_AATM_HUMAN_.pdf", "Melting_Curves/meltCurve_sp_P00505_AATM_HUMAN_.pdf")</f>
        <v>Melting_Curves/meltCurve_sp_P00505_AATM_HUMAN_.pdf</v>
      </c>
      <c r="AA356" t="s">
        <v>11234</v>
      </c>
      <c r="AB356" t="s">
        <v>14782</v>
      </c>
    </row>
    <row r="357" spans="1:28" x14ac:dyDescent="0.25">
      <c r="A357" t="s">
        <v>361</v>
      </c>
      <c r="B357">
        <v>0.98018197421672304</v>
      </c>
      <c r="C357">
        <v>0.98430802729125</v>
      </c>
      <c r="D357">
        <v>1.0022486031534801</v>
      </c>
      <c r="E357">
        <v>0.84852688310063396</v>
      </c>
      <c r="F357">
        <v>0.25652397666339499</v>
      </c>
      <c r="G357">
        <v>8.5377702064396002E-2</v>
      </c>
      <c r="H357">
        <v>4.4148140863156903E-2</v>
      </c>
      <c r="I357">
        <v>3.58229472072129E-2</v>
      </c>
      <c r="J357">
        <v>3.6043358806275398E-2</v>
      </c>
      <c r="K357">
        <v>2.8270208445616798E-2</v>
      </c>
      <c r="L357">
        <v>2540.4430490619602</v>
      </c>
      <c r="M357">
        <v>49.158485998170498</v>
      </c>
      <c r="N357">
        <v>51.774043543682701</v>
      </c>
      <c r="O357">
        <v>51.593325563094297</v>
      </c>
      <c r="P357">
        <v>-0.227887163548356</v>
      </c>
      <c r="Q357">
        <v>4.3302928608979503E-2</v>
      </c>
      <c r="R357">
        <v>0.99890086293182101</v>
      </c>
      <c r="S357" t="s">
        <v>3986</v>
      </c>
      <c r="T357" t="s">
        <v>7256</v>
      </c>
      <c r="U357" t="s">
        <v>7256</v>
      </c>
      <c r="V357" t="s">
        <v>7256</v>
      </c>
      <c r="W357">
        <v>34</v>
      </c>
      <c r="X357" t="s">
        <v>7613</v>
      </c>
      <c r="Y357">
        <v>0.41798963763362768</v>
      </c>
      <c r="Z357" t="str">
        <f>HYPERLINK("Melting_Curves/meltCurve_sp_P00558_PGK1_HUMAN_.pdf", "Melting_Curves/meltCurve_sp_P00558_PGK1_HUMAN_.pdf")</f>
        <v>Melting_Curves/meltCurve_sp_P00558_PGK1_HUMAN_.pdf</v>
      </c>
      <c r="AA357" t="s">
        <v>11235</v>
      </c>
      <c r="AB357" t="s">
        <v>14783</v>
      </c>
    </row>
    <row r="358" spans="1:28" x14ac:dyDescent="0.25">
      <c r="A358" t="s">
        <v>362</v>
      </c>
      <c r="B358">
        <v>0.98018197421672304</v>
      </c>
      <c r="C358">
        <v>1.0140145673122001</v>
      </c>
      <c r="D358">
        <v>0.98445056145838905</v>
      </c>
      <c r="E358">
        <v>0.72761271808244798</v>
      </c>
      <c r="F358">
        <v>0.36257495211583002</v>
      </c>
      <c r="G358">
        <v>0.12826828696495601</v>
      </c>
      <c r="H358">
        <v>7.4090909466111493E-2</v>
      </c>
      <c r="I358">
        <v>6.4867821760359004E-2</v>
      </c>
      <c r="J358">
        <v>5.9481276254843403E-2</v>
      </c>
      <c r="K358">
        <v>6.0503068034664799E-2</v>
      </c>
      <c r="L358">
        <v>1465.59370128917</v>
      </c>
      <c r="M358">
        <v>28.4003619206133</v>
      </c>
      <c r="N358">
        <v>51.845337654694397</v>
      </c>
      <c r="O358">
        <v>51.350946547397299</v>
      </c>
      <c r="P358">
        <v>-0.129731576785617</v>
      </c>
      <c r="Q358">
        <v>6.1732621322656799E-2</v>
      </c>
      <c r="R358">
        <v>0.99945069481669102</v>
      </c>
      <c r="S358" t="s">
        <v>3987</v>
      </c>
      <c r="T358" t="s">
        <v>7256</v>
      </c>
      <c r="U358" t="s">
        <v>7256</v>
      </c>
      <c r="V358" t="s">
        <v>7256</v>
      </c>
      <c r="W358">
        <v>9</v>
      </c>
      <c r="X358" t="s">
        <v>7614</v>
      </c>
      <c r="Y358">
        <v>0.4313203710309837</v>
      </c>
      <c r="Z358" t="str">
        <f>HYPERLINK("Melting_Curves/meltCurve_sp_P00568_KAD1_HUMAN_.pdf", "Melting_Curves/meltCurve_sp_P00568_KAD1_HUMAN_.pdf")</f>
        <v>Melting_Curves/meltCurve_sp_P00568_KAD1_HUMAN_.pdf</v>
      </c>
      <c r="AA358" t="s">
        <v>11236</v>
      </c>
      <c r="AB358" t="s">
        <v>14784</v>
      </c>
    </row>
    <row r="359" spans="1:28" x14ac:dyDescent="0.25">
      <c r="A359" t="s">
        <v>363</v>
      </c>
      <c r="B359">
        <v>0.98018197421672304</v>
      </c>
      <c r="C359">
        <v>0.93454110341700203</v>
      </c>
      <c r="D359">
        <v>0.833928652496845</v>
      </c>
      <c r="E359">
        <v>0.59602802619332196</v>
      </c>
      <c r="F359">
        <v>0.29711205596199602</v>
      </c>
      <c r="G359">
        <v>0.15440959981998301</v>
      </c>
      <c r="H359">
        <v>0.103341273362308</v>
      </c>
      <c r="I359">
        <v>8.9904026951910701E-2</v>
      </c>
      <c r="J359">
        <v>8.3597436648164894E-2</v>
      </c>
      <c r="K359">
        <v>5.5259172221226997E-2</v>
      </c>
      <c r="L359">
        <v>897.48761464241602</v>
      </c>
      <c r="M359">
        <v>17.845455331608001</v>
      </c>
      <c r="N359">
        <v>50.656083872933998</v>
      </c>
      <c r="O359">
        <v>49.6734599991861</v>
      </c>
      <c r="P359">
        <v>-8.4415513144703594E-2</v>
      </c>
      <c r="Q359">
        <v>6.0153948605561398E-2</v>
      </c>
      <c r="R359">
        <v>0.99683236406118303</v>
      </c>
      <c r="S359" t="s">
        <v>3988</v>
      </c>
      <c r="T359" t="s">
        <v>7256</v>
      </c>
      <c r="U359" t="s">
        <v>7256</v>
      </c>
      <c r="V359" t="s">
        <v>7256</v>
      </c>
      <c r="W359">
        <v>9</v>
      </c>
      <c r="X359" t="s">
        <v>7615</v>
      </c>
      <c r="Y359">
        <v>0.39881879038533469</v>
      </c>
      <c r="Z359" t="str">
        <f>HYPERLINK("Melting_Curves/meltCurve_sp_P00734_THRB_HUMAN_.pdf", "Melting_Curves/meltCurve_sp_P00734_THRB_HUMAN_.pdf")</f>
        <v>Melting_Curves/meltCurve_sp_P00734_THRB_HUMAN_.pdf</v>
      </c>
      <c r="AA359" t="s">
        <v>11237</v>
      </c>
      <c r="AB359" t="s">
        <v>14785</v>
      </c>
    </row>
    <row r="360" spans="1:28" x14ac:dyDescent="0.25">
      <c r="A360" t="s">
        <v>364</v>
      </c>
      <c r="B360">
        <v>0.98018197421672304</v>
      </c>
      <c r="C360">
        <v>0.95002373485102198</v>
      </c>
      <c r="D360">
        <v>0.75690212745510399</v>
      </c>
      <c r="E360">
        <v>0.45669533911210097</v>
      </c>
      <c r="F360">
        <v>0.23961338794019599</v>
      </c>
      <c r="G360">
        <v>0.112589634422716</v>
      </c>
      <c r="H360">
        <v>6.6509788593639305E-2</v>
      </c>
      <c r="I360">
        <v>4.9460350265768498E-2</v>
      </c>
      <c r="J360">
        <v>3.6604947640847998E-2</v>
      </c>
      <c r="K360">
        <v>2.9510597678354501E-2</v>
      </c>
      <c r="L360">
        <v>849.15768138696103</v>
      </c>
      <c r="M360">
        <v>17.265338212551701</v>
      </c>
      <c r="N360">
        <v>49.351929327971597</v>
      </c>
      <c r="O360">
        <v>48.537224913901198</v>
      </c>
      <c r="P360">
        <v>-8.6378812571774405E-2</v>
      </c>
      <c r="Q360">
        <v>2.87259318650324E-2</v>
      </c>
      <c r="R360">
        <v>0.99927868190563496</v>
      </c>
      <c r="S360" t="s">
        <v>3989</v>
      </c>
      <c r="T360" t="s">
        <v>7256</v>
      </c>
      <c r="U360" t="s">
        <v>7256</v>
      </c>
      <c r="V360" t="s">
        <v>7256</v>
      </c>
      <c r="W360">
        <v>4</v>
      </c>
      <c r="X360" t="s">
        <v>7616</v>
      </c>
      <c r="Y360">
        <v>0.34422566079895017</v>
      </c>
      <c r="Z360" t="str">
        <f>HYPERLINK("Melting_Curves/meltCurve_sp_P00736_C1R_HUMAN_.pdf", "Melting_Curves/meltCurve_sp_P00736_C1R_HUMAN_.pdf")</f>
        <v>Melting_Curves/meltCurve_sp_P00736_C1R_HUMAN_.pdf</v>
      </c>
      <c r="AA360" t="s">
        <v>11238</v>
      </c>
      <c r="AB360" t="s">
        <v>14786</v>
      </c>
    </row>
    <row r="361" spans="1:28" x14ac:dyDescent="0.25">
      <c r="A361" t="s">
        <v>365</v>
      </c>
      <c r="B361">
        <v>0.98018197421672304</v>
      </c>
      <c r="C361">
        <v>0.98961574641610806</v>
      </c>
      <c r="D361">
        <v>0.93786390089541904</v>
      </c>
      <c r="E361">
        <v>0.86575572651199295</v>
      </c>
      <c r="F361">
        <v>0.78747560770685399</v>
      </c>
      <c r="G361">
        <v>0.63512165517288099</v>
      </c>
      <c r="H361">
        <v>0.35468695687579099</v>
      </c>
      <c r="I361">
        <v>0.212258999136274</v>
      </c>
      <c r="J361">
        <v>0.168376675434669</v>
      </c>
      <c r="K361">
        <v>0.21540609740559299</v>
      </c>
      <c r="L361">
        <v>813.77240217862504</v>
      </c>
      <c r="M361">
        <v>14.148188100367699</v>
      </c>
      <c r="N361">
        <v>58.323124412978203</v>
      </c>
      <c r="O361">
        <v>56.405279300458901</v>
      </c>
      <c r="P361">
        <v>-5.7150763330023502E-2</v>
      </c>
      <c r="Q361">
        <v>8.87326610793336E-2</v>
      </c>
      <c r="R361">
        <v>0.98671727365689899</v>
      </c>
      <c r="S361" t="s">
        <v>3990</v>
      </c>
      <c r="T361" t="s">
        <v>7256</v>
      </c>
      <c r="U361" t="s">
        <v>7256</v>
      </c>
      <c r="V361" t="s">
        <v>7256</v>
      </c>
      <c r="W361">
        <v>28</v>
      </c>
      <c r="X361" t="s">
        <v>7617</v>
      </c>
      <c r="Y361">
        <v>0.63443018367195714</v>
      </c>
      <c r="Z361" t="str">
        <f>HYPERLINK("Melting_Curves/meltCurve_sp_P00738_HPT_HUMAN_.pdf", "Melting_Curves/meltCurve_sp_P00738_HPT_HUMAN_.pdf")</f>
        <v>Melting_Curves/meltCurve_sp_P00738_HPT_HUMAN_.pdf</v>
      </c>
      <c r="AA361" t="s">
        <v>11239</v>
      </c>
      <c r="AB361" t="s">
        <v>14787</v>
      </c>
    </row>
    <row r="362" spans="1:28" x14ac:dyDescent="0.25">
      <c r="A362" t="s">
        <v>366</v>
      </c>
      <c r="B362">
        <v>0.98018197421672304</v>
      </c>
      <c r="C362">
        <v>0.97515692752250804</v>
      </c>
      <c r="D362">
        <v>0.92686323198941201</v>
      </c>
      <c r="E362">
        <v>0.74347087497112196</v>
      </c>
      <c r="F362">
        <v>0.63403121226771098</v>
      </c>
      <c r="G362">
        <v>0.50292552844674299</v>
      </c>
      <c r="H362">
        <v>0.304496426373146</v>
      </c>
      <c r="I362">
        <v>0.27588741391933902</v>
      </c>
      <c r="J362">
        <v>0.333230161717114</v>
      </c>
      <c r="K362">
        <v>0.31261816993324398</v>
      </c>
      <c r="L362">
        <v>748.10899675188602</v>
      </c>
      <c r="M362">
        <v>14.1761962634568</v>
      </c>
      <c r="N362">
        <v>55.747074232299603</v>
      </c>
      <c r="O362">
        <v>51.755382239212203</v>
      </c>
      <c r="P362">
        <v>-5.0313172792305003E-2</v>
      </c>
      <c r="Q362">
        <v>0.26534612716141298</v>
      </c>
      <c r="R362">
        <v>0.98666922036528804</v>
      </c>
      <c r="S362" t="s">
        <v>3991</v>
      </c>
      <c r="T362" t="s">
        <v>7256</v>
      </c>
      <c r="U362" t="s">
        <v>7256</v>
      </c>
      <c r="V362" t="s">
        <v>7256</v>
      </c>
      <c r="W362">
        <v>1</v>
      </c>
      <c r="X362" t="s">
        <v>7618</v>
      </c>
      <c r="Y362">
        <v>0.59537942058767634</v>
      </c>
      <c r="Z362" t="str">
        <f>HYPERLINK("Melting_Curves/meltCurve_sp_P00740_FA9_HUMAN_.pdf", "Melting_Curves/meltCurve_sp_P00740_FA9_HUMAN_.pdf")</f>
        <v>Melting_Curves/meltCurve_sp_P00740_FA9_HUMAN_.pdf</v>
      </c>
      <c r="AA362" t="s">
        <v>11240</v>
      </c>
      <c r="AB362" t="s">
        <v>14788</v>
      </c>
    </row>
    <row r="363" spans="1:28" x14ac:dyDescent="0.25">
      <c r="A363" t="s">
        <v>367</v>
      </c>
      <c r="B363">
        <v>0.98018197421672304</v>
      </c>
      <c r="C363">
        <v>0.931129874136994</v>
      </c>
      <c r="D363">
        <v>0.70128831352288701</v>
      </c>
      <c r="E363">
        <v>0.43734904772747002</v>
      </c>
      <c r="F363">
        <v>0.293853588463309</v>
      </c>
      <c r="G363">
        <v>0.16866068114013599</v>
      </c>
      <c r="H363">
        <v>0.170320358667713</v>
      </c>
      <c r="I363">
        <v>0.15988174673497499</v>
      </c>
      <c r="J363">
        <v>0.167035590261158</v>
      </c>
      <c r="K363">
        <v>0.24929633088976899</v>
      </c>
      <c r="L363">
        <v>910.31118305957898</v>
      </c>
      <c r="M363">
        <v>19.090981844857701</v>
      </c>
      <c r="N363">
        <v>48.788051242439302</v>
      </c>
      <c r="O363">
        <v>47.168843645057301</v>
      </c>
      <c r="P363">
        <v>-8.3424266790470103E-2</v>
      </c>
      <c r="Q363">
        <v>0.17555372845922099</v>
      </c>
      <c r="R363">
        <v>0.99015790826150996</v>
      </c>
      <c r="S363" t="s">
        <v>3992</v>
      </c>
      <c r="T363" t="s">
        <v>7256</v>
      </c>
      <c r="U363" t="s">
        <v>7256</v>
      </c>
      <c r="V363" t="s">
        <v>7256</v>
      </c>
      <c r="W363">
        <v>4</v>
      </c>
      <c r="X363" t="s">
        <v>7619</v>
      </c>
      <c r="Y363">
        <v>0.39972940024495829</v>
      </c>
      <c r="Z363" t="str">
        <f>HYPERLINK("Melting_Curves/meltCurve_sp_P00747_PLMN_HUMAN_.pdf", "Melting_Curves/meltCurve_sp_P00747_PLMN_HUMAN_.pdf")</f>
        <v>Melting_Curves/meltCurve_sp_P00747_PLMN_HUMAN_.pdf</v>
      </c>
      <c r="AA363" t="s">
        <v>11241</v>
      </c>
      <c r="AB363" t="s">
        <v>14789</v>
      </c>
    </row>
    <row r="364" spans="1:28" x14ac:dyDescent="0.25">
      <c r="A364" t="s">
        <v>368</v>
      </c>
      <c r="B364">
        <v>0.98018197421672304</v>
      </c>
      <c r="C364">
        <v>0.74717134856478196</v>
      </c>
      <c r="D364">
        <v>1.0710914399051199</v>
      </c>
      <c r="E364">
        <v>0.50683733990741497</v>
      </c>
      <c r="F364">
        <v>0.29930785488224398</v>
      </c>
      <c r="G364">
        <v>0.229585573628766</v>
      </c>
      <c r="H364">
        <v>0.139984579829846</v>
      </c>
      <c r="I364">
        <v>4.9752459905327298E-2</v>
      </c>
      <c r="J364">
        <v>3.6165821322342903E-2</v>
      </c>
      <c r="K364">
        <v>2.6037025508044698E-2</v>
      </c>
      <c r="L364">
        <v>1037.62012718552</v>
      </c>
      <c r="M364">
        <v>20.561609350475599</v>
      </c>
      <c r="N364">
        <v>50.798187298571698</v>
      </c>
      <c r="O364">
        <v>49.993900456959601</v>
      </c>
      <c r="P364">
        <v>-9.6318190453610703E-2</v>
      </c>
      <c r="Q364">
        <v>6.3267576774375001E-2</v>
      </c>
      <c r="R364">
        <v>0.92648074432998195</v>
      </c>
      <c r="S364" t="s">
        <v>3993</v>
      </c>
      <c r="T364" t="s">
        <v>7256</v>
      </c>
      <c r="U364" t="s">
        <v>7256</v>
      </c>
      <c r="V364" t="s">
        <v>7256</v>
      </c>
      <c r="W364">
        <v>33</v>
      </c>
      <c r="X364" t="s">
        <v>7620</v>
      </c>
      <c r="Y364">
        <v>0.40234499184593608</v>
      </c>
      <c r="Z364" t="str">
        <f>HYPERLINK("Melting_Curves/meltCurve_sp_P00966_ASSY_HUMAN_.pdf", "Melting_Curves/meltCurve_sp_P00966_ASSY_HUMAN_.pdf")</f>
        <v>Melting_Curves/meltCurve_sp_P00966_ASSY_HUMAN_.pdf</v>
      </c>
      <c r="AA364" t="s">
        <v>11242</v>
      </c>
      <c r="AB364" t="s">
        <v>14790</v>
      </c>
    </row>
    <row r="365" spans="1:28" x14ac:dyDescent="0.25">
      <c r="A365" t="s">
        <v>369</v>
      </c>
      <c r="B365">
        <v>0.98018197421672304</v>
      </c>
      <c r="C365">
        <v>0.92914750555182501</v>
      </c>
      <c r="D365">
        <v>0.95324556487340995</v>
      </c>
      <c r="E365">
        <v>0.82708427497246895</v>
      </c>
      <c r="F365">
        <v>0.79040414470021103</v>
      </c>
      <c r="G365">
        <v>0.67341990099703997</v>
      </c>
      <c r="H365">
        <v>0.43790333992355202</v>
      </c>
      <c r="I365">
        <v>0.35068656510985502</v>
      </c>
      <c r="J365">
        <v>0.24004015172066201</v>
      </c>
      <c r="K365">
        <v>0.297376213979204</v>
      </c>
      <c r="L365">
        <v>587.71762817291403</v>
      </c>
      <c r="M365">
        <v>9.9868643146728395</v>
      </c>
      <c r="N365">
        <v>59.976798067215199</v>
      </c>
      <c r="O365">
        <v>56.6354617755769</v>
      </c>
      <c r="P365">
        <v>-4.0330017149800598E-2</v>
      </c>
      <c r="Q365">
        <v>8.5602004153269698E-2</v>
      </c>
      <c r="R365">
        <v>0.98025577858999802</v>
      </c>
      <c r="S365" t="s">
        <v>3994</v>
      </c>
      <c r="T365" t="s">
        <v>7256</v>
      </c>
      <c r="U365" t="s">
        <v>7256</v>
      </c>
      <c r="V365" t="s">
        <v>7256</v>
      </c>
      <c r="W365">
        <v>14</v>
      </c>
      <c r="X365" t="s">
        <v>7621</v>
      </c>
      <c r="Y365">
        <v>0.66408721368843793</v>
      </c>
      <c r="Z365" t="str">
        <f>HYPERLINK("Melting_Curves/meltCurve_sp_P01009_A1AT_HUMAN_.pdf", "Melting_Curves/meltCurve_sp_P01009_A1AT_HUMAN_.pdf")</f>
        <v>Melting_Curves/meltCurve_sp_P01009_A1AT_HUMAN_.pdf</v>
      </c>
      <c r="AA365" t="s">
        <v>11243</v>
      </c>
      <c r="AB365" t="s">
        <v>14791</v>
      </c>
    </row>
    <row r="366" spans="1:28" x14ac:dyDescent="0.25">
      <c r="A366" t="s">
        <v>370</v>
      </c>
      <c r="B366">
        <v>0.98018197421672304</v>
      </c>
      <c r="C366">
        <v>0.93140731904240404</v>
      </c>
      <c r="D366">
        <v>0.89775527594131799</v>
      </c>
      <c r="E366">
        <v>0.783712946352357</v>
      </c>
      <c r="F366">
        <v>0.73771687397006303</v>
      </c>
      <c r="G366">
        <v>0.46361329077323599</v>
      </c>
      <c r="H366">
        <v>0.19190405019385601</v>
      </c>
      <c r="I366">
        <v>0.12709332331213499</v>
      </c>
      <c r="J366">
        <v>9.9156497568947802E-2</v>
      </c>
      <c r="K366">
        <v>9.2294796596852899E-2</v>
      </c>
      <c r="L366">
        <v>746.21595097304305</v>
      </c>
      <c r="M366">
        <v>13.356295713586301</v>
      </c>
      <c r="N366">
        <v>55.869978329241697</v>
      </c>
      <c r="O366">
        <v>54.662112327177802</v>
      </c>
      <c r="P366">
        <v>-6.1095422931098597E-2</v>
      </c>
      <c r="Q366">
        <v>0</v>
      </c>
      <c r="R366">
        <v>0.98687391027580695</v>
      </c>
      <c r="S366" t="s">
        <v>3995</v>
      </c>
      <c r="T366" t="s">
        <v>7256</v>
      </c>
      <c r="U366" t="s">
        <v>7256</v>
      </c>
      <c r="V366" t="s">
        <v>7256</v>
      </c>
      <c r="W366">
        <v>14</v>
      </c>
      <c r="X366" t="s">
        <v>7622</v>
      </c>
      <c r="Y366">
        <v>0.54863222027915126</v>
      </c>
      <c r="Z366" t="str">
        <f>HYPERLINK("Melting_Curves/meltCurve_sp_P01011_AACT_HUMAN_.pdf", "Melting_Curves/meltCurve_sp_P01011_AACT_HUMAN_.pdf")</f>
        <v>Melting_Curves/meltCurve_sp_P01011_AACT_HUMAN_.pdf</v>
      </c>
      <c r="AA366" t="s">
        <v>11244</v>
      </c>
      <c r="AB366" t="s">
        <v>14792</v>
      </c>
    </row>
    <row r="367" spans="1:28" x14ac:dyDescent="0.25">
      <c r="A367" t="s">
        <v>371</v>
      </c>
      <c r="B367">
        <v>0.98018197421672304</v>
      </c>
      <c r="C367">
        <v>0.91745805672457703</v>
      </c>
      <c r="D367">
        <v>0.90672931588234296</v>
      </c>
      <c r="E367">
        <v>0.811538278763976</v>
      </c>
      <c r="F367">
        <v>0.69886210189047404</v>
      </c>
      <c r="G367">
        <v>0.428355416463573</v>
      </c>
      <c r="H367">
        <v>0.19702352745933999</v>
      </c>
      <c r="I367">
        <v>7.0762275385172504E-2</v>
      </c>
      <c r="J367">
        <v>7.8618147207340006E-2</v>
      </c>
      <c r="K367">
        <v>3.5323316318200702E-2</v>
      </c>
      <c r="L367">
        <v>821.82941000172104</v>
      </c>
      <c r="M367">
        <v>14.8136831102144</v>
      </c>
      <c r="N367">
        <v>55.477723013801899</v>
      </c>
      <c r="O367">
        <v>54.496171663002897</v>
      </c>
      <c r="P367">
        <v>-6.79646585673091E-2</v>
      </c>
      <c r="Q367">
        <v>0</v>
      </c>
      <c r="R367">
        <v>0.99087500665997397</v>
      </c>
      <c r="S367" t="s">
        <v>3996</v>
      </c>
      <c r="T367" t="s">
        <v>7256</v>
      </c>
      <c r="U367" t="s">
        <v>7256</v>
      </c>
      <c r="V367" t="s">
        <v>7256</v>
      </c>
      <c r="W367">
        <v>6</v>
      </c>
      <c r="X367" t="s">
        <v>7623</v>
      </c>
      <c r="Y367">
        <v>0.53473670708245247</v>
      </c>
      <c r="Z367" t="str">
        <f>HYPERLINK("Melting_Curves/meltCurve_sp_P01019_ANGT_HUMAN_.pdf", "Melting_Curves/meltCurve_sp_P01019_ANGT_HUMAN_.pdf")</f>
        <v>Melting_Curves/meltCurve_sp_P01019_ANGT_HUMAN_.pdf</v>
      </c>
      <c r="AA367" t="s">
        <v>11245</v>
      </c>
      <c r="AB367" t="s">
        <v>14793</v>
      </c>
    </row>
    <row r="368" spans="1:28" x14ac:dyDescent="0.25">
      <c r="A368" t="s">
        <v>372</v>
      </c>
      <c r="B368">
        <v>0.98018197421672304</v>
      </c>
      <c r="C368">
        <v>0.95032229566722404</v>
      </c>
      <c r="D368">
        <v>0.90364647976846801</v>
      </c>
      <c r="E368">
        <v>0.78119091189508705</v>
      </c>
      <c r="F368">
        <v>0.64318405598522799</v>
      </c>
      <c r="G368">
        <v>0.51131519746605303</v>
      </c>
      <c r="H368">
        <v>0.36085079365446299</v>
      </c>
      <c r="I368">
        <v>0.29143156465124698</v>
      </c>
      <c r="J368">
        <v>0.20353953789027199</v>
      </c>
      <c r="K368">
        <v>0.101026010598042</v>
      </c>
      <c r="L368">
        <v>526.44309508294702</v>
      </c>
      <c r="M368">
        <v>9.2457947242544094</v>
      </c>
      <c r="N368">
        <v>56.938658923443803</v>
      </c>
      <c r="O368">
        <v>54.465121235872999</v>
      </c>
      <c r="P368">
        <v>-4.24668903778114E-2</v>
      </c>
      <c r="Q368">
        <v>0</v>
      </c>
      <c r="R368">
        <v>0.99576083611629096</v>
      </c>
      <c r="S368" t="s">
        <v>3997</v>
      </c>
      <c r="T368" t="s">
        <v>7256</v>
      </c>
      <c r="U368" t="s">
        <v>7256</v>
      </c>
      <c r="V368" t="s">
        <v>7256</v>
      </c>
      <c r="W368">
        <v>27</v>
      </c>
      <c r="X368" t="s">
        <v>7624</v>
      </c>
      <c r="Y368">
        <v>0.57979858874545953</v>
      </c>
      <c r="Z368" t="str">
        <f>HYPERLINK("Melting_Curves/meltCurve_sp_P01023_A2MG_HUMAN_.pdf", "Melting_Curves/meltCurve_sp_P01023_A2MG_HUMAN_.pdf")</f>
        <v>Melting_Curves/meltCurve_sp_P01023_A2MG_HUMAN_.pdf</v>
      </c>
      <c r="AA368" t="s">
        <v>11246</v>
      </c>
      <c r="AB368" t="s">
        <v>14794</v>
      </c>
    </row>
    <row r="369" spans="1:28" x14ac:dyDescent="0.25">
      <c r="A369" t="s">
        <v>373</v>
      </c>
      <c r="B369">
        <v>0.98018197421672304</v>
      </c>
      <c r="C369">
        <v>0.95119092360042601</v>
      </c>
      <c r="D369">
        <v>0.90661218198968596</v>
      </c>
      <c r="E369">
        <v>0.81646190928548001</v>
      </c>
      <c r="F369">
        <v>0.72097439966532295</v>
      </c>
      <c r="G369">
        <v>0.47467638032711401</v>
      </c>
      <c r="H369">
        <v>0.150748554912705</v>
      </c>
      <c r="I369">
        <v>0.106645036707525</v>
      </c>
      <c r="J369">
        <v>9.6646343324702996E-2</v>
      </c>
      <c r="K369">
        <v>8.1364893657775397E-2</v>
      </c>
      <c r="L369">
        <v>823.45631150055794</v>
      </c>
      <c r="M369">
        <v>14.7500497142277</v>
      </c>
      <c r="N369">
        <v>55.832222893120402</v>
      </c>
      <c r="O369">
        <v>54.831313777965597</v>
      </c>
      <c r="P369">
        <v>-6.7215991190396604E-2</v>
      </c>
      <c r="Q369">
        <v>6.42097578371827E-4</v>
      </c>
      <c r="R369">
        <v>0.98799472299957902</v>
      </c>
      <c r="S369" t="s">
        <v>3998</v>
      </c>
      <c r="T369" t="s">
        <v>7256</v>
      </c>
      <c r="U369" t="s">
        <v>7256</v>
      </c>
      <c r="V369" t="s">
        <v>7256</v>
      </c>
      <c r="W369">
        <v>65</v>
      </c>
      <c r="X369" t="s">
        <v>7625</v>
      </c>
      <c r="Y369">
        <v>0.54616980635153278</v>
      </c>
      <c r="Z369" t="str">
        <f>HYPERLINK("Melting_Curves/meltCurve_sp_P01024_CO3_HUMAN_.pdf", "Melting_Curves/meltCurve_sp_P01024_CO3_HUMAN_.pdf")</f>
        <v>Melting_Curves/meltCurve_sp_P01024_CO3_HUMAN_.pdf</v>
      </c>
      <c r="AA369" t="s">
        <v>11247</v>
      </c>
      <c r="AB369" t="s">
        <v>14795</v>
      </c>
    </row>
    <row r="370" spans="1:28" x14ac:dyDescent="0.25">
      <c r="A370" t="s">
        <v>374</v>
      </c>
      <c r="B370">
        <v>0.98018197421672304</v>
      </c>
      <c r="C370">
        <v>0.94364696353567501</v>
      </c>
      <c r="D370">
        <v>0.74788591235638002</v>
      </c>
      <c r="E370">
        <v>0.51888125535891705</v>
      </c>
      <c r="F370">
        <v>0.46723136446182001</v>
      </c>
      <c r="G370">
        <v>0.36038148251720198</v>
      </c>
      <c r="H370">
        <v>0.22130639038737901</v>
      </c>
      <c r="I370">
        <v>0.19177420739650899</v>
      </c>
      <c r="J370">
        <v>0.15134939888255999</v>
      </c>
      <c r="K370">
        <v>0.14333458604956001</v>
      </c>
      <c r="L370">
        <v>553.370928975281</v>
      </c>
      <c r="M370">
        <v>10.959130558105199</v>
      </c>
      <c r="N370">
        <v>51.681807410931697</v>
      </c>
      <c r="O370">
        <v>48.900115959465303</v>
      </c>
      <c r="P370">
        <v>-4.9807882771568897E-2</v>
      </c>
      <c r="Q370">
        <v>0.111324426329935</v>
      </c>
      <c r="R370">
        <v>0.98728955821325004</v>
      </c>
      <c r="S370" t="s">
        <v>3999</v>
      </c>
      <c r="T370" t="s">
        <v>7256</v>
      </c>
      <c r="U370" t="s">
        <v>7256</v>
      </c>
      <c r="V370" t="s">
        <v>7256</v>
      </c>
      <c r="W370">
        <v>3</v>
      </c>
      <c r="X370" t="s">
        <v>7626</v>
      </c>
      <c r="Y370">
        <v>0.456267342944711</v>
      </c>
      <c r="Z370" t="str">
        <f>HYPERLINK("Melting_Curves/meltCurve_sp_P01034_CYTC_HUMAN_.pdf", "Melting_Curves/meltCurve_sp_P01034_CYTC_HUMAN_.pdf")</f>
        <v>Melting_Curves/meltCurve_sp_P01034_CYTC_HUMAN_.pdf</v>
      </c>
      <c r="AA370" t="s">
        <v>11248</v>
      </c>
      <c r="AB370" t="s">
        <v>14796</v>
      </c>
    </row>
    <row r="371" spans="1:28" x14ac:dyDescent="0.25">
      <c r="A371" t="s">
        <v>375</v>
      </c>
      <c r="B371">
        <v>0.98018197421672304</v>
      </c>
      <c r="C371">
        <v>0.93067803102779501</v>
      </c>
      <c r="D371">
        <v>0.96638797178283697</v>
      </c>
      <c r="E371">
        <v>0.77939040214074895</v>
      </c>
      <c r="F371">
        <v>0.73618147604307504</v>
      </c>
      <c r="G371">
        <v>0.57008937547440697</v>
      </c>
      <c r="H371">
        <v>0.47321755813226701</v>
      </c>
      <c r="I371">
        <v>0.55892866701076105</v>
      </c>
      <c r="J371">
        <v>0.38391183924722599</v>
      </c>
      <c r="K371">
        <v>1.3864666756048301</v>
      </c>
      <c r="L371">
        <v>1574.74011553893</v>
      </c>
      <c r="M371">
        <v>32.253343858614102</v>
      </c>
      <c r="O371">
        <v>48.637549259143</v>
      </c>
      <c r="P371">
        <v>-5.3084627926021297E-2</v>
      </c>
      <c r="Q371">
        <v>0.67979834327090005</v>
      </c>
      <c r="R371">
        <v>0.18253831579546601</v>
      </c>
      <c r="S371" t="s">
        <v>4000</v>
      </c>
      <c r="T371" t="s">
        <v>7256</v>
      </c>
      <c r="U371" t="s">
        <v>7256</v>
      </c>
      <c r="V371" t="s">
        <v>7256</v>
      </c>
      <c r="W371">
        <v>4</v>
      </c>
      <c r="X371" t="s">
        <v>7627</v>
      </c>
      <c r="Y371">
        <v>0.77565815790263348</v>
      </c>
      <c r="Z371" t="str">
        <f>HYPERLINK("Melting_Curves/meltCurve_sp_P01040_CYTA_HUMAN_.pdf", "Melting_Curves/meltCurve_sp_P01040_CYTA_HUMAN_.pdf")</f>
        <v>Melting_Curves/meltCurve_sp_P01040_CYTA_HUMAN_.pdf</v>
      </c>
      <c r="AA371" t="s">
        <v>11249</v>
      </c>
      <c r="AB371" t="s">
        <v>14797</v>
      </c>
    </row>
    <row r="372" spans="1:28" x14ac:dyDescent="0.25">
      <c r="A372" t="s">
        <v>376</v>
      </c>
      <c r="B372">
        <v>0.98018197421672304</v>
      </c>
      <c r="C372">
        <v>1.0863608302375301</v>
      </c>
      <c r="D372">
        <v>0.94594540405399297</v>
      </c>
      <c r="E372">
        <v>0.79276409148197602</v>
      </c>
      <c r="F372">
        <v>0.61247002376347004</v>
      </c>
      <c r="G372">
        <v>0.45809693768484799</v>
      </c>
      <c r="H372">
        <v>0.29749043418329402</v>
      </c>
      <c r="I372">
        <v>0.27076285334576</v>
      </c>
      <c r="J372">
        <v>0.20863843214925401</v>
      </c>
      <c r="K372">
        <v>0.23490677825513201</v>
      </c>
      <c r="L372">
        <v>847.91824067739799</v>
      </c>
      <c r="M372">
        <v>15.8379619686109</v>
      </c>
      <c r="N372">
        <v>55.382226782266201</v>
      </c>
      <c r="O372">
        <v>52.705375469985299</v>
      </c>
      <c r="P372">
        <v>-5.9728462505114099E-2</v>
      </c>
      <c r="Q372">
        <v>0.20501031166115699</v>
      </c>
      <c r="R372">
        <v>0.98714950936763202</v>
      </c>
      <c r="S372" t="s">
        <v>4001</v>
      </c>
      <c r="T372" t="s">
        <v>7256</v>
      </c>
      <c r="U372" t="s">
        <v>7256</v>
      </c>
      <c r="V372" t="s">
        <v>7256</v>
      </c>
      <c r="W372">
        <v>12</v>
      </c>
      <c r="X372" t="s">
        <v>7628</v>
      </c>
      <c r="Y372">
        <v>0.57925791432190477</v>
      </c>
      <c r="Z372" t="str">
        <f>HYPERLINK("Melting_Curves/meltCurve_sp_P01042_2_KNG1_HUMAN_.pdf", "Melting_Curves/meltCurve_sp_P01042_2_KNG1_HUMAN_.pdf")</f>
        <v>Melting_Curves/meltCurve_sp_P01042_2_KNG1_HUMAN_.pdf</v>
      </c>
      <c r="AA372" t="s">
        <v>11250</v>
      </c>
      <c r="AB372" t="s">
        <v>14798</v>
      </c>
    </row>
    <row r="373" spans="1:28" x14ac:dyDescent="0.25">
      <c r="A373" t="s">
        <v>377</v>
      </c>
      <c r="B373">
        <v>0.98018197421672304</v>
      </c>
      <c r="C373">
        <v>0.95525671506642995</v>
      </c>
      <c r="D373">
        <v>0.83847417246006894</v>
      </c>
      <c r="E373">
        <v>0.51160995672707399</v>
      </c>
      <c r="F373">
        <v>0.30305950386215802</v>
      </c>
      <c r="G373">
        <v>0.19253363742999</v>
      </c>
      <c r="H373">
        <v>0.10687552709399301</v>
      </c>
      <c r="I373">
        <v>6.5391500304721503E-2</v>
      </c>
      <c r="J373">
        <v>7.75207019541274E-2</v>
      </c>
      <c r="K373">
        <v>4.2388292493173899E-2</v>
      </c>
      <c r="L373">
        <v>852.63923120837899</v>
      </c>
      <c r="M373">
        <v>17.0643067784636</v>
      </c>
      <c r="N373">
        <v>50.3217724039879</v>
      </c>
      <c r="O373">
        <v>49.295178343301302</v>
      </c>
      <c r="P373">
        <v>-8.1631806189305295E-2</v>
      </c>
      <c r="Q373">
        <v>5.6789238571712503E-2</v>
      </c>
      <c r="R373">
        <v>0.99806774915519103</v>
      </c>
      <c r="S373" t="s">
        <v>4002</v>
      </c>
      <c r="T373" t="s">
        <v>7256</v>
      </c>
      <c r="U373" t="s">
        <v>7256</v>
      </c>
      <c r="V373" t="s">
        <v>7256</v>
      </c>
      <c r="W373">
        <v>4</v>
      </c>
      <c r="X373" t="s">
        <v>7629</v>
      </c>
      <c r="Y373">
        <v>0.38792835195665087</v>
      </c>
      <c r="Z373" t="str">
        <f>HYPERLINK("Melting_Curves/meltCurve_sp_P01111_RASN_HUMAN_.pdf", "Melting_Curves/meltCurve_sp_P01111_RASN_HUMAN_.pdf")</f>
        <v>Melting_Curves/meltCurve_sp_P01111_RASN_HUMAN_.pdf</v>
      </c>
      <c r="AA373" t="s">
        <v>11251</v>
      </c>
      <c r="AB373" t="s">
        <v>14799</v>
      </c>
    </row>
    <row r="374" spans="1:28" x14ac:dyDescent="0.25">
      <c r="A374" t="s">
        <v>378</v>
      </c>
      <c r="B374">
        <v>0.98018197421672304</v>
      </c>
      <c r="C374">
        <v>0.93543852986459297</v>
      </c>
      <c r="D374">
        <v>0.82031180472340104</v>
      </c>
      <c r="E374">
        <v>0.59480560533847704</v>
      </c>
      <c r="F374">
        <v>0.41263149325076798</v>
      </c>
      <c r="G374">
        <v>0.28998109091117602</v>
      </c>
      <c r="H374">
        <v>0.19862763130361299</v>
      </c>
      <c r="I374">
        <v>0.12617567523460499</v>
      </c>
      <c r="J374">
        <v>0.23741698169248299</v>
      </c>
      <c r="K374">
        <v>9.6135280588465405E-2</v>
      </c>
      <c r="L374">
        <v>702.89228941564204</v>
      </c>
      <c r="M374">
        <v>13.9224818729784</v>
      </c>
      <c r="N374">
        <v>51.562507660373299</v>
      </c>
      <c r="O374">
        <v>49.478766662628701</v>
      </c>
      <c r="P374">
        <v>-6.1483104633760798E-2</v>
      </c>
      <c r="Q374">
        <v>0.12610493638254699</v>
      </c>
      <c r="R374">
        <v>0.988768926479623</v>
      </c>
      <c r="S374" t="s">
        <v>4003</v>
      </c>
      <c r="T374" t="s">
        <v>7256</v>
      </c>
      <c r="U374" t="s">
        <v>7256</v>
      </c>
      <c r="V374" t="s">
        <v>7256</v>
      </c>
      <c r="W374">
        <v>4</v>
      </c>
      <c r="X374" t="s">
        <v>7630</v>
      </c>
      <c r="Y374">
        <v>0.45482497588517901</v>
      </c>
      <c r="Z374" t="str">
        <f>HYPERLINK("Melting_Curves/meltCurve_sp_P01116_2_RASK_HUMAN_.pdf", "Melting_Curves/meltCurve_sp_P01116_2_RASK_HUMAN_.pdf")</f>
        <v>Melting_Curves/meltCurve_sp_P01116_2_RASK_HUMAN_.pdf</v>
      </c>
      <c r="AA374" t="s">
        <v>11252</v>
      </c>
      <c r="AB374" t="s">
        <v>14800</v>
      </c>
    </row>
    <row r="375" spans="1:28" x14ac:dyDescent="0.25">
      <c r="A375" t="s">
        <v>379</v>
      </c>
      <c r="B375">
        <v>0.98018197421672304</v>
      </c>
      <c r="C375">
        <v>0.86366590619963102</v>
      </c>
      <c r="D375">
        <v>0.91020806642795005</v>
      </c>
      <c r="E375">
        <v>0.70347081767334696</v>
      </c>
      <c r="F375">
        <v>0.56561437385187097</v>
      </c>
      <c r="G375">
        <v>0.46318330280081899</v>
      </c>
      <c r="H375">
        <v>0.463653943333102</v>
      </c>
      <c r="I375">
        <v>0.19768383007672499</v>
      </c>
      <c r="J375">
        <v>0.17098607333070701</v>
      </c>
      <c r="K375">
        <v>0.115816486605203</v>
      </c>
      <c r="L375">
        <v>465.29487978992398</v>
      </c>
      <c r="M375">
        <v>8.3406195209361993</v>
      </c>
      <c r="N375">
        <v>55.786608967120102</v>
      </c>
      <c r="O375">
        <v>52.855959260490998</v>
      </c>
      <c r="P375">
        <v>-3.9487937120820597E-2</v>
      </c>
      <c r="Q375">
        <v>0</v>
      </c>
      <c r="R375">
        <v>0.96358778560839897</v>
      </c>
      <c r="S375" t="s">
        <v>4004</v>
      </c>
      <c r="T375" t="s">
        <v>7256</v>
      </c>
      <c r="U375" t="s">
        <v>7256</v>
      </c>
      <c r="V375" t="s">
        <v>7256</v>
      </c>
      <c r="W375">
        <v>1</v>
      </c>
      <c r="X375" t="s">
        <v>7631</v>
      </c>
      <c r="Y375">
        <v>0.5479533182436056</v>
      </c>
      <c r="Z375" t="str">
        <f>HYPERLINK("Melting_Curves/meltCurve_sp_P01598_KV106_HUMAN_.pdf", "Melting_Curves/meltCurve_sp_P01598_KV106_HUMAN_.pdf")</f>
        <v>Melting_Curves/meltCurve_sp_P01598_KV106_HUMAN_.pdf</v>
      </c>
      <c r="AB375" t="s">
        <v>14801</v>
      </c>
    </row>
    <row r="376" spans="1:28" x14ac:dyDescent="0.25">
      <c r="A376" t="s">
        <v>380</v>
      </c>
      <c r="B376">
        <v>0.98018197421672304</v>
      </c>
      <c r="C376">
        <v>0.96201078562020303</v>
      </c>
      <c r="D376">
        <v>0.95425058104975302</v>
      </c>
      <c r="E376">
        <v>0.78781136251078099</v>
      </c>
      <c r="F376">
        <v>0.68337118053644796</v>
      </c>
      <c r="G376">
        <v>0.49273494415692698</v>
      </c>
      <c r="H376">
        <v>0.31373114382047801</v>
      </c>
      <c r="I376">
        <v>0.31083922471193798</v>
      </c>
      <c r="J376">
        <v>0.25060693194377598</v>
      </c>
      <c r="K376">
        <v>0.19665983371734899</v>
      </c>
      <c r="L376">
        <v>679.21137371098405</v>
      </c>
      <c r="M376">
        <v>12.3643762139495</v>
      </c>
      <c r="N376">
        <v>56.661601033269001</v>
      </c>
      <c r="O376">
        <v>53.555313774343098</v>
      </c>
      <c r="P376">
        <v>-4.8659671323775897E-2</v>
      </c>
      <c r="Q376">
        <v>0.15711894147223601</v>
      </c>
      <c r="R376">
        <v>0.99575533143915096</v>
      </c>
      <c r="S376" t="s">
        <v>4005</v>
      </c>
      <c r="T376" t="s">
        <v>7256</v>
      </c>
      <c r="U376" t="s">
        <v>7256</v>
      </c>
      <c r="V376" t="s">
        <v>7256</v>
      </c>
      <c r="W376">
        <v>1</v>
      </c>
      <c r="X376" t="s">
        <v>7632</v>
      </c>
      <c r="Y376">
        <v>0.5961705418560308</v>
      </c>
      <c r="Z376" t="str">
        <f>HYPERLINK("Melting_Curves/meltCurve_sp_P01763_HV302_HUMAN_.pdf", "Melting_Curves/meltCurve_sp_P01763_HV302_HUMAN_.pdf")</f>
        <v>Melting_Curves/meltCurve_sp_P01763_HV302_HUMAN_.pdf</v>
      </c>
      <c r="AB376" t="s">
        <v>14802</v>
      </c>
    </row>
    <row r="377" spans="1:28" x14ac:dyDescent="0.25">
      <c r="A377" t="s">
        <v>381</v>
      </c>
      <c r="B377">
        <v>0.98018197421672304</v>
      </c>
      <c r="C377">
        <v>1.05628348864654</v>
      </c>
      <c r="D377">
        <v>1.0168905554491801</v>
      </c>
      <c r="E377">
        <v>0.81901367703704497</v>
      </c>
      <c r="F377">
        <v>0.73962230843948196</v>
      </c>
      <c r="G377">
        <v>0.45075826629422999</v>
      </c>
      <c r="H377">
        <v>0.30335108079775203</v>
      </c>
      <c r="I377">
        <v>0.206070473240482</v>
      </c>
      <c r="J377">
        <v>0.159015434432763</v>
      </c>
      <c r="K377">
        <v>0.17517639266142901</v>
      </c>
      <c r="L377">
        <v>913.82493947318198</v>
      </c>
      <c r="M377">
        <v>16.530774990203799</v>
      </c>
      <c r="N377">
        <v>56.335204551955002</v>
      </c>
      <c r="O377">
        <v>54.490248493608398</v>
      </c>
      <c r="P377">
        <v>-6.5751343321205094E-2</v>
      </c>
      <c r="Q377">
        <v>0.13311749317976099</v>
      </c>
      <c r="R377">
        <v>0.99101497587001997</v>
      </c>
      <c r="S377" t="s">
        <v>4006</v>
      </c>
      <c r="T377" t="s">
        <v>7256</v>
      </c>
      <c r="U377" t="s">
        <v>7256</v>
      </c>
      <c r="V377" t="s">
        <v>7256</v>
      </c>
      <c r="W377">
        <v>1</v>
      </c>
      <c r="X377" t="s">
        <v>7633</v>
      </c>
      <c r="Y377">
        <v>0.58938232475697339</v>
      </c>
      <c r="Z377" t="str">
        <f>HYPERLINK("Melting_Curves/meltCurve_sp_P01765_HV304_HUMAN_.pdf", "Melting_Curves/meltCurve_sp_P01765_HV304_HUMAN_.pdf")</f>
        <v>Melting_Curves/meltCurve_sp_P01765_HV304_HUMAN_.pdf</v>
      </c>
      <c r="AB377" t="s">
        <v>14803</v>
      </c>
    </row>
    <row r="378" spans="1:28" x14ac:dyDescent="0.25">
      <c r="A378" t="s">
        <v>382</v>
      </c>
      <c r="B378">
        <v>0.98018197421672304</v>
      </c>
      <c r="C378">
        <v>1.0233651749557899</v>
      </c>
      <c r="D378">
        <v>0.93692196876893497</v>
      </c>
      <c r="E378">
        <v>0.92326355084277201</v>
      </c>
      <c r="F378">
        <v>0.87026680933896305</v>
      </c>
      <c r="G378">
        <v>0.70541397710103104</v>
      </c>
      <c r="H378">
        <v>0.42709386138178801</v>
      </c>
      <c r="I378">
        <v>0.42030321090135397</v>
      </c>
      <c r="J378">
        <v>0.38188541147662303</v>
      </c>
      <c r="K378">
        <v>0.16516123637890101</v>
      </c>
      <c r="L378">
        <v>676.397616342785</v>
      </c>
      <c r="M378">
        <v>11.139416951335599</v>
      </c>
      <c r="N378">
        <v>61.268562035926003</v>
      </c>
      <c r="O378">
        <v>58.862775307985601</v>
      </c>
      <c r="P378">
        <v>-4.5084255154103602E-2</v>
      </c>
      <c r="Q378">
        <v>4.7371425404518899E-2</v>
      </c>
      <c r="R378">
        <v>0.97348289016135703</v>
      </c>
      <c r="S378" t="s">
        <v>4007</v>
      </c>
      <c r="T378" t="s">
        <v>7256</v>
      </c>
      <c r="U378" t="s">
        <v>7256</v>
      </c>
      <c r="V378" t="s">
        <v>7256</v>
      </c>
      <c r="W378">
        <v>1</v>
      </c>
      <c r="X378" t="s">
        <v>7634</v>
      </c>
      <c r="Y378">
        <v>0.70063650069744532</v>
      </c>
      <c r="Z378" t="str">
        <f>HYPERLINK("Melting_Curves/meltCurve_sp_P01834_IGKC_HUMAN_.pdf", "Melting_Curves/meltCurve_sp_P01834_IGKC_HUMAN_.pdf")</f>
        <v>Melting_Curves/meltCurve_sp_P01834_IGKC_HUMAN_.pdf</v>
      </c>
      <c r="AA378" t="s">
        <v>11253</v>
      </c>
      <c r="AB378" t="s">
        <v>14804</v>
      </c>
    </row>
    <row r="379" spans="1:28" x14ac:dyDescent="0.25">
      <c r="A379" t="s">
        <v>383</v>
      </c>
      <c r="B379">
        <v>0.98018197421672304</v>
      </c>
      <c r="C379">
        <v>0.97227993805125101</v>
      </c>
      <c r="D379">
        <v>0.94649676648611103</v>
      </c>
      <c r="E379">
        <v>0.86464088222276403</v>
      </c>
      <c r="F379">
        <v>0.76756226532766403</v>
      </c>
      <c r="G379">
        <v>0.66324312787879802</v>
      </c>
      <c r="H379">
        <v>0.531249004117616</v>
      </c>
      <c r="I379">
        <v>0.434634248818413</v>
      </c>
      <c r="J379">
        <v>0.54320658537743505</v>
      </c>
      <c r="K379">
        <v>0.371632887599954</v>
      </c>
      <c r="L379">
        <v>596.65001489420195</v>
      </c>
      <c r="M379">
        <v>10.622197962675299</v>
      </c>
      <c r="N379">
        <v>63.178132670282203</v>
      </c>
      <c r="O379">
        <v>54.288999767032102</v>
      </c>
      <c r="P379">
        <v>-3.1998195043616701E-2</v>
      </c>
      <c r="Q379">
        <v>0.34609396419953198</v>
      </c>
      <c r="R379">
        <v>0.96886380189835797</v>
      </c>
      <c r="S379" t="s">
        <v>4008</v>
      </c>
      <c r="T379" t="s">
        <v>7256</v>
      </c>
      <c r="U379" t="s">
        <v>7256</v>
      </c>
      <c r="V379" t="s">
        <v>7256</v>
      </c>
      <c r="W379">
        <v>8</v>
      </c>
      <c r="X379" t="s">
        <v>7635</v>
      </c>
      <c r="Y379">
        <v>0.71180910622422067</v>
      </c>
      <c r="Z379" t="str">
        <f>HYPERLINK("Melting_Curves/meltCurve_sp_P01857_IGHG1_HUMAN_.pdf", "Melting_Curves/meltCurve_sp_P01857_IGHG1_HUMAN_.pdf")</f>
        <v>Melting_Curves/meltCurve_sp_P01857_IGHG1_HUMAN_.pdf</v>
      </c>
      <c r="AA379" t="s">
        <v>11254</v>
      </c>
      <c r="AB379" t="s">
        <v>14805</v>
      </c>
    </row>
    <row r="380" spans="1:28" x14ac:dyDescent="0.25">
      <c r="A380" t="s">
        <v>384</v>
      </c>
      <c r="B380">
        <v>0.98018197421672304</v>
      </c>
      <c r="C380">
        <v>0.95253827397886304</v>
      </c>
      <c r="D380">
        <v>0.85814209045099199</v>
      </c>
      <c r="E380">
        <v>0.76597176568097303</v>
      </c>
      <c r="F380">
        <v>0.66751388491937103</v>
      </c>
      <c r="G380">
        <v>0.50277966127135798</v>
      </c>
      <c r="H380">
        <v>0.33526658862513198</v>
      </c>
      <c r="I380">
        <v>0.26119772855797901</v>
      </c>
      <c r="J380">
        <v>0.356118350475221</v>
      </c>
      <c r="K380">
        <v>0.22847609354249401</v>
      </c>
      <c r="L380">
        <v>565.29935337441498</v>
      </c>
      <c r="M380">
        <v>10.4023707788011</v>
      </c>
      <c r="N380">
        <v>56.647817525188401</v>
      </c>
      <c r="O380">
        <v>52.450092578492999</v>
      </c>
      <c r="P380">
        <v>-4.1045412362808197E-2</v>
      </c>
      <c r="Q380">
        <v>0.17252103487870901</v>
      </c>
      <c r="R380">
        <v>0.98225345802691</v>
      </c>
      <c r="S380" t="s">
        <v>4009</v>
      </c>
      <c r="T380" t="s">
        <v>7256</v>
      </c>
      <c r="U380" t="s">
        <v>7256</v>
      </c>
      <c r="V380" t="s">
        <v>7256</v>
      </c>
      <c r="W380">
        <v>7</v>
      </c>
      <c r="X380" t="s">
        <v>7636</v>
      </c>
      <c r="Y380">
        <v>0.59137893238746053</v>
      </c>
      <c r="Z380" t="str">
        <f>HYPERLINK("Melting_Curves/meltCurve_sp_P01860_IGHG3_HUMAN_.pdf", "Melting_Curves/meltCurve_sp_P01860_IGHG3_HUMAN_.pdf")</f>
        <v>Melting_Curves/meltCurve_sp_P01860_IGHG3_HUMAN_.pdf</v>
      </c>
      <c r="AA380" t="s">
        <v>11255</v>
      </c>
      <c r="AB380" t="s">
        <v>14806</v>
      </c>
    </row>
    <row r="381" spans="1:28" x14ac:dyDescent="0.25">
      <c r="A381" t="s">
        <v>385</v>
      </c>
      <c r="B381">
        <v>0.98018197421672304</v>
      </c>
      <c r="C381">
        <v>1.0479573828634701</v>
      </c>
      <c r="D381">
        <v>0.92707127002425205</v>
      </c>
      <c r="E381">
        <v>0.79727276960625604</v>
      </c>
      <c r="F381">
        <v>0.78986833820025104</v>
      </c>
      <c r="G381">
        <v>0.54146790579095605</v>
      </c>
      <c r="H381">
        <v>0.42012203267340498</v>
      </c>
      <c r="I381">
        <v>0.31056675141951301</v>
      </c>
      <c r="J381">
        <v>0.332347360008999</v>
      </c>
      <c r="K381">
        <v>0.13226063050777301</v>
      </c>
      <c r="L381">
        <v>560.08946997000601</v>
      </c>
      <c r="M381">
        <v>9.5391918770024393</v>
      </c>
      <c r="N381">
        <v>58.912633375541098</v>
      </c>
      <c r="O381">
        <v>56.308042825038299</v>
      </c>
      <c r="P381">
        <v>-4.1708585644255801E-2</v>
      </c>
      <c r="Q381">
        <v>1.5781610193767399E-2</v>
      </c>
      <c r="R381">
        <v>0.97575309814170996</v>
      </c>
      <c r="S381" t="s">
        <v>4010</v>
      </c>
      <c r="T381" t="s">
        <v>7256</v>
      </c>
      <c r="U381" t="s">
        <v>7256</v>
      </c>
      <c r="V381" t="s">
        <v>7256</v>
      </c>
      <c r="W381">
        <v>4</v>
      </c>
      <c r="X381" t="s">
        <v>7637</v>
      </c>
      <c r="Y381">
        <v>0.63355611575199344</v>
      </c>
      <c r="Z381" t="str">
        <f>HYPERLINK("Melting_Curves/meltCurve_sp_P01871_IGHM_HUMAN_.pdf", "Melting_Curves/meltCurve_sp_P01871_IGHM_HUMAN_.pdf")</f>
        <v>Melting_Curves/meltCurve_sp_P01871_IGHM_HUMAN_.pdf</v>
      </c>
      <c r="AA381" t="s">
        <v>11256</v>
      </c>
      <c r="AB381" t="s">
        <v>14807</v>
      </c>
    </row>
    <row r="382" spans="1:28" x14ac:dyDescent="0.25">
      <c r="A382" t="s">
        <v>386</v>
      </c>
      <c r="B382">
        <v>0.98018197421672304</v>
      </c>
      <c r="C382">
        <v>0.98625054691729996</v>
      </c>
      <c r="D382">
        <v>0.94283412258482502</v>
      </c>
      <c r="E382">
        <v>0.85169015755397703</v>
      </c>
      <c r="F382">
        <v>0.81062091929706404</v>
      </c>
      <c r="G382">
        <v>0.62517052602378897</v>
      </c>
      <c r="H382">
        <v>0.52617162329547296</v>
      </c>
      <c r="I382">
        <v>0.49875972236522098</v>
      </c>
      <c r="J382">
        <v>0.37766987284085002</v>
      </c>
      <c r="K382">
        <v>0.23176918402938601</v>
      </c>
      <c r="L382">
        <v>488.09434440642798</v>
      </c>
      <c r="M382">
        <v>7.8764824237115603</v>
      </c>
      <c r="N382">
        <v>61.968567863505498</v>
      </c>
      <c r="O382">
        <v>58.355472299834702</v>
      </c>
      <c r="P382">
        <v>-3.3783978765342303E-2</v>
      </c>
      <c r="Q382">
        <v>0</v>
      </c>
      <c r="R382">
        <v>0.984734934517141</v>
      </c>
      <c r="S382" t="s">
        <v>4011</v>
      </c>
      <c r="T382" t="s">
        <v>7256</v>
      </c>
      <c r="U382" t="s">
        <v>7256</v>
      </c>
      <c r="V382" t="s">
        <v>7256</v>
      </c>
      <c r="W382">
        <v>8</v>
      </c>
      <c r="X382" t="s">
        <v>7638</v>
      </c>
      <c r="Y382">
        <v>0.69467405887963518</v>
      </c>
      <c r="Z382" t="str">
        <f>HYPERLINK("Melting_Curves/meltCurve_sp_P01876_IGHA1_HUMAN_.pdf", "Melting_Curves/meltCurve_sp_P01876_IGHA1_HUMAN_.pdf")</f>
        <v>Melting_Curves/meltCurve_sp_P01876_IGHA1_HUMAN_.pdf</v>
      </c>
      <c r="AA382" t="s">
        <v>11257</v>
      </c>
      <c r="AB382" t="s">
        <v>14808</v>
      </c>
    </row>
    <row r="383" spans="1:28" x14ac:dyDescent="0.25">
      <c r="A383" t="s">
        <v>387</v>
      </c>
      <c r="B383">
        <v>0.98018197421672304</v>
      </c>
      <c r="C383">
        <v>0.88219403753526504</v>
      </c>
      <c r="D383">
        <v>0.79848675199450003</v>
      </c>
      <c r="E383">
        <v>0.77497828056499896</v>
      </c>
      <c r="F383">
        <v>0.70163154378374903</v>
      </c>
      <c r="G383">
        <v>0.47720810254414298</v>
      </c>
      <c r="H383">
        <v>0.33873490007429102</v>
      </c>
      <c r="I383">
        <v>0.300762478347391</v>
      </c>
      <c r="J383">
        <v>0.22058456469811299</v>
      </c>
      <c r="K383">
        <v>0.17808866366107501</v>
      </c>
      <c r="L383">
        <v>447.33737548306402</v>
      </c>
      <c r="M383">
        <v>7.8803007828810703</v>
      </c>
      <c r="N383">
        <v>56.766535669817102</v>
      </c>
      <c r="O383">
        <v>53.4596686748908</v>
      </c>
      <c r="P383">
        <v>-3.6895705898289798E-2</v>
      </c>
      <c r="Q383">
        <v>0</v>
      </c>
      <c r="R383">
        <v>0.98355247923617395</v>
      </c>
      <c r="S383" t="s">
        <v>4012</v>
      </c>
      <c r="T383" t="s">
        <v>7256</v>
      </c>
      <c r="U383" t="s">
        <v>7256</v>
      </c>
      <c r="V383" t="s">
        <v>7256</v>
      </c>
      <c r="W383">
        <v>6</v>
      </c>
      <c r="X383" t="s">
        <v>7639</v>
      </c>
      <c r="Y383">
        <v>0.57242766479907059</v>
      </c>
      <c r="Z383" t="str">
        <f>HYPERLINK("Melting_Curves/meltCurve_sp_P01877_IGHA2_HUMAN_.pdf", "Melting_Curves/meltCurve_sp_P01877_IGHA2_HUMAN_.pdf")</f>
        <v>Melting_Curves/meltCurve_sp_P01877_IGHA2_HUMAN_.pdf</v>
      </c>
      <c r="AA383" t="s">
        <v>11258</v>
      </c>
      <c r="AB383" t="s">
        <v>14809</v>
      </c>
    </row>
    <row r="384" spans="1:28" x14ac:dyDescent="0.25">
      <c r="A384" t="s">
        <v>388</v>
      </c>
      <c r="B384">
        <v>0.98018197421672304</v>
      </c>
      <c r="C384">
        <v>0.69900250794187602</v>
      </c>
      <c r="D384">
        <v>0.75949412326826604</v>
      </c>
      <c r="E384">
        <v>0.64482695753860997</v>
      </c>
      <c r="F384">
        <v>0.61344891765762199</v>
      </c>
      <c r="G384">
        <v>0.329439919431679</v>
      </c>
      <c r="H384">
        <v>0.47247253437058001</v>
      </c>
      <c r="I384">
        <v>0.32825165805465101</v>
      </c>
      <c r="J384">
        <v>0.481654096040804</v>
      </c>
      <c r="K384">
        <v>0.16766707054056601</v>
      </c>
      <c r="L384">
        <v>306.57335459078399</v>
      </c>
      <c r="M384">
        <v>5.8077603332339001</v>
      </c>
      <c r="N384">
        <v>55.475712177312303</v>
      </c>
      <c r="O384">
        <v>47.537263095956803</v>
      </c>
      <c r="P384">
        <v>-2.6893780044803899E-2</v>
      </c>
      <c r="Q384">
        <v>0.12267370519067899</v>
      </c>
      <c r="R384">
        <v>0.81727734508096095</v>
      </c>
      <c r="S384" t="s">
        <v>4013</v>
      </c>
      <c r="T384" t="s">
        <v>7256</v>
      </c>
      <c r="U384" t="s">
        <v>7256</v>
      </c>
      <c r="V384" t="s">
        <v>7256</v>
      </c>
      <c r="W384">
        <v>1</v>
      </c>
      <c r="X384" t="s">
        <v>7640</v>
      </c>
      <c r="Y384">
        <v>0.54109183866111521</v>
      </c>
      <c r="Z384" t="str">
        <f>HYPERLINK("Melting_Curves/meltCurve_sp_P02462_2_CO4A1_HUMAN_.pdf", "Melting_Curves/meltCurve_sp_P02462_2_CO4A1_HUMAN_.pdf")</f>
        <v>Melting_Curves/meltCurve_sp_P02462_2_CO4A1_HUMAN_.pdf</v>
      </c>
      <c r="AA384" t="s">
        <v>11259</v>
      </c>
      <c r="AB384" t="s">
        <v>14810</v>
      </c>
    </row>
    <row r="385" spans="1:28" x14ac:dyDescent="0.25">
      <c r="A385" t="s">
        <v>389</v>
      </c>
      <c r="B385">
        <v>0.98018197421672304</v>
      </c>
      <c r="C385">
        <v>0.83112306529657398</v>
      </c>
      <c r="D385">
        <v>0.82223938942000296</v>
      </c>
      <c r="E385">
        <v>0.97841271006070296</v>
      </c>
      <c r="F385">
        <v>1.06810169762072</v>
      </c>
      <c r="G385">
        <v>0.25007394516223302</v>
      </c>
      <c r="H385">
        <v>0.69575649280224905</v>
      </c>
      <c r="I385">
        <v>0.27896855315531899</v>
      </c>
      <c r="J385">
        <v>2.722213998335</v>
      </c>
      <c r="K385">
        <v>1.8703543220544201</v>
      </c>
      <c r="L385">
        <v>3944.2364666323501</v>
      </c>
      <c r="M385">
        <v>60.595589584059702</v>
      </c>
      <c r="O385">
        <v>65.020370119223003</v>
      </c>
      <c r="P385">
        <v>0.11649352344631</v>
      </c>
      <c r="Q385">
        <v>1.5</v>
      </c>
      <c r="R385">
        <v>0.336167320830421</v>
      </c>
      <c r="S385" t="s">
        <v>4014</v>
      </c>
      <c r="T385" t="s">
        <v>7256</v>
      </c>
      <c r="U385" t="s">
        <v>7256</v>
      </c>
      <c r="V385" t="s">
        <v>7256</v>
      </c>
      <c r="W385">
        <v>20</v>
      </c>
      <c r="X385" t="s">
        <v>7641</v>
      </c>
      <c r="Y385">
        <v>1.081143015901002</v>
      </c>
      <c r="Z385" t="str">
        <f>HYPERLINK("Melting_Curves/meltCurve_sp_P02533_K1C14_HUMAN_.pdf", "Melting_Curves/meltCurve_sp_P02533_K1C14_HUMAN_.pdf")</f>
        <v>Melting_Curves/meltCurve_sp_P02533_K1C14_HUMAN_.pdf</v>
      </c>
      <c r="AA385" t="s">
        <v>11260</v>
      </c>
      <c r="AB385" t="s">
        <v>14811</v>
      </c>
    </row>
    <row r="386" spans="1:28" x14ac:dyDescent="0.25">
      <c r="A386" t="s">
        <v>390</v>
      </c>
      <c r="B386">
        <v>0.98018197421672304</v>
      </c>
      <c r="C386">
        <v>0.86046994930847298</v>
      </c>
      <c r="D386">
        <v>0.78976885458179502</v>
      </c>
      <c r="E386">
        <v>0.73163620216547198</v>
      </c>
      <c r="F386">
        <v>0.49621332738317298</v>
      </c>
      <c r="G386">
        <v>7.1898176878728806E-2</v>
      </c>
      <c r="H386">
        <v>0.75572432901499398</v>
      </c>
      <c r="I386">
        <v>0.123552991056538</v>
      </c>
      <c r="J386">
        <v>10.3682789558852</v>
      </c>
      <c r="K386">
        <v>3.45787121573421</v>
      </c>
      <c r="L386">
        <v>1356.2571165585</v>
      </c>
      <c r="M386">
        <v>22.9949153611695</v>
      </c>
      <c r="O386">
        <v>58.540107867794099</v>
      </c>
      <c r="P386">
        <v>4.9101690427875398E-2</v>
      </c>
      <c r="Q386">
        <v>1.5</v>
      </c>
      <c r="R386">
        <v>1.9368023433267399E-2</v>
      </c>
      <c r="S386" t="s">
        <v>4015</v>
      </c>
      <c r="T386" t="s">
        <v>7256</v>
      </c>
      <c r="U386" t="s">
        <v>7256</v>
      </c>
      <c r="V386" t="s">
        <v>7256</v>
      </c>
      <c r="W386">
        <v>29</v>
      </c>
      <c r="X386" t="s">
        <v>7642</v>
      </c>
      <c r="Y386">
        <v>1.179157678721277</v>
      </c>
      <c r="Z386" t="str">
        <f>HYPERLINK("Melting_Curves/meltCurve_sp_P02538_K2C6A_HUMAN_.pdf", "Melting_Curves/meltCurve_sp_P02538_K2C6A_HUMAN_.pdf")</f>
        <v>Melting_Curves/meltCurve_sp_P02538_K2C6A_HUMAN_.pdf</v>
      </c>
      <c r="AA386" t="s">
        <v>11261</v>
      </c>
      <c r="AB386" t="s">
        <v>14812</v>
      </c>
    </row>
    <row r="387" spans="1:28" x14ac:dyDescent="0.25">
      <c r="A387" t="s">
        <v>391</v>
      </c>
      <c r="B387">
        <v>0.98018197421672304</v>
      </c>
      <c r="C387">
        <v>0.96911990605114695</v>
      </c>
      <c r="D387">
        <v>0.91238863351055499</v>
      </c>
      <c r="E387">
        <v>0.79741143559445904</v>
      </c>
      <c r="F387">
        <v>0.76021461182955397</v>
      </c>
      <c r="G387">
        <v>0.54543489579756199</v>
      </c>
      <c r="H387">
        <v>0.29682195383860399</v>
      </c>
      <c r="I387">
        <v>0.22737200164205301</v>
      </c>
      <c r="J387">
        <v>0.28745558984062602</v>
      </c>
      <c r="K387">
        <v>0.26164643340718702</v>
      </c>
      <c r="L387">
        <v>760.31879241375702</v>
      </c>
      <c r="M387">
        <v>13.771047855428799</v>
      </c>
      <c r="N387">
        <v>57.102439115159299</v>
      </c>
      <c r="O387">
        <v>54.086205161399299</v>
      </c>
      <c r="P387">
        <v>-5.2005076586995401E-2</v>
      </c>
      <c r="Q387">
        <v>0.18310926906611799</v>
      </c>
      <c r="R387">
        <v>0.97859291162525597</v>
      </c>
      <c r="S387" t="s">
        <v>4016</v>
      </c>
      <c r="T387" t="s">
        <v>7256</v>
      </c>
      <c r="U387" t="s">
        <v>7256</v>
      </c>
      <c r="V387" t="s">
        <v>7256</v>
      </c>
      <c r="W387">
        <v>37</v>
      </c>
      <c r="X387" t="s">
        <v>7643</v>
      </c>
      <c r="Y387">
        <v>0.6141287532564651</v>
      </c>
      <c r="Z387" t="str">
        <f>HYPERLINK("Melting_Curves/meltCurve_sp_P02545_LMNA_HUMAN_.pdf", "Melting_Curves/meltCurve_sp_P02545_LMNA_HUMAN_.pdf")</f>
        <v>Melting_Curves/meltCurve_sp_P02545_LMNA_HUMAN_.pdf</v>
      </c>
      <c r="AA387" t="s">
        <v>11262</v>
      </c>
      <c r="AB387" t="s">
        <v>14813</v>
      </c>
    </row>
    <row r="388" spans="1:28" x14ac:dyDescent="0.25">
      <c r="A388" t="s">
        <v>392</v>
      </c>
      <c r="B388">
        <v>0.98018197421672304</v>
      </c>
      <c r="C388">
        <v>0.96175505449121002</v>
      </c>
      <c r="D388">
        <v>0.84176819510916001</v>
      </c>
      <c r="E388">
        <v>0.64494219380864004</v>
      </c>
      <c r="F388">
        <v>0.48035225020153999</v>
      </c>
      <c r="G388">
        <v>0.31674575921792197</v>
      </c>
      <c r="H388">
        <v>0.24242513743213501</v>
      </c>
      <c r="I388">
        <v>0.25133693861824902</v>
      </c>
      <c r="J388">
        <v>0.222274697449344</v>
      </c>
      <c r="K388">
        <v>0.25231474319077701</v>
      </c>
      <c r="L388">
        <v>790.04510380847296</v>
      </c>
      <c r="M388">
        <v>15.6546771812089</v>
      </c>
      <c r="N388">
        <v>52.365326027203302</v>
      </c>
      <c r="O388">
        <v>49.665041265994397</v>
      </c>
      <c r="P388">
        <v>-6.1743827046170402E-2</v>
      </c>
      <c r="Q388">
        <v>0.21652866506797799</v>
      </c>
      <c r="R388">
        <v>0.99754992017882604</v>
      </c>
      <c r="S388" t="s">
        <v>4017</v>
      </c>
      <c r="T388" t="s">
        <v>7256</v>
      </c>
      <c r="U388" t="s">
        <v>7256</v>
      </c>
      <c r="V388" t="s">
        <v>7256</v>
      </c>
      <c r="W388">
        <v>18</v>
      </c>
      <c r="X388" t="s">
        <v>7644</v>
      </c>
      <c r="Y388">
        <v>0.50697509080067626</v>
      </c>
      <c r="Z388" t="str">
        <f>HYPERLINK("Melting_Curves/meltCurve_sp_P02647_APOA1_HUMAN_.pdf", "Melting_Curves/meltCurve_sp_P02647_APOA1_HUMAN_.pdf")</f>
        <v>Melting_Curves/meltCurve_sp_P02647_APOA1_HUMAN_.pdf</v>
      </c>
      <c r="AA388" t="s">
        <v>11263</v>
      </c>
      <c r="AB388" t="s">
        <v>14814</v>
      </c>
    </row>
    <row r="389" spans="1:28" x14ac:dyDescent="0.25">
      <c r="A389" t="s">
        <v>393</v>
      </c>
      <c r="B389">
        <v>0.98018197421672304</v>
      </c>
      <c r="C389">
        <v>0.97803834153122005</v>
      </c>
      <c r="D389">
        <v>0.83151119036916199</v>
      </c>
      <c r="E389">
        <v>0.51431109883545201</v>
      </c>
      <c r="F389">
        <v>0.35249572339635898</v>
      </c>
      <c r="G389">
        <v>0.218289913892802</v>
      </c>
      <c r="H389">
        <v>0.12563120450969201</v>
      </c>
      <c r="I389">
        <v>9.8236597872405407E-2</v>
      </c>
      <c r="J389">
        <v>9.2053806251317205E-2</v>
      </c>
      <c r="K389">
        <v>7.1191062448995507E-2</v>
      </c>
      <c r="L389">
        <v>817.11566531943299</v>
      </c>
      <c r="M389">
        <v>16.317527776680301</v>
      </c>
      <c r="N389">
        <v>50.599657124365798</v>
      </c>
      <c r="O389">
        <v>49.341974583107998</v>
      </c>
      <c r="P389">
        <v>-7.6257497834966104E-2</v>
      </c>
      <c r="Q389">
        <v>7.7697946187425607E-2</v>
      </c>
      <c r="R389">
        <v>0.99735587386232605</v>
      </c>
      <c r="S389" t="s">
        <v>4018</v>
      </c>
      <c r="T389" t="s">
        <v>7256</v>
      </c>
      <c r="U389" t="s">
        <v>7256</v>
      </c>
      <c r="V389" t="s">
        <v>7256</v>
      </c>
      <c r="W389">
        <v>8</v>
      </c>
      <c r="X389" t="s">
        <v>7645</v>
      </c>
      <c r="Y389">
        <v>0.40632796227931461</v>
      </c>
      <c r="Z389" t="str">
        <f>HYPERLINK("Melting_Curves/meltCurve_sp_P02649_APOE_HUMAN_.pdf", "Melting_Curves/meltCurve_sp_P02649_APOE_HUMAN_.pdf")</f>
        <v>Melting_Curves/meltCurve_sp_P02649_APOE_HUMAN_.pdf</v>
      </c>
      <c r="AA389" t="s">
        <v>11264</v>
      </c>
      <c r="AB389" t="s">
        <v>14815</v>
      </c>
    </row>
    <row r="390" spans="1:28" x14ac:dyDescent="0.25">
      <c r="A390" t="s">
        <v>394</v>
      </c>
      <c r="B390">
        <v>0.98018197421672304</v>
      </c>
      <c r="C390">
        <v>0.88245116991563899</v>
      </c>
      <c r="D390">
        <v>0.86762355932463997</v>
      </c>
      <c r="E390">
        <v>0.70914766953008301</v>
      </c>
      <c r="F390">
        <v>0.502950024716602</v>
      </c>
      <c r="G390">
        <v>0.29875831443657203</v>
      </c>
      <c r="H390">
        <v>0.35403173892290801</v>
      </c>
      <c r="I390">
        <v>0.33062761279661501</v>
      </c>
      <c r="J390">
        <v>0.38358533103426801</v>
      </c>
      <c r="K390">
        <v>0.37470494401943599</v>
      </c>
      <c r="L390">
        <v>910.90387722748198</v>
      </c>
      <c r="M390">
        <v>18.281923936085899</v>
      </c>
      <c r="N390">
        <v>53.017128717743198</v>
      </c>
      <c r="O390">
        <v>49.240702041474002</v>
      </c>
      <c r="P390">
        <v>-6.1851436882785098E-2</v>
      </c>
      <c r="Q390">
        <v>0.33366592209700602</v>
      </c>
      <c r="R390">
        <v>0.96350823474984004</v>
      </c>
      <c r="S390" t="s">
        <v>4019</v>
      </c>
      <c r="T390" t="s">
        <v>7256</v>
      </c>
      <c r="U390" t="s">
        <v>7256</v>
      </c>
      <c r="V390" t="s">
        <v>7256</v>
      </c>
      <c r="W390">
        <v>4</v>
      </c>
      <c r="X390" t="s">
        <v>7646</v>
      </c>
      <c r="Y390">
        <v>0.56295404707052255</v>
      </c>
      <c r="Z390" t="str">
        <f>HYPERLINK("Melting_Curves/meltCurve_sp_P02652_APOA2_HUMAN_.pdf", "Melting_Curves/meltCurve_sp_P02652_APOA2_HUMAN_.pdf")</f>
        <v>Melting_Curves/meltCurve_sp_P02652_APOA2_HUMAN_.pdf</v>
      </c>
      <c r="AA390" t="s">
        <v>11265</v>
      </c>
      <c r="AB390" t="s">
        <v>14816</v>
      </c>
    </row>
    <row r="391" spans="1:28" x14ac:dyDescent="0.25">
      <c r="A391" t="s">
        <v>395</v>
      </c>
      <c r="B391">
        <v>0.98018197421672304</v>
      </c>
      <c r="C391">
        <v>0.92140799181800703</v>
      </c>
      <c r="D391">
        <v>0.72425282907082</v>
      </c>
      <c r="E391">
        <v>0.38960039414792802</v>
      </c>
      <c r="F391">
        <v>0.21656663172071999</v>
      </c>
      <c r="G391">
        <v>0.12301035821209801</v>
      </c>
      <c r="H391">
        <v>0.116535930291287</v>
      </c>
      <c r="I391">
        <v>7.8826216074689606E-2</v>
      </c>
      <c r="J391">
        <v>0.27612746565729901</v>
      </c>
      <c r="K391">
        <v>8.5926803713847297E-2</v>
      </c>
      <c r="L391">
        <v>1006.23030657214</v>
      </c>
      <c r="M391">
        <v>21.073798210963901</v>
      </c>
      <c r="N391">
        <v>48.429624646719901</v>
      </c>
      <c r="O391">
        <v>47.324198924315397</v>
      </c>
      <c r="P391">
        <v>-9.7041420782180393E-2</v>
      </c>
      <c r="Q391">
        <v>0.12834167023493401</v>
      </c>
      <c r="R391">
        <v>0.97502594265769205</v>
      </c>
      <c r="S391" t="s">
        <v>4020</v>
      </c>
      <c r="T391" t="s">
        <v>7256</v>
      </c>
      <c r="U391" t="s">
        <v>7256</v>
      </c>
      <c r="V391" t="s">
        <v>7256</v>
      </c>
      <c r="W391">
        <v>3</v>
      </c>
      <c r="X391" t="s">
        <v>7647</v>
      </c>
      <c r="Y391">
        <v>0.36459504727169928</v>
      </c>
      <c r="Z391" t="str">
        <f>HYPERLINK("Melting_Curves/meltCurve_sp_P02656_APOC3_HUMAN_.pdf", "Melting_Curves/meltCurve_sp_P02656_APOC3_HUMAN_.pdf")</f>
        <v>Melting_Curves/meltCurve_sp_P02656_APOC3_HUMAN_.pdf</v>
      </c>
      <c r="AA391" t="s">
        <v>11266</v>
      </c>
      <c r="AB391" t="s">
        <v>14817</v>
      </c>
    </row>
    <row r="392" spans="1:28" x14ac:dyDescent="0.25">
      <c r="A392" t="s">
        <v>396</v>
      </c>
      <c r="B392">
        <v>0.98018197421672304</v>
      </c>
      <c r="C392">
        <v>0.98577225920050804</v>
      </c>
      <c r="D392">
        <v>0.93865308329016395</v>
      </c>
      <c r="E392">
        <v>0.62415373938354501</v>
      </c>
      <c r="F392">
        <v>0.22349148052589199</v>
      </c>
      <c r="G392">
        <v>0.14469191706680701</v>
      </c>
      <c r="H392">
        <v>0.11325650847549899</v>
      </c>
      <c r="I392">
        <v>0.11904746284336799</v>
      </c>
      <c r="J392">
        <v>0.118189937498468</v>
      </c>
      <c r="K392">
        <v>0.14660457717192599</v>
      </c>
      <c r="L392">
        <v>1869.81620307206</v>
      </c>
      <c r="M392">
        <v>37.162328858637302</v>
      </c>
      <c r="N392">
        <v>50.702894044771497</v>
      </c>
      <c r="O392">
        <v>50.1697977044468</v>
      </c>
      <c r="P392">
        <v>-0.16226164560664499</v>
      </c>
      <c r="Q392">
        <v>0.12377812939681899</v>
      </c>
      <c r="R392">
        <v>0.99786742344858104</v>
      </c>
      <c r="S392" t="s">
        <v>4021</v>
      </c>
      <c r="T392" t="s">
        <v>7256</v>
      </c>
      <c r="U392" t="s">
        <v>7256</v>
      </c>
      <c r="V392" t="s">
        <v>7256</v>
      </c>
      <c r="W392">
        <v>24</v>
      </c>
      <c r="X392" t="s">
        <v>7648</v>
      </c>
      <c r="Y392">
        <v>0.42858326203181019</v>
      </c>
      <c r="Z392" t="str">
        <f>HYPERLINK("Melting_Curves/meltCurve_sp_P02671_2_FIBA_HUMAN_.pdf", "Melting_Curves/meltCurve_sp_P02671_2_FIBA_HUMAN_.pdf")</f>
        <v>Melting_Curves/meltCurve_sp_P02671_2_FIBA_HUMAN_.pdf</v>
      </c>
      <c r="AA392" t="s">
        <v>11267</v>
      </c>
      <c r="AB392" t="s">
        <v>14818</v>
      </c>
    </row>
    <row r="393" spans="1:28" x14ac:dyDescent="0.25">
      <c r="A393" t="s">
        <v>397</v>
      </c>
      <c r="B393">
        <v>0.98018197421672304</v>
      </c>
      <c r="C393">
        <v>0.99322566027422099</v>
      </c>
      <c r="D393">
        <v>0.87523129036677605</v>
      </c>
      <c r="E393">
        <v>0.55264823277976305</v>
      </c>
      <c r="F393">
        <v>0.13689947996542101</v>
      </c>
      <c r="G393">
        <v>8.2091815269728002E-2</v>
      </c>
      <c r="H393">
        <v>4.4903573262656801E-2</v>
      </c>
      <c r="I393">
        <v>4.0057516077364401E-2</v>
      </c>
      <c r="J393">
        <v>4.0682864954645903E-2</v>
      </c>
      <c r="K393">
        <v>3.3778715174523598E-2</v>
      </c>
      <c r="L393">
        <v>1458.7695129890001</v>
      </c>
      <c r="M393">
        <v>29.197312758739301</v>
      </c>
      <c r="N393">
        <v>50.091364365491899</v>
      </c>
      <c r="O393">
        <v>49.729842488898399</v>
      </c>
      <c r="P393">
        <v>-0.141468457862332</v>
      </c>
      <c r="Q393">
        <v>3.6191705031522803E-2</v>
      </c>
      <c r="R393">
        <v>0.99516405081318404</v>
      </c>
      <c r="S393" t="s">
        <v>4022</v>
      </c>
      <c r="T393" t="s">
        <v>7256</v>
      </c>
      <c r="U393" t="s">
        <v>7256</v>
      </c>
      <c r="V393" t="s">
        <v>7256</v>
      </c>
      <c r="W393">
        <v>22</v>
      </c>
      <c r="X393" t="s">
        <v>7649</v>
      </c>
      <c r="Y393">
        <v>0.36254892910989028</v>
      </c>
      <c r="Z393" t="str">
        <f>HYPERLINK("Melting_Curves/meltCurve_sp_P02675_FIBB_HUMAN_.pdf", "Melting_Curves/meltCurve_sp_P02675_FIBB_HUMAN_.pdf")</f>
        <v>Melting_Curves/meltCurve_sp_P02675_FIBB_HUMAN_.pdf</v>
      </c>
      <c r="AA393" t="s">
        <v>11268</v>
      </c>
      <c r="AB393" t="s">
        <v>14819</v>
      </c>
    </row>
    <row r="394" spans="1:28" x14ac:dyDescent="0.25">
      <c r="A394" t="s">
        <v>398</v>
      </c>
      <c r="B394">
        <v>0.98018197421672304</v>
      </c>
      <c r="C394">
        <v>0.98963596149076505</v>
      </c>
      <c r="D394">
        <v>0.88976514673067897</v>
      </c>
      <c r="E394">
        <v>0.54523297625655898</v>
      </c>
      <c r="F394">
        <v>0.124223427181097</v>
      </c>
      <c r="G394">
        <v>7.2536429406184294E-2</v>
      </c>
      <c r="H394">
        <v>4.2571417222305702E-2</v>
      </c>
      <c r="I394">
        <v>3.8134083300514002E-2</v>
      </c>
      <c r="J394">
        <v>3.5031989334716698E-2</v>
      </c>
      <c r="K394">
        <v>2.95721658020014E-2</v>
      </c>
      <c r="L394">
        <v>1581.07822235151</v>
      </c>
      <c r="M394">
        <v>31.637838382189599</v>
      </c>
      <c r="N394">
        <v>50.084171706578303</v>
      </c>
      <c r="O394">
        <v>49.775893725368398</v>
      </c>
      <c r="P394">
        <v>-0.15357411494828499</v>
      </c>
      <c r="Q394">
        <v>3.3530865544691403E-2</v>
      </c>
      <c r="R394">
        <v>0.99598673573360097</v>
      </c>
      <c r="S394" t="s">
        <v>4023</v>
      </c>
      <c r="T394" t="s">
        <v>7256</v>
      </c>
      <c r="U394" t="s">
        <v>7256</v>
      </c>
      <c r="V394" t="s">
        <v>7256</v>
      </c>
      <c r="W394">
        <v>12</v>
      </c>
      <c r="X394" t="s">
        <v>7650</v>
      </c>
      <c r="Y394">
        <v>0.36022437158698778</v>
      </c>
      <c r="Z394" t="str">
        <f>HYPERLINK("Melting_Curves/meltCurve_sp_P02679_2_FIBG_HUMAN_.pdf", "Melting_Curves/meltCurve_sp_P02679_2_FIBG_HUMAN_.pdf")</f>
        <v>Melting_Curves/meltCurve_sp_P02679_2_FIBG_HUMAN_.pdf</v>
      </c>
      <c r="AA394" t="s">
        <v>11269</v>
      </c>
      <c r="AB394" t="s">
        <v>14820</v>
      </c>
    </row>
    <row r="395" spans="1:28" x14ac:dyDescent="0.25">
      <c r="A395" t="s">
        <v>399</v>
      </c>
      <c r="B395">
        <v>0.98018197421672304</v>
      </c>
      <c r="C395">
        <v>0.80520924772406399</v>
      </c>
      <c r="D395">
        <v>0.90103523333250002</v>
      </c>
      <c r="E395">
        <v>0.79029835264777404</v>
      </c>
      <c r="F395">
        <v>0.72205708331764695</v>
      </c>
      <c r="G395">
        <v>0.54949012096655803</v>
      </c>
      <c r="H395">
        <v>0.427038594717083</v>
      </c>
      <c r="I395">
        <v>0.468618948265422</v>
      </c>
      <c r="J395">
        <v>0.29429356060831702</v>
      </c>
      <c r="K395">
        <v>0.39122378839381799</v>
      </c>
      <c r="L395">
        <v>398.022221070353</v>
      </c>
      <c r="M395">
        <v>7.0183883854702298</v>
      </c>
      <c r="N395">
        <v>59.947079811553301</v>
      </c>
      <c r="O395">
        <v>52.6460051019953</v>
      </c>
      <c r="P395">
        <v>-2.8124954884309199E-2</v>
      </c>
      <c r="Q395">
        <v>0.157668519595315</v>
      </c>
      <c r="R395">
        <v>0.93563846757059899</v>
      </c>
      <c r="S395" t="s">
        <v>4024</v>
      </c>
      <c r="T395" t="s">
        <v>7256</v>
      </c>
      <c r="U395" t="s">
        <v>7256</v>
      </c>
      <c r="V395" t="s">
        <v>7256</v>
      </c>
      <c r="W395">
        <v>7</v>
      </c>
      <c r="X395" t="s">
        <v>7651</v>
      </c>
      <c r="Y395">
        <v>0.63640054250531553</v>
      </c>
      <c r="Z395" t="str">
        <f>HYPERLINK("Melting_Curves/meltCurve_sp_P02743_SAMP_HUMAN_.pdf", "Melting_Curves/meltCurve_sp_P02743_SAMP_HUMAN_.pdf")</f>
        <v>Melting_Curves/meltCurve_sp_P02743_SAMP_HUMAN_.pdf</v>
      </c>
      <c r="AA395" t="s">
        <v>11270</v>
      </c>
      <c r="AB395" t="s">
        <v>14821</v>
      </c>
    </row>
    <row r="396" spans="1:28" x14ac:dyDescent="0.25">
      <c r="A396" t="s">
        <v>400</v>
      </c>
      <c r="B396">
        <v>0.98018197421672304</v>
      </c>
      <c r="C396">
        <v>0.95570982610604105</v>
      </c>
      <c r="D396">
        <v>0.87860162014305498</v>
      </c>
      <c r="E396">
        <v>0.71764115532625805</v>
      </c>
      <c r="F396">
        <v>0.40704890765020901</v>
      </c>
      <c r="G396">
        <v>0.18339598975034599</v>
      </c>
      <c r="H396">
        <v>0.11393097035805901</v>
      </c>
      <c r="I396">
        <v>9.5597503427908403E-2</v>
      </c>
      <c r="J396">
        <v>9.2308230190221802E-2</v>
      </c>
      <c r="K396">
        <v>8.3720573739897095E-2</v>
      </c>
      <c r="L396">
        <v>1011.2045165278</v>
      </c>
      <c r="M396">
        <v>19.591705714595498</v>
      </c>
      <c r="N396">
        <v>52.035449475885599</v>
      </c>
      <c r="O396">
        <v>51.085191635296503</v>
      </c>
      <c r="P396">
        <v>-8.8845399559771596E-2</v>
      </c>
      <c r="Q396">
        <v>7.3378482482336499E-2</v>
      </c>
      <c r="R396">
        <v>0.99633426844213802</v>
      </c>
      <c r="S396" t="s">
        <v>4025</v>
      </c>
      <c r="T396" t="s">
        <v>7256</v>
      </c>
      <c r="U396" t="s">
        <v>7256</v>
      </c>
      <c r="V396" t="s">
        <v>7256</v>
      </c>
      <c r="W396">
        <v>6</v>
      </c>
      <c r="X396" t="s">
        <v>7652</v>
      </c>
      <c r="Y396">
        <v>0.44543327567833041</v>
      </c>
      <c r="Z396" t="str">
        <f>HYPERLINK("Melting_Curves/meltCurve_sp_P02748_CO9_HUMAN_.pdf", "Melting_Curves/meltCurve_sp_P02748_CO9_HUMAN_.pdf")</f>
        <v>Melting_Curves/meltCurve_sp_P02748_CO9_HUMAN_.pdf</v>
      </c>
      <c r="AA396" t="s">
        <v>11271</v>
      </c>
      <c r="AB396" t="s">
        <v>14822</v>
      </c>
    </row>
    <row r="397" spans="1:28" x14ac:dyDescent="0.25">
      <c r="A397" t="s">
        <v>401</v>
      </c>
      <c r="B397">
        <v>0.98018197421672304</v>
      </c>
      <c r="C397">
        <v>0.93068848587247399</v>
      </c>
      <c r="D397">
        <v>1.0328941626393</v>
      </c>
      <c r="E397">
        <v>0.77075263444858699</v>
      </c>
      <c r="F397">
        <v>0.65359934655632501</v>
      </c>
      <c r="G397">
        <v>0.338328373941226</v>
      </c>
      <c r="H397">
        <v>0.23107840529811599</v>
      </c>
      <c r="I397">
        <v>0.24300500197252001</v>
      </c>
      <c r="J397">
        <v>0.26774769777421897</v>
      </c>
      <c r="K397">
        <v>0.27010044742672001</v>
      </c>
      <c r="L397">
        <v>1188.24802902941</v>
      </c>
      <c r="M397">
        <v>22.516402811599299</v>
      </c>
      <c r="N397">
        <v>54.3362750736162</v>
      </c>
      <c r="O397">
        <v>52.361583185429303</v>
      </c>
      <c r="P397">
        <v>-8.1871403825611894E-2</v>
      </c>
      <c r="Q397">
        <v>0.23845222995791801</v>
      </c>
      <c r="R397">
        <v>0.98216187329218296</v>
      </c>
      <c r="S397" t="s">
        <v>4026</v>
      </c>
      <c r="T397" t="s">
        <v>7256</v>
      </c>
      <c r="U397" t="s">
        <v>7256</v>
      </c>
      <c r="V397" t="s">
        <v>7256</v>
      </c>
      <c r="W397">
        <v>3</v>
      </c>
      <c r="X397" t="s">
        <v>7653</v>
      </c>
      <c r="Y397">
        <v>0.57118364576317082</v>
      </c>
      <c r="Z397" t="str">
        <f>HYPERLINK("Melting_Curves/meltCurve_sp_P02749_APOH_HUMAN_.pdf", "Melting_Curves/meltCurve_sp_P02749_APOH_HUMAN_.pdf")</f>
        <v>Melting_Curves/meltCurve_sp_P02749_APOH_HUMAN_.pdf</v>
      </c>
      <c r="AA397" t="s">
        <v>11272</v>
      </c>
      <c r="AB397" t="s">
        <v>14823</v>
      </c>
    </row>
    <row r="398" spans="1:28" x14ac:dyDescent="0.25">
      <c r="A398" t="s">
        <v>402</v>
      </c>
      <c r="B398">
        <v>0.98018197421672304</v>
      </c>
      <c r="C398">
        <v>1.09849487509513</v>
      </c>
      <c r="D398">
        <v>0.94305052365733</v>
      </c>
      <c r="E398">
        <v>0.80440280359423899</v>
      </c>
      <c r="F398">
        <v>0.62682445254756203</v>
      </c>
      <c r="G398">
        <v>0.452025139373672</v>
      </c>
      <c r="H398">
        <v>0.31747210003433302</v>
      </c>
      <c r="I398">
        <v>0.27639957984576902</v>
      </c>
      <c r="J398">
        <v>0.29227069127499899</v>
      </c>
      <c r="K398">
        <v>0.224243815042457</v>
      </c>
      <c r="L398">
        <v>896.48691940176104</v>
      </c>
      <c r="M398">
        <v>16.808098309390601</v>
      </c>
      <c r="N398">
        <v>55.480686847122499</v>
      </c>
      <c r="O398">
        <v>52.598779635353601</v>
      </c>
      <c r="P398">
        <v>-6.0809938186444E-2</v>
      </c>
      <c r="Q398">
        <v>0.238861694933302</v>
      </c>
      <c r="R398">
        <v>0.98487757719506397</v>
      </c>
      <c r="S398" t="s">
        <v>4027</v>
      </c>
      <c r="T398" t="s">
        <v>7256</v>
      </c>
      <c r="U398" t="s">
        <v>7256</v>
      </c>
      <c r="V398" t="s">
        <v>7256</v>
      </c>
      <c r="W398">
        <v>3</v>
      </c>
      <c r="X398" t="s">
        <v>7654</v>
      </c>
      <c r="Y398">
        <v>0.59096845727795111</v>
      </c>
      <c r="Z398" t="str">
        <f>HYPERLINK("Melting_Curves/meltCurve_sp_P02750_A2GL_HUMAN_.pdf", "Melting_Curves/meltCurve_sp_P02750_A2GL_HUMAN_.pdf")</f>
        <v>Melting_Curves/meltCurve_sp_P02750_A2GL_HUMAN_.pdf</v>
      </c>
      <c r="AA398" t="s">
        <v>11273</v>
      </c>
      <c r="AB398" t="s">
        <v>14824</v>
      </c>
    </row>
    <row r="399" spans="1:28" x14ac:dyDescent="0.25">
      <c r="A399" t="s">
        <v>403</v>
      </c>
      <c r="B399">
        <v>0.98018197421672304</v>
      </c>
      <c r="C399">
        <v>0.95271630845974098</v>
      </c>
      <c r="D399">
        <v>0.87051977678831305</v>
      </c>
      <c r="E399">
        <v>0.77616842545211195</v>
      </c>
      <c r="F399">
        <v>0.71717766894353296</v>
      </c>
      <c r="G399">
        <v>0.53507712313530698</v>
      </c>
      <c r="H399">
        <v>0.29191914520801798</v>
      </c>
      <c r="I399">
        <v>0.28535180660695197</v>
      </c>
      <c r="J399">
        <v>0.30287222702119199</v>
      </c>
      <c r="K399">
        <v>0.34168108660924701</v>
      </c>
      <c r="L399">
        <v>668.77255684935994</v>
      </c>
      <c r="M399">
        <v>12.3909968894261</v>
      </c>
      <c r="N399">
        <v>56.8508606087237</v>
      </c>
      <c r="O399">
        <v>52.624500770874299</v>
      </c>
      <c r="P399">
        <v>-4.5159158086091E-2</v>
      </c>
      <c r="Q399">
        <v>0.233000411502714</v>
      </c>
      <c r="R399">
        <v>0.96981527898731001</v>
      </c>
      <c r="S399" t="s">
        <v>4028</v>
      </c>
      <c r="T399" t="s">
        <v>7256</v>
      </c>
      <c r="U399" t="s">
        <v>7256</v>
      </c>
      <c r="V399" t="s">
        <v>7256</v>
      </c>
      <c r="W399">
        <v>8</v>
      </c>
      <c r="X399" t="s">
        <v>7655</v>
      </c>
      <c r="Y399">
        <v>0.60971056730565787</v>
      </c>
      <c r="Z399" t="str">
        <f>HYPERLINK("Melting_Curves/meltCurve_sp_P02760_AMBP_HUMAN_.pdf", "Melting_Curves/meltCurve_sp_P02760_AMBP_HUMAN_.pdf")</f>
        <v>Melting_Curves/meltCurve_sp_P02760_AMBP_HUMAN_.pdf</v>
      </c>
      <c r="AA399" t="s">
        <v>11274</v>
      </c>
      <c r="AB399" t="s">
        <v>14825</v>
      </c>
    </row>
    <row r="400" spans="1:28" x14ac:dyDescent="0.25">
      <c r="A400" t="s">
        <v>404</v>
      </c>
      <c r="B400">
        <v>0.98018197421672304</v>
      </c>
      <c r="C400">
        <v>1.0095205069230999</v>
      </c>
      <c r="D400">
        <v>0.97995370195304699</v>
      </c>
      <c r="E400">
        <v>0.85483653366714796</v>
      </c>
      <c r="F400">
        <v>0.84681118884621498</v>
      </c>
      <c r="G400">
        <v>0.68977029829978298</v>
      </c>
      <c r="H400">
        <v>0.55118457415514699</v>
      </c>
      <c r="I400">
        <v>0.63729130643504395</v>
      </c>
      <c r="J400">
        <v>0.55281074707539402</v>
      </c>
      <c r="K400">
        <v>0.79151520709207801</v>
      </c>
      <c r="L400">
        <v>1114.69907400586</v>
      </c>
      <c r="M400">
        <v>21.285433613882201</v>
      </c>
      <c r="O400">
        <v>51.913444089743798</v>
      </c>
      <c r="P400">
        <v>-3.7735872229581198E-2</v>
      </c>
      <c r="Q400">
        <v>0.63187045364358096</v>
      </c>
      <c r="R400">
        <v>0.828752766778315</v>
      </c>
      <c r="S400" t="s">
        <v>4029</v>
      </c>
      <c r="T400" t="s">
        <v>7256</v>
      </c>
      <c r="U400" t="s">
        <v>7256</v>
      </c>
      <c r="V400" t="s">
        <v>7256</v>
      </c>
      <c r="W400">
        <v>8</v>
      </c>
      <c r="X400" t="s">
        <v>7656</v>
      </c>
      <c r="Y400">
        <v>0.78820150718101989</v>
      </c>
      <c r="Z400" t="str">
        <f>HYPERLINK("Melting_Curves/meltCurve_sp_P02763_A1AG1_HUMAN_.pdf", "Melting_Curves/meltCurve_sp_P02763_A1AG1_HUMAN_.pdf")</f>
        <v>Melting_Curves/meltCurve_sp_P02763_A1AG1_HUMAN_.pdf</v>
      </c>
      <c r="AA400" t="s">
        <v>11275</v>
      </c>
      <c r="AB400" t="s">
        <v>14826</v>
      </c>
    </row>
    <row r="401" spans="1:28" x14ac:dyDescent="0.25">
      <c r="A401" t="s">
        <v>405</v>
      </c>
      <c r="B401">
        <v>0.98018197421672304</v>
      </c>
      <c r="C401">
        <v>0.84987323498228395</v>
      </c>
      <c r="D401">
        <v>0.91809968709462497</v>
      </c>
      <c r="E401">
        <v>0.80892785486929597</v>
      </c>
      <c r="F401">
        <v>0.62692791565015005</v>
      </c>
      <c r="G401">
        <v>0.434670337435762</v>
      </c>
      <c r="H401">
        <v>0.53289077618996294</v>
      </c>
      <c r="I401">
        <v>0.53099215902264096</v>
      </c>
      <c r="J401">
        <v>0.64270195607840697</v>
      </c>
      <c r="K401">
        <v>0.53027831623074595</v>
      </c>
      <c r="L401">
        <v>1087.6095582103801</v>
      </c>
      <c r="M401">
        <v>21.831619278779801</v>
      </c>
      <c r="O401">
        <v>49.405749543237199</v>
      </c>
      <c r="P401">
        <v>-5.18285624714915E-2</v>
      </c>
      <c r="Q401">
        <v>0.53085109908225303</v>
      </c>
      <c r="R401">
        <v>0.84599289520959697</v>
      </c>
      <c r="S401" t="s">
        <v>4030</v>
      </c>
      <c r="T401" t="s">
        <v>7256</v>
      </c>
      <c r="U401" t="s">
        <v>7256</v>
      </c>
      <c r="V401" t="s">
        <v>7256</v>
      </c>
      <c r="W401">
        <v>5</v>
      </c>
      <c r="X401" t="s">
        <v>7657</v>
      </c>
      <c r="Y401">
        <v>0.68988406474475161</v>
      </c>
      <c r="Z401" t="str">
        <f>HYPERLINK("Melting_Curves/meltCurve_sp_P02765_FETUA_HUMAN_.pdf", "Melting_Curves/meltCurve_sp_P02765_FETUA_HUMAN_.pdf")</f>
        <v>Melting_Curves/meltCurve_sp_P02765_FETUA_HUMAN_.pdf</v>
      </c>
      <c r="AA401" t="s">
        <v>11276</v>
      </c>
      <c r="AB401" t="s">
        <v>14827</v>
      </c>
    </row>
    <row r="402" spans="1:28" x14ac:dyDescent="0.25">
      <c r="A402" t="s">
        <v>406</v>
      </c>
      <c r="B402">
        <v>0.98018197421672304</v>
      </c>
      <c r="C402">
        <v>1.0643523763104601</v>
      </c>
      <c r="D402">
        <v>1.0426312413552099</v>
      </c>
      <c r="E402">
        <v>0.91314831797171903</v>
      </c>
      <c r="F402">
        <v>0.80071375151768298</v>
      </c>
      <c r="G402">
        <v>0.64101073058578695</v>
      </c>
      <c r="H402">
        <v>0.49472809127892198</v>
      </c>
      <c r="I402">
        <v>0.54706084290092305</v>
      </c>
      <c r="J402">
        <v>0.513774954662644</v>
      </c>
      <c r="K402">
        <v>0.62360548196499499</v>
      </c>
      <c r="L402">
        <v>1431.9136875793199</v>
      </c>
      <c r="M402">
        <v>26.8040582794005</v>
      </c>
      <c r="O402">
        <v>53.126836744155597</v>
      </c>
      <c r="P402">
        <v>-5.7451548165249902E-2</v>
      </c>
      <c r="Q402">
        <v>0.54451857277513105</v>
      </c>
      <c r="R402">
        <v>0.95670340868419401</v>
      </c>
      <c r="S402" t="s">
        <v>4031</v>
      </c>
      <c r="T402" t="s">
        <v>7256</v>
      </c>
      <c r="U402" t="s">
        <v>7256</v>
      </c>
      <c r="V402" t="s">
        <v>7256</v>
      </c>
      <c r="W402">
        <v>4</v>
      </c>
      <c r="X402" t="s">
        <v>7658</v>
      </c>
      <c r="Y402">
        <v>0.75198320827802589</v>
      </c>
      <c r="Z402" t="str">
        <f>HYPERLINK("Melting_Curves/meltCurve_sp_P02766_TTHY_HUMAN_.pdf", "Melting_Curves/meltCurve_sp_P02766_TTHY_HUMAN_.pdf")</f>
        <v>Melting_Curves/meltCurve_sp_P02766_TTHY_HUMAN_.pdf</v>
      </c>
      <c r="AA402" t="s">
        <v>11277</v>
      </c>
      <c r="AB402" t="s">
        <v>14828</v>
      </c>
    </row>
    <row r="403" spans="1:28" x14ac:dyDescent="0.25">
      <c r="A403" t="s">
        <v>407</v>
      </c>
      <c r="B403">
        <v>0.98018197421672304</v>
      </c>
      <c r="C403">
        <v>0.95634196954208395</v>
      </c>
      <c r="D403">
        <v>0.94123427186248598</v>
      </c>
      <c r="E403">
        <v>0.89771624610462497</v>
      </c>
      <c r="F403">
        <v>0.827369973364385</v>
      </c>
      <c r="G403">
        <v>0.78143420161340404</v>
      </c>
      <c r="H403">
        <v>0.52375849454602397</v>
      </c>
      <c r="I403">
        <v>0.32031691803885498</v>
      </c>
      <c r="J403">
        <v>0.16024036654835699</v>
      </c>
      <c r="K403">
        <v>9.3844596045648002E-2</v>
      </c>
      <c r="L403">
        <v>910.48479995735397</v>
      </c>
      <c r="M403">
        <v>14.975353632873199</v>
      </c>
      <c r="N403">
        <v>60.798884814393098</v>
      </c>
      <c r="O403">
        <v>59.745627048481602</v>
      </c>
      <c r="P403">
        <v>-6.2669341205922102E-2</v>
      </c>
      <c r="Q403">
        <v>0</v>
      </c>
      <c r="R403">
        <v>0.98088182216449604</v>
      </c>
      <c r="S403" t="s">
        <v>4032</v>
      </c>
      <c r="T403" t="s">
        <v>7256</v>
      </c>
      <c r="U403" t="s">
        <v>7256</v>
      </c>
      <c r="V403" t="s">
        <v>7256</v>
      </c>
      <c r="W403">
        <v>3</v>
      </c>
      <c r="X403" t="s">
        <v>7659</v>
      </c>
      <c r="Y403">
        <v>0.69669674004094451</v>
      </c>
      <c r="Z403" t="str">
        <f>HYPERLINK("Melting_Curves/meltCurve_sp_P02771_FETA_HUMAN_.pdf", "Melting_Curves/meltCurve_sp_P02771_FETA_HUMAN_.pdf")</f>
        <v>Melting_Curves/meltCurve_sp_P02771_FETA_HUMAN_.pdf</v>
      </c>
      <c r="AA403" t="s">
        <v>11278</v>
      </c>
      <c r="AB403" t="s">
        <v>14829</v>
      </c>
    </row>
    <row r="404" spans="1:28" x14ac:dyDescent="0.25">
      <c r="A404" t="s">
        <v>408</v>
      </c>
      <c r="B404">
        <v>0.98018197421672304</v>
      </c>
      <c r="C404">
        <v>0.97482934080310302</v>
      </c>
      <c r="D404">
        <v>0.95348507186587705</v>
      </c>
      <c r="E404">
        <v>0.88701691467169697</v>
      </c>
      <c r="F404">
        <v>0.77492616298492401</v>
      </c>
      <c r="G404">
        <v>0.62148685286293204</v>
      </c>
      <c r="H404">
        <v>0.52309329673427296</v>
      </c>
      <c r="I404">
        <v>0.54497923176775098</v>
      </c>
      <c r="J404">
        <v>0.38258753285700903</v>
      </c>
      <c r="K404">
        <v>0.27481660491082199</v>
      </c>
      <c r="L404">
        <v>459.01824544755999</v>
      </c>
      <c r="M404">
        <v>7.3430532170130398</v>
      </c>
      <c r="N404">
        <v>62.510542876366699</v>
      </c>
      <c r="O404">
        <v>58.375717693420903</v>
      </c>
      <c r="P404">
        <v>-3.1496269064370599E-2</v>
      </c>
      <c r="Q404">
        <v>0</v>
      </c>
      <c r="R404">
        <v>0.97783669538061702</v>
      </c>
      <c r="S404" t="s">
        <v>4033</v>
      </c>
      <c r="T404" t="s">
        <v>7256</v>
      </c>
      <c r="U404" t="s">
        <v>7256</v>
      </c>
      <c r="V404" t="s">
        <v>7256</v>
      </c>
      <c r="W404">
        <v>19</v>
      </c>
      <c r="X404" t="s">
        <v>7660</v>
      </c>
      <c r="Y404">
        <v>0.70025077367030841</v>
      </c>
      <c r="Z404" t="str">
        <f>HYPERLINK("Melting_Curves/meltCurve_sp_P02774_VTDB_HUMAN_.pdf", "Melting_Curves/meltCurve_sp_P02774_VTDB_HUMAN_.pdf")</f>
        <v>Melting_Curves/meltCurve_sp_P02774_VTDB_HUMAN_.pdf</v>
      </c>
      <c r="AA404" t="s">
        <v>11279</v>
      </c>
      <c r="AB404" t="s">
        <v>14830</v>
      </c>
    </row>
    <row r="405" spans="1:28" x14ac:dyDescent="0.25">
      <c r="A405" t="s">
        <v>409</v>
      </c>
      <c r="B405">
        <v>0.98018197421672304</v>
      </c>
      <c r="C405">
        <v>0.89553626276600795</v>
      </c>
      <c r="D405">
        <v>0.86274563108409996</v>
      </c>
      <c r="E405">
        <v>0.75076772699855199</v>
      </c>
      <c r="F405">
        <v>0.65785008106629295</v>
      </c>
      <c r="G405">
        <v>0.50520968300809799</v>
      </c>
      <c r="H405">
        <v>0.36923024141130201</v>
      </c>
      <c r="I405">
        <v>0.36466356110538301</v>
      </c>
      <c r="J405">
        <v>0.31734216811697002</v>
      </c>
      <c r="K405">
        <v>0.26582134434961802</v>
      </c>
      <c r="L405">
        <v>468.02753339758999</v>
      </c>
      <c r="M405">
        <v>8.5387160039363899</v>
      </c>
      <c r="N405">
        <v>57.329350814128098</v>
      </c>
      <c r="O405">
        <v>52.0541981815661</v>
      </c>
      <c r="P405">
        <v>-3.4629207766115597E-2</v>
      </c>
      <c r="Q405">
        <v>0.15631350171743</v>
      </c>
      <c r="R405">
        <v>0.994420093193634</v>
      </c>
      <c r="S405" t="s">
        <v>4034</v>
      </c>
      <c r="T405" t="s">
        <v>7256</v>
      </c>
      <c r="U405" t="s">
        <v>7256</v>
      </c>
      <c r="V405" t="s">
        <v>7256</v>
      </c>
      <c r="W405">
        <v>9</v>
      </c>
      <c r="X405" t="s">
        <v>7661</v>
      </c>
      <c r="Y405">
        <v>0.59664278952419425</v>
      </c>
      <c r="Z405" t="str">
        <f>HYPERLINK("Melting_Curves/meltCurve_sp_P02790_HEMO_HUMAN_.pdf", "Melting_Curves/meltCurve_sp_P02790_HEMO_HUMAN_.pdf")</f>
        <v>Melting_Curves/meltCurve_sp_P02790_HEMO_HUMAN_.pdf</v>
      </c>
      <c r="AA405" t="s">
        <v>11280</v>
      </c>
      <c r="AB405" t="s">
        <v>14831</v>
      </c>
    </row>
    <row r="406" spans="1:28" x14ac:dyDescent="0.25">
      <c r="A406" t="s">
        <v>410</v>
      </c>
      <c r="B406">
        <v>0.98018197421672304</v>
      </c>
      <c r="C406">
        <v>0.71720532245759305</v>
      </c>
      <c r="D406">
        <v>0.96333603396845202</v>
      </c>
      <c r="E406">
        <v>0.81880038448979897</v>
      </c>
      <c r="F406">
        <v>0.72902126858528404</v>
      </c>
      <c r="G406">
        <v>0.52489143700609697</v>
      </c>
      <c r="H406">
        <v>0.450622438609592</v>
      </c>
      <c r="I406">
        <v>0.45953987066784402</v>
      </c>
      <c r="J406">
        <v>0.28050879761043601</v>
      </c>
      <c r="K406">
        <v>0.44666185856054802</v>
      </c>
      <c r="L406">
        <v>417.47152301714902</v>
      </c>
      <c r="M406">
        <v>7.4725508537529199</v>
      </c>
      <c r="N406">
        <v>60.214621095725803</v>
      </c>
      <c r="O406">
        <v>52.285794335267603</v>
      </c>
      <c r="P406">
        <v>-2.8321802101224799E-2</v>
      </c>
      <c r="Q406">
        <v>0.20847776880909299</v>
      </c>
      <c r="R406">
        <v>0.84026812160556696</v>
      </c>
      <c r="S406" t="s">
        <v>4035</v>
      </c>
      <c r="T406" t="s">
        <v>7256</v>
      </c>
      <c r="U406" t="s">
        <v>7256</v>
      </c>
      <c r="V406" t="s">
        <v>7256</v>
      </c>
      <c r="W406">
        <v>14</v>
      </c>
      <c r="X406" t="s">
        <v>7662</v>
      </c>
      <c r="Y406">
        <v>0.64300965763621321</v>
      </c>
      <c r="Z406" t="str">
        <f>HYPERLINK("Melting_Curves/meltCurve_sp_P02792_FRIL_HUMAN_.pdf", "Melting_Curves/meltCurve_sp_P02792_FRIL_HUMAN_.pdf")</f>
        <v>Melting_Curves/meltCurve_sp_P02792_FRIL_HUMAN_.pdf</v>
      </c>
      <c r="AA406" t="s">
        <v>11281</v>
      </c>
      <c r="AB406" t="s">
        <v>14832</v>
      </c>
    </row>
    <row r="407" spans="1:28" x14ac:dyDescent="0.25">
      <c r="A407" t="s">
        <v>411</v>
      </c>
      <c r="B407">
        <v>0.98018197421672304</v>
      </c>
      <c r="C407">
        <v>0.66425275946689299</v>
      </c>
      <c r="D407">
        <v>1.00332971548066</v>
      </c>
      <c r="E407">
        <v>0.79800790467895699</v>
      </c>
      <c r="F407">
        <v>0.75814583192499596</v>
      </c>
      <c r="G407">
        <v>0.45988030578530298</v>
      </c>
      <c r="H407">
        <v>0.39672806671226302</v>
      </c>
      <c r="I407">
        <v>0.39342771196057502</v>
      </c>
      <c r="J407">
        <v>0.17384188769251999</v>
      </c>
      <c r="K407">
        <v>0.405577451156724</v>
      </c>
      <c r="L407">
        <v>496.95294158815199</v>
      </c>
      <c r="M407">
        <v>8.9684615164406196</v>
      </c>
      <c r="N407">
        <v>58.078113297806603</v>
      </c>
      <c r="O407">
        <v>52.864123100819697</v>
      </c>
      <c r="P407">
        <v>-3.5280213989513198E-2</v>
      </c>
      <c r="Q407">
        <v>0.168782017308028</v>
      </c>
      <c r="R407">
        <v>0.79504299621997798</v>
      </c>
      <c r="S407" t="s">
        <v>4036</v>
      </c>
      <c r="T407" t="s">
        <v>7256</v>
      </c>
      <c r="U407" t="s">
        <v>7256</v>
      </c>
      <c r="V407" t="s">
        <v>7256</v>
      </c>
      <c r="W407">
        <v>7</v>
      </c>
      <c r="X407" t="s">
        <v>7663</v>
      </c>
      <c r="Y407">
        <v>0.61601974283187744</v>
      </c>
      <c r="Z407" t="str">
        <f>HYPERLINK("Melting_Curves/meltCurve_sp_P02794_FRIH_HUMAN_.pdf", "Melting_Curves/meltCurve_sp_P02794_FRIH_HUMAN_.pdf")</f>
        <v>Melting_Curves/meltCurve_sp_P02794_FRIH_HUMAN_.pdf</v>
      </c>
      <c r="AA407" t="s">
        <v>11282</v>
      </c>
      <c r="AB407" t="s">
        <v>14833</v>
      </c>
    </row>
    <row r="408" spans="1:28" x14ac:dyDescent="0.25">
      <c r="A408" t="s">
        <v>412</v>
      </c>
      <c r="B408">
        <v>0.98018197421672304</v>
      </c>
      <c r="C408">
        <v>1.0447348246239301</v>
      </c>
      <c r="D408">
        <v>1.02741238410032</v>
      </c>
      <c r="E408">
        <v>0.80473062051688504</v>
      </c>
      <c r="F408">
        <v>0.98972062867426502</v>
      </c>
      <c r="G408">
        <v>0.82839170499685899</v>
      </c>
      <c r="H408">
        <v>0.64687050975072502</v>
      </c>
      <c r="I408">
        <v>0.98429440016512904</v>
      </c>
      <c r="J408">
        <v>1.2137938970676101</v>
      </c>
      <c r="K408">
        <v>1.9604359911928699</v>
      </c>
      <c r="L408">
        <v>15000</v>
      </c>
      <c r="M408">
        <v>223.59028483580499</v>
      </c>
      <c r="O408">
        <v>67.081622457433298</v>
      </c>
      <c r="P408">
        <v>0.416638461366519</v>
      </c>
      <c r="Q408">
        <v>1.5</v>
      </c>
      <c r="R408">
        <v>0.64252180964021199</v>
      </c>
      <c r="S408" t="s">
        <v>4037</v>
      </c>
      <c r="T408" t="s">
        <v>7256</v>
      </c>
      <c r="U408" t="s">
        <v>7256</v>
      </c>
      <c r="V408" t="s">
        <v>7256</v>
      </c>
      <c r="W408">
        <v>5</v>
      </c>
      <c r="X408" t="s">
        <v>7664</v>
      </c>
      <c r="Y408">
        <v>1.0484770070630951</v>
      </c>
      <c r="Z408" t="str">
        <f>HYPERLINK("Melting_Curves/meltCurve_sp_P02795_MT2_HUMAN_.pdf", "Melting_Curves/meltCurve_sp_P02795_MT2_HUMAN_.pdf")</f>
        <v>Melting_Curves/meltCurve_sp_P02795_MT2_HUMAN_.pdf</v>
      </c>
      <c r="AA408" t="s">
        <v>11283</v>
      </c>
      <c r="AB408" t="s">
        <v>14834</v>
      </c>
    </row>
    <row r="409" spans="1:28" x14ac:dyDescent="0.25">
      <c r="A409" t="s">
        <v>413</v>
      </c>
      <c r="B409">
        <v>0.98018197421672304</v>
      </c>
      <c r="C409">
        <v>1.09537749331745</v>
      </c>
      <c r="D409">
        <v>0.97303011332688705</v>
      </c>
      <c r="E409">
        <v>0.833203519741888</v>
      </c>
      <c r="F409">
        <v>0.78484189772065605</v>
      </c>
      <c r="G409">
        <v>0.88716271619526099</v>
      </c>
      <c r="H409">
        <v>0.50927914060992796</v>
      </c>
      <c r="I409">
        <v>0.37876179909556201</v>
      </c>
      <c r="J409">
        <v>7.9192358247099998E-2</v>
      </c>
      <c r="K409">
        <v>8.7172072780823603E-2</v>
      </c>
      <c r="L409">
        <v>1098.35323798784</v>
      </c>
      <c r="M409">
        <v>17.927622840479401</v>
      </c>
      <c r="N409">
        <v>61.2659731963372</v>
      </c>
      <c r="O409">
        <v>60.518924001842898</v>
      </c>
      <c r="P409">
        <v>-7.4061626679729306E-2</v>
      </c>
      <c r="Q409">
        <v>0</v>
      </c>
      <c r="R409">
        <v>0.93633519080196004</v>
      </c>
      <c r="S409" t="s">
        <v>4038</v>
      </c>
      <c r="T409" t="s">
        <v>7256</v>
      </c>
      <c r="U409" t="s">
        <v>7256</v>
      </c>
      <c r="V409" t="s">
        <v>7256</v>
      </c>
      <c r="W409">
        <v>4</v>
      </c>
      <c r="X409" t="s">
        <v>7665</v>
      </c>
      <c r="Y409">
        <v>0.71318463939843435</v>
      </c>
      <c r="Z409" t="str">
        <f>HYPERLINK("Melting_Curves/meltCurve_sp_P03950_ANGI_HUMAN_.pdf", "Melting_Curves/meltCurve_sp_P03950_ANGI_HUMAN_.pdf")</f>
        <v>Melting_Curves/meltCurve_sp_P03950_ANGI_HUMAN_.pdf</v>
      </c>
      <c r="AA409" t="s">
        <v>11284</v>
      </c>
      <c r="AB409" t="s">
        <v>14835</v>
      </c>
    </row>
    <row r="410" spans="1:28" x14ac:dyDescent="0.25">
      <c r="A410" t="s">
        <v>414</v>
      </c>
      <c r="B410">
        <v>0.98018197421672304</v>
      </c>
      <c r="C410">
        <v>1.09717833664063</v>
      </c>
      <c r="D410">
        <v>0.82656916680887904</v>
      </c>
      <c r="E410">
        <v>0.71844066069544099</v>
      </c>
      <c r="F410">
        <v>0.64692899290559103</v>
      </c>
      <c r="G410">
        <v>0.51397378975314301</v>
      </c>
      <c r="H410">
        <v>0.345394697669758</v>
      </c>
      <c r="I410">
        <v>0.47127643262305202</v>
      </c>
      <c r="J410">
        <v>0.532706587469435</v>
      </c>
      <c r="K410">
        <v>0.614534438226923</v>
      </c>
      <c r="L410">
        <v>982.57308819483103</v>
      </c>
      <c r="M410">
        <v>19.929853245077101</v>
      </c>
      <c r="N410">
        <v>62.9499191162421</v>
      </c>
      <c r="O410">
        <v>48.813253776849599</v>
      </c>
      <c r="P410">
        <v>-5.1715736006237502E-2</v>
      </c>
      <c r="Q410">
        <v>0.49335701704818702</v>
      </c>
      <c r="R410">
        <v>0.86843149709020595</v>
      </c>
      <c r="S410" t="s">
        <v>4039</v>
      </c>
      <c r="T410" t="s">
        <v>7256</v>
      </c>
      <c r="U410" t="s">
        <v>7256</v>
      </c>
      <c r="V410" t="s">
        <v>7256</v>
      </c>
      <c r="W410">
        <v>3</v>
      </c>
      <c r="X410" t="s">
        <v>7666</v>
      </c>
      <c r="Y410">
        <v>0.65757234543267662</v>
      </c>
      <c r="Z410" t="str">
        <f>HYPERLINK("Melting_Curves/meltCurve_sp_P04003_C4BPA_HUMAN_.pdf", "Melting_Curves/meltCurve_sp_P04003_C4BPA_HUMAN_.pdf")</f>
        <v>Melting_Curves/meltCurve_sp_P04003_C4BPA_HUMAN_.pdf</v>
      </c>
      <c r="AA410" t="s">
        <v>11285</v>
      </c>
      <c r="AB410" t="s">
        <v>14836</v>
      </c>
    </row>
    <row r="411" spans="1:28" x14ac:dyDescent="0.25">
      <c r="A411" t="s">
        <v>415</v>
      </c>
      <c r="B411">
        <v>0.98018197421672304</v>
      </c>
      <c r="C411">
        <v>0.96887023684682005</v>
      </c>
      <c r="D411">
        <v>0.89782283370279903</v>
      </c>
      <c r="E411">
        <v>0.74379340982184505</v>
      </c>
      <c r="F411">
        <v>0.58802463692194396</v>
      </c>
      <c r="G411">
        <v>0.36993538292219802</v>
      </c>
      <c r="H411">
        <v>0.19615189841144701</v>
      </c>
      <c r="I411">
        <v>0.16127892582895201</v>
      </c>
      <c r="J411">
        <v>0.15426230573820801</v>
      </c>
      <c r="K411">
        <v>0.17824178731196499</v>
      </c>
      <c r="L411">
        <v>776.15119394737201</v>
      </c>
      <c r="M411">
        <v>14.595413397196699</v>
      </c>
      <c r="N411">
        <v>54.140064352645297</v>
      </c>
      <c r="O411">
        <v>52.209389660754198</v>
      </c>
      <c r="P411">
        <v>-6.1910756897939297E-2</v>
      </c>
      <c r="Q411">
        <v>0.114253409798726</v>
      </c>
      <c r="R411">
        <v>0.99600589339898205</v>
      </c>
      <c r="S411" t="s">
        <v>4040</v>
      </c>
      <c r="T411" t="s">
        <v>7256</v>
      </c>
      <c r="U411" t="s">
        <v>7256</v>
      </c>
      <c r="V411" t="s">
        <v>7256</v>
      </c>
      <c r="W411">
        <v>4</v>
      </c>
      <c r="X411" t="s">
        <v>7667</v>
      </c>
      <c r="Y411">
        <v>0.52295053955147486</v>
      </c>
      <c r="Z411" t="str">
        <f>HYPERLINK("Melting_Curves/meltCurve_sp_P04004_VTNC_HUMAN_.pdf", "Melting_Curves/meltCurve_sp_P04004_VTNC_HUMAN_.pdf")</f>
        <v>Melting_Curves/meltCurve_sp_P04004_VTNC_HUMAN_.pdf</v>
      </c>
      <c r="AA411" t="s">
        <v>11286</v>
      </c>
      <c r="AB411" t="s">
        <v>14837</v>
      </c>
    </row>
    <row r="412" spans="1:28" x14ac:dyDescent="0.25">
      <c r="A412" t="s">
        <v>416</v>
      </c>
      <c r="B412">
        <v>0.98018197421672304</v>
      </c>
      <c r="C412">
        <v>0.97222787817447198</v>
      </c>
      <c r="D412">
        <v>0.84777897121894397</v>
      </c>
      <c r="E412">
        <v>0.67292031801881402</v>
      </c>
      <c r="F412">
        <v>0.53102232535792104</v>
      </c>
      <c r="G412">
        <v>0.31434363666158599</v>
      </c>
      <c r="H412">
        <v>0.13677177674278501</v>
      </c>
      <c r="I412">
        <v>8.8610092098834997E-2</v>
      </c>
      <c r="J412">
        <v>6.5134036522318903E-2</v>
      </c>
      <c r="K412">
        <v>4.5669346759621497E-2</v>
      </c>
      <c r="L412">
        <v>671.96370116703702</v>
      </c>
      <c r="M412">
        <v>12.6557129738773</v>
      </c>
      <c r="N412">
        <v>53.095686446723001</v>
      </c>
      <c r="O412">
        <v>51.8223488466313</v>
      </c>
      <c r="P412">
        <v>-6.1065327593127598E-2</v>
      </c>
      <c r="Q412">
        <v>0</v>
      </c>
      <c r="R412">
        <v>0.99756280956412702</v>
      </c>
      <c r="S412" t="s">
        <v>4041</v>
      </c>
      <c r="T412" t="s">
        <v>7256</v>
      </c>
      <c r="U412" t="s">
        <v>7256</v>
      </c>
      <c r="V412" t="s">
        <v>7256</v>
      </c>
      <c r="W412">
        <v>6</v>
      </c>
      <c r="X412" t="s">
        <v>7668</v>
      </c>
      <c r="Y412">
        <v>0.4631270123984676</v>
      </c>
      <c r="Z412" t="str">
        <f>HYPERLINK("Melting_Curves/meltCurve_sp_P04066_FUCO_HUMAN_.pdf", "Melting_Curves/meltCurve_sp_P04066_FUCO_HUMAN_.pdf")</f>
        <v>Melting_Curves/meltCurve_sp_P04066_FUCO_HUMAN_.pdf</v>
      </c>
      <c r="AA412" t="s">
        <v>11287</v>
      </c>
      <c r="AB412" t="s">
        <v>14838</v>
      </c>
    </row>
    <row r="413" spans="1:28" x14ac:dyDescent="0.25">
      <c r="A413" t="s">
        <v>417</v>
      </c>
      <c r="B413">
        <v>0.98018197421672304</v>
      </c>
      <c r="C413">
        <v>0.855824047173947</v>
      </c>
      <c r="D413">
        <v>0.88763495703504502</v>
      </c>
      <c r="E413">
        <v>0.73386177130331698</v>
      </c>
      <c r="F413">
        <v>0.66011707774675799</v>
      </c>
      <c r="G413">
        <v>0.50264007335834304</v>
      </c>
      <c r="H413">
        <v>0.35579786955826398</v>
      </c>
      <c r="I413">
        <v>0.31763094737057301</v>
      </c>
      <c r="J413">
        <v>0.39478692471888399</v>
      </c>
      <c r="K413">
        <v>0.39023461964177097</v>
      </c>
      <c r="L413">
        <v>569.03874639272397</v>
      </c>
      <c r="M413">
        <v>10.9235879536966</v>
      </c>
      <c r="N413">
        <v>56.868445518600701</v>
      </c>
      <c r="O413">
        <v>50.438116537817102</v>
      </c>
      <c r="P413">
        <v>-3.7902055834970201E-2</v>
      </c>
      <c r="Q413">
        <v>0.30021332826632002</v>
      </c>
      <c r="R413">
        <v>0.96162912659345201</v>
      </c>
      <c r="S413" t="s">
        <v>4042</v>
      </c>
      <c r="T413" t="s">
        <v>7256</v>
      </c>
      <c r="U413" t="s">
        <v>7256</v>
      </c>
      <c r="V413" t="s">
        <v>7256</v>
      </c>
      <c r="W413">
        <v>6</v>
      </c>
      <c r="X413" t="s">
        <v>7669</v>
      </c>
      <c r="Y413">
        <v>0.60614900714956832</v>
      </c>
      <c r="Z413" t="str">
        <f>HYPERLINK("Melting_Curves/meltCurve_sp_P04080_CYTB_HUMAN_.pdf", "Melting_Curves/meltCurve_sp_P04080_CYTB_HUMAN_.pdf")</f>
        <v>Melting_Curves/meltCurve_sp_P04080_CYTB_HUMAN_.pdf</v>
      </c>
      <c r="AA413" t="s">
        <v>11288</v>
      </c>
      <c r="AB413" t="s">
        <v>14839</v>
      </c>
    </row>
    <row r="414" spans="1:28" x14ac:dyDescent="0.25">
      <c r="A414" t="s">
        <v>418</v>
      </c>
      <c r="B414">
        <v>0.98018197421672304</v>
      </c>
      <c r="C414">
        <v>1.0247813483617401</v>
      </c>
      <c r="D414">
        <v>0.88140560662539902</v>
      </c>
      <c r="E414">
        <v>0.65148704653089495</v>
      </c>
      <c r="F414">
        <v>0.292221569271571</v>
      </c>
      <c r="G414">
        <v>0.27542057340041898</v>
      </c>
      <c r="H414">
        <v>0.18838107503698401</v>
      </c>
      <c r="I414">
        <v>0.111636820325469</v>
      </c>
      <c r="J414">
        <v>0.49029631174890298</v>
      </c>
      <c r="K414">
        <v>0.13792918070513899</v>
      </c>
      <c r="L414">
        <v>1530.56697084451</v>
      </c>
      <c r="M414">
        <v>30.634702842710599</v>
      </c>
      <c r="N414">
        <v>50.992247437431899</v>
      </c>
      <c r="O414">
        <v>49.750420982980501</v>
      </c>
      <c r="P414">
        <v>-0.118418286876756</v>
      </c>
      <c r="Q414">
        <v>0.23076461716771299</v>
      </c>
      <c r="R414">
        <v>0.91003788945962505</v>
      </c>
      <c r="S414" t="s">
        <v>4043</v>
      </c>
      <c r="T414" t="s">
        <v>7256</v>
      </c>
      <c r="U414" t="s">
        <v>7256</v>
      </c>
      <c r="V414" t="s">
        <v>7256</v>
      </c>
      <c r="W414">
        <v>3</v>
      </c>
      <c r="X414" t="s">
        <v>7670</v>
      </c>
      <c r="Y414">
        <v>0.49075623093152759</v>
      </c>
      <c r="Z414" t="str">
        <f>HYPERLINK("Melting_Curves/meltCurve_sp_P04083_ANXA1_HUMAN_.pdf", "Melting_Curves/meltCurve_sp_P04083_ANXA1_HUMAN_.pdf")</f>
        <v>Melting_Curves/meltCurve_sp_P04083_ANXA1_HUMAN_.pdf</v>
      </c>
      <c r="AA414" t="s">
        <v>11289</v>
      </c>
      <c r="AB414" t="s">
        <v>14840</v>
      </c>
    </row>
    <row r="415" spans="1:28" x14ac:dyDescent="0.25">
      <c r="A415" t="s">
        <v>419</v>
      </c>
      <c r="B415">
        <v>0.98018197421672304</v>
      </c>
      <c r="C415">
        <v>0.90386656206003702</v>
      </c>
      <c r="D415">
        <v>0.77204338719587395</v>
      </c>
      <c r="E415">
        <v>0.58187510493899697</v>
      </c>
      <c r="F415">
        <v>0.41075730346877698</v>
      </c>
      <c r="G415">
        <v>0.23548836574316201</v>
      </c>
      <c r="H415">
        <v>0.14321773839782601</v>
      </c>
      <c r="I415">
        <v>0.10530550382878801</v>
      </c>
      <c r="J415">
        <v>8.6629493816644906E-2</v>
      </c>
      <c r="K415">
        <v>5.20708152761283E-2</v>
      </c>
      <c r="L415">
        <v>596.62387175371805</v>
      </c>
      <c r="M415">
        <v>11.679462049748301</v>
      </c>
      <c r="N415">
        <v>51.249604078092901</v>
      </c>
      <c r="O415">
        <v>49.654555639511599</v>
      </c>
      <c r="P415">
        <v>-5.7724687407854199E-2</v>
      </c>
      <c r="Q415">
        <v>1.8610169643544401E-2</v>
      </c>
      <c r="R415">
        <v>0.99919834311696698</v>
      </c>
      <c r="S415" t="s">
        <v>4044</v>
      </c>
      <c r="T415" t="s">
        <v>7256</v>
      </c>
      <c r="U415" t="s">
        <v>7256</v>
      </c>
      <c r="V415" t="s">
        <v>7256</v>
      </c>
      <c r="W415">
        <v>29</v>
      </c>
      <c r="X415" t="s">
        <v>7671</v>
      </c>
      <c r="Y415">
        <v>0.41425374419796129</v>
      </c>
      <c r="Z415" t="str">
        <f>HYPERLINK("Melting_Curves/meltCurve_sp_P04114_APOB_HUMAN_.pdf", "Melting_Curves/meltCurve_sp_P04114_APOB_HUMAN_.pdf")</f>
        <v>Melting_Curves/meltCurve_sp_P04114_APOB_HUMAN_.pdf</v>
      </c>
      <c r="AA415" t="s">
        <v>11290</v>
      </c>
      <c r="AB415" t="s">
        <v>14841</v>
      </c>
    </row>
    <row r="416" spans="1:28" x14ac:dyDescent="0.25">
      <c r="A416" t="s">
        <v>420</v>
      </c>
      <c r="B416">
        <v>0.98018197421672304</v>
      </c>
      <c r="C416">
        <v>1.1060498508838299</v>
      </c>
      <c r="D416">
        <v>1.0065769599812</v>
      </c>
      <c r="E416">
        <v>0.86671751652022799</v>
      </c>
      <c r="F416">
        <v>0.68568741715675896</v>
      </c>
      <c r="G416">
        <v>0.131295339852047</v>
      </c>
      <c r="H416">
        <v>0.45723964722196397</v>
      </c>
      <c r="I416">
        <v>0.51301317967121096</v>
      </c>
      <c r="J416">
        <v>0.55837943163746095</v>
      </c>
      <c r="K416">
        <v>0.65663001704353996</v>
      </c>
      <c r="L416">
        <v>2367.3596587964298</v>
      </c>
      <c r="M416">
        <v>45.569649649047498</v>
      </c>
      <c r="N416">
        <v>55.362110384934802</v>
      </c>
      <c r="O416">
        <v>51.850610991361201</v>
      </c>
      <c r="P416">
        <v>-0.116483524713549</v>
      </c>
      <c r="Q416">
        <v>0.46984587369612602</v>
      </c>
      <c r="R416">
        <v>0.77059994748566896</v>
      </c>
      <c r="S416" t="s">
        <v>4045</v>
      </c>
      <c r="T416" t="s">
        <v>7256</v>
      </c>
      <c r="U416" t="s">
        <v>7256</v>
      </c>
      <c r="V416" t="s">
        <v>7256</v>
      </c>
      <c r="W416">
        <v>3</v>
      </c>
      <c r="X416" t="s">
        <v>7672</v>
      </c>
      <c r="Y416">
        <v>0.68249425490209725</v>
      </c>
      <c r="Z416" t="str">
        <f>HYPERLINK("Melting_Curves/meltCurve_sp_P04150_7_GCR_HUMAN_.pdf", "Melting_Curves/meltCurve_sp_P04150_7_GCR_HUMAN_.pdf")</f>
        <v>Melting_Curves/meltCurve_sp_P04150_7_GCR_HUMAN_.pdf</v>
      </c>
      <c r="AA416" t="s">
        <v>11291</v>
      </c>
      <c r="AB416" t="s">
        <v>14842</v>
      </c>
    </row>
    <row r="417" spans="1:28" x14ac:dyDescent="0.25">
      <c r="A417" t="s">
        <v>421</v>
      </c>
      <c r="B417">
        <v>0.98018197421672304</v>
      </c>
      <c r="C417">
        <v>0.852749870386736</v>
      </c>
      <c r="D417">
        <v>0.92182052869740205</v>
      </c>
      <c r="E417">
        <v>0.82502324276016503</v>
      </c>
      <c r="F417">
        <v>0.71781518192905802</v>
      </c>
      <c r="G417">
        <v>0.45758477960682797</v>
      </c>
      <c r="H417">
        <v>0.38443226592600299</v>
      </c>
      <c r="I417">
        <v>0.380376136275628</v>
      </c>
      <c r="J417">
        <v>0.24308246308370299</v>
      </c>
      <c r="K417">
        <v>0.62801892290184003</v>
      </c>
      <c r="L417">
        <v>1042.23250947773</v>
      </c>
      <c r="M417">
        <v>19.8946195235355</v>
      </c>
      <c r="N417">
        <v>56.789749248591498</v>
      </c>
      <c r="O417">
        <v>51.866964344332096</v>
      </c>
      <c r="P417">
        <v>-5.8204965629607801E-2</v>
      </c>
      <c r="Q417">
        <v>0.393039000280893</v>
      </c>
      <c r="R417">
        <v>0.82278585918073899</v>
      </c>
      <c r="S417" t="s">
        <v>4046</v>
      </c>
      <c r="T417" t="s">
        <v>7256</v>
      </c>
      <c r="U417" t="s">
        <v>7256</v>
      </c>
      <c r="V417" t="s">
        <v>7256</v>
      </c>
      <c r="W417">
        <v>11</v>
      </c>
      <c r="X417" t="s">
        <v>7673</v>
      </c>
      <c r="Y417">
        <v>0.65212853884882027</v>
      </c>
      <c r="Z417" t="str">
        <f>HYPERLINK("Melting_Curves/meltCurve_sp_P04179_SODM_HUMAN_.pdf", "Melting_Curves/meltCurve_sp_P04179_SODM_HUMAN_.pdf")</f>
        <v>Melting_Curves/meltCurve_sp_P04179_SODM_HUMAN_.pdf</v>
      </c>
      <c r="AA417" t="s">
        <v>11292</v>
      </c>
      <c r="AB417" t="s">
        <v>14843</v>
      </c>
    </row>
    <row r="418" spans="1:28" x14ac:dyDescent="0.25">
      <c r="A418" t="s">
        <v>422</v>
      </c>
      <c r="B418">
        <v>0.98018197421672304</v>
      </c>
      <c r="C418">
        <v>0.83289037753301598</v>
      </c>
      <c r="D418">
        <v>0.58927421535251701</v>
      </c>
      <c r="E418">
        <v>0.334501536553722</v>
      </c>
      <c r="F418">
        <v>0.20456477943580301</v>
      </c>
      <c r="G418">
        <v>0.154448098930837</v>
      </c>
      <c r="H418">
        <v>9.2779667686612305E-2</v>
      </c>
      <c r="I418">
        <v>6.7051542763800806E-2</v>
      </c>
      <c r="J418">
        <v>4.9588180311044699E-2</v>
      </c>
      <c r="K418">
        <v>4.1015088759786503E-2</v>
      </c>
      <c r="L418">
        <v>712.58008729731898</v>
      </c>
      <c r="M418">
        <v>15.1193752366548</v>
      </c>
      <c r="N418">
        <v>47.488694678955099</v>
      </c>
      <c r="O418">
        <v>46.328847260762103</v>
      </c>
      <c r="P418">
        <v>-7.7195410598175904E-2</v>
      </c>
      <c r="Q418">
        <v>5.39229531253465E-2</v>
      </c>
      <c r="R418">
        <v>0.99602793149258895</v>
      </c>
      <c r="S418" t="s">
        <v>4047</v>
      </c>
      <c r="T418" t="s">
        <v>7256</v>
      </c>
      <c r="U418" t="s">
        <v>7256</v>
      </c>
      <c r="V418" t="s">
        <v>7256</v>
      </c>
      <c r="W418">
        <v>4</v>
      </c>
      <c r="X418" t="s">
        <v>7674</v>
      </c>
      <c r="Y418">
        <v>0.30387095345484949</v>
      </c>
      <c r="Z418" t="str">
        <f>HYPERLINK("Melting_Curves/meltCurve_sp_P04181_OAT_HUMAN_.pdf", "Melting_Curves/meltCurve_sp_P04181_OAT_HUMAN_.pdf")</f>
        <v>Melting_Curves/meltCurve_sp_P04181_OAT_HUMAN_.pdf</v>
      </c>
      <c r="AA418" t="s">
        <v>11293</v>
      </c>
      <c r="AB418" t="s">
        <v>14844</v>
      </c>
    </row>
    <row r="419" spans="1:28" x14ac:dyDescent="0.25">
      <c r="A419" t="s">
        <v>423</v>
      </c>
      <c r="B419">
        <v>0.98018197421672304</v>
      </c>
      <c r="C419">
        <v>1.0496832873876101</v>
      </c>
      <c r="D419">
        <v>0.77422322732958204</v>
      </c>
      <c r="E419">
        <v>0.85268165753162795</v>
      </c>
      <c r="F419">
        <v>0.79486761794494798</v>
      </c>
      <c r="G419">
        <v>0.65126074266628797</v>
      </c>
      <c r="H419">
        <v>0.514266456530862</v>
      </c>
      <c r="I419">
        <v>0.49803823036898298</v>
      </c>
      <c r="J419">
        <v>0.45181522496720999</v>
      </c>
      <c r="K419">
        <v>0.46128488942097701</v>
      </c>
      <c r="L419">
        <v>483.80783355237497</v>
      </c>
      <c r="M419">
        <v>8.6299525391738001</v>
      </c>
      <c r="N419">
        <v>64.209045305256595</v>
      </c>
      <c r="O419">
        <v>53.294973850951997</v>
      </c>
      <c r="P419">
        <v>-2.7034974914299102E-2</v>
      </c>
      <c r="Q419">
        <v>0.33274110505683402</v>
      </c>
      <c r="R419">
        <v>0.92334666184651204</v>
      </c>
      <c r="S419" t="s">
        <v>4048</v>
      </c>
      <c r="T419" t="s">
        <v>7256</v>
      </c>
      <c r="U419" t="s">
        <v>7256</v>
      </c>
      <c r="V419" t="s">
        <v>7256</v>
      </c>
      <c r="W419">
        <v>4</v>
      </c>
      <c r="X419" t="s">
        <v>7675</v>
      </c>
      <c r="Y419">
        <v>0.70339806335742416</v>
      </c>
      <c r="Z419" t="str">
        <f>HYPERLINK("Melting_Curves/meltCurve_sp_P04196_HRG_HUMAN_.pdf", "Melting_Curves/meltCurve_sp_P04196_HRG_HUMAN_.pdf")</f>
        <v>Melting_Curves/meltCurve_sp_P04196_HRG_HUMAN_.pdf</v>
      </c>
      <c r="AA419" t="s">
        <v>11294</v>
      </c>
      <c r="AB419" t="s">
        <v>14845</v>
      </c>
    </row>
    <row r="420" spans="1:28" x14ac:dyDescent="0.25">
      <c r="A420" t="s">
        <v>424</v>
      </c>
      <c r="B420">
        <v>0.98018197421672304</v>
      </c>
      <c r="C420">
        <v>0.88763210363313505</v>
      </c>
      <c r="D420">
        <v>0.90875078723496205</v>
      </c>
      <c r="E420">
        <v>0.84064448752474596</v>
      </c>
      <c r="F420">
        <v>0.68791501361236795</v>
      </c>
      <c r="G420">
        <v>0.56404980518515102</v>
      </c>
      <c r="H420">
        <v>0.43018656352302098</v>
      </c>
      <c r="I420">
        <v>0.45516386506137302</v>
      </c>
      <c r="J420">
        <v>0.36317982055915299</v>
      </c>
      <c r="K420">
        <v>0.342193451636498</v>
      </c>
      <c r="L420">
        <v>512.65467549671905</v>
      </c>
      <c r="M420">
        <v>9.2724751698800105</v>
      </c>
      <c r="N420">
        <v>59.679636654898601</v>
      </c>
      <c r="O420">
        <v>52.898826696125298</v>
      </c>
      <c r="P420">
        <v>-3.3006483510943402E-2</v>
      </c>
      <c r="Q420">
        <v>0.24728969844403001</v>
      </c>
      <c r="R420">
        <v>0.98181143813235205</v>
      </c>
      <c r="S420" t="s">
        <v>4049</v>
      </c>
      <c r="T420" t="s">
        <v>7256</v>
      </c>
      <c r="U420" t="s">
        <v>7256</v>
      </c>
      <c r="V420" t="s">
        <v>7256</v>
      </c>
      <c r="W420">
        <v>1</v>
      </c>
      <c r="X420" t="s">
        <v>7676</v>
      </c>
      <c r="Y420">
        <v>0.64965648755613858</v>
      </c>
      <c r="Z420" t="str">
        <f>HYPERLINK("Melting_Curves/meltCurve_sp_P04206_KV307_HUMAN_.pdf", "Melting_Curves/meltCurve_sp_P04206_KV307_HUMAN_.pdf")</f>
        <v>Melting_Curves/meltCurve_sp_P04206_KV307_HUMAN_.pdf</v>
      </c>
      <c r="AB420" t="s">
        <v>14846</v>
      </c>
    </row>
    <row r="421" spans="1:28" x14ac:dyDescent="0.25">
      <c r="A421" t="s">
        <v>425</v>
      </c>
      <c r="B421">
        <v>0.98018197421672304</v>
      </c>
      <c r="C421">
        <v>1.0174644103268</v>
      </c>
      <c r="D421">
        <v>0.96489084382914603</v>
      </c>
      <c r="E421">
        <v>0.80335033819813595</v>
      </c>
      <c r="F421">
        <v>0.64013155946810596</v>
      </c>
      <c r="G421">
        <v>0.33580006782050498</v>
      </c>
      <c r="H421">
        <v>0.228833501717423</v>
      </c>
      <c r="I421">
        <v>0.189331809311552</v>
      </c>
      <c r="J421">
        <v>0.19423525670762501</v>
      </c>
      <c r="K421">
        <v>0.16439522932810999</v>
      </c>
      <c r="L421">
        <v>1044.34366725153</v>
      </c>
      <c r="M421">
        <v>19.5467019204835</v>
      </c>
      <c r="N421">
        <v>54.519839559816603</v>
      </c>
      <c r="O421">
        <v>52.878325500124298</v>
      </c>
      <c r="P421">
        <v>-7.7450363398905903E-2</v>
      </c>
      <c r="Q421">
        <v>0.16194534740885599</v>
      </c>
      <c r="R421">
        <v>0.99771935268795298</v>
      </c>
      <c r="S421" t="s">
        <v>4050</v>
      </c>
      <c r="T421" t="s">
        <v>7256</v>
      </c>
      <c r="U421" t="s">
        <v>7256</v>
      </c>
      <c r="V421" t="s">
        <v>7256</v>
      </c>
      <c r="W421">
        <v>8</v>
      </c>
      <c r="X421" t="s">
        <v>7677</v>
      </c>
      <c r="Y421">
        <v>0.54898395685652757</v>
      </c>
      <c r="Z421" t="str">
        <f>HYPERLINK("Melting_Curves/meltCurve_sp_P04217_A1BG_HUMAN_.pdf", "Melting_Curves/meltCurve_sp_P04217_A1BG_HUMAN_.pdf")</f>
        <v>Melting_Curves/meltCurve_sp_P04217_A1BG_HUMAN_.pdf</v>
      </c>
      <c r="AA421" t="s">
        <v>11295</v>
      </c>
      <c r="AB421" t="s">
        <v>14847</v>
      </c>
    </row>
    <row r="422" spans="1:28" x14ac:dyDescent="0.25">
      <c r="A422" t="s">
        <v>426</v>
      </c>
      <c r="B422">
        <v>0.98018197421672304</v>
      </c>
      <c r="C422">
        <v>0.961716587289416</v>
      </c>
      <c r="D422">
        <v>0.85790668535888603</v>
      </c>
      <c r="E422">
        <v>0.88529771622379305</v>
      </c>
      <c r="F422">
        <v>0.47714904531691799</v>
      </c>
      <c r="G422">
        <v>0</v>
      </c>
      <c r="H422">
        <v>3.3186494852644799</v>
      </c>
      <c r="I422">
        <v>0</v>
      </c>
      <c r="J422">
        <v>62.447275380294002</v>
      </c>
      <c r="K422">
        <v>13.863753712953599</v>
      </c>
      <c r="L422">
        <v>2261.3642501846298</v>
      </c>
      <c r="M422">
        <v>39.468812025837899</v>
      </c>
      <c r="O422">
        <v>57.148472342998197</v>
      </c>
      <c r="P422">
        <v>8.6329729357605106E-2</v>
      </c>
      <c r="Q422">
        <v>1.5</v>
      </c>
      <c r="R422">
        <v>-0.13827832350886701</v>
      </c>
      <c r="S422" t="s">
        <v>4051</v>
      </c>
      <c r="T422" t="s">
        <v>7256</v>
      </c>
      <c r="U422" t="s">
        <v>7256</v>
      </c>
      <c r="V422" t="s">
        <v>7256</v>
      </c>
      <c r="W422">
        <v>27</v>
      </c>
      <c r="X422" t="s">
        <v>7678</v>
      </c>
      <c r="Y422">
        <v>1.209745495384049</v>
      </c>
      <c r="Z422" t="str">
        <f>HYPERLINK("Melting_Curves/meltCurve_sp_P04259_K2C6B_HUMAN_.pdf", "Melting_Curves/meltCurve_sp_P04259_K2C6B_HUMAN_.pdf")</f>
        <v>Melting_Curves/meltCurve_sp_P04259_K2C6B_HUMAN_.pdf</v>
      </c>
      <c r="AA422" t="s">
        <v>11296</v>
      </c>
      <c r="AB422" t="s">
        <v>14848</v>
      </c>
    </row>
    <row r="423" spans="1:28" x14ac:dyDescent="0.25">
      <c r="A423" t="s">
        <v>427</v>
      </c>
      <c r="B423">
        <v>0.98018197421672304</v>
      </c>
      <c r="C423">
        <v>0.72331693602971103</v>
      </c>
      <c r="D423">
        <v>0.80666382237537204</v>
      </c>
      <c r="E423">
        <v>0.993908379821552</v>
      </c>
      <c r="F423">
        <v>1.3668717886473001</v>
      </c>
      <c r="G423">
        <v>0.30367024254555602</v>
      </c>
      <c r="H423">
        <v>2.5182422641584599</v>
      </c>
      <c r="I423">
        <v>0.37236375977451203</v>
      </c>
      <c r="J423">
        <v>2.88198990884761</v>
      </c>
      <c r="K423">
        <v>5.4284318379022096</v>
      </c>
      <c r="L423">
        <v>3018.09785803252</v>
      </c>
      <c r="M423">
        <v>51.379348367585798</v>
      </c>
      <c r="O423">
        <v>58.652674954901997</v>
      </c>
      <c r="P423">
        <v>0.10949924200519399</v>
      </c>
      <c r="Q423">
        <v>1.5</v>
      </c>
      <c r="R423">
        <v>8.3768827059921697E-2</v>
      </c>
      <c r="S423" t="s">
        <v>4052</v>
      </c>
      <c r="T423" t="s">
        <v>7256</v>
      </c>
      <c r="U423" t="s">
        <v>7256</v>
      </c>
      <c r="V423" t="s">
        <v>7256</v>
      </c>
      <c r="W423">
        <v>47</v>
      </c>
      <c r="X423" t="s">
        <v>7679</v>
      </c>
      <c r="Y423">
        <v>1.186423118184124</v>
      </c>
      <c r="Z423" t="str">
        <f>HYPERLINK("Melting_Curves/meltCurve_sp_P04264_K2C1_HUMAN_.pdf", "Melting_Curves/meltCurve_sp_P04264_K2C1_HUMAN_.pdf")</f>
        <v>Melting_Curves/meltCurve_sp_P04264_K2C1_HUMAN_.pdf</v>
      </c>
      <c r="AA423" t="s">
        <v>11297</v>
      </c>
      <c r="AB423" t="s">
        <v>14849</v>
      </c>
    </row>
    <row r="424" spans="1:28" x14ac:dyDescent="0.25">
      <c r="A424" t="s">
        <v>428</v>
      </c>
      <c r="B424">
        <v>0.98018197421672304</v>
      </c>
      <c r="C424">
        <v>0.94459106689853001</v>
      </c>
      <c r="D424">
        <v>0.94327187138661595</v>
      </c>
      <c r="E424">
        <v>0.73801303196066503</v>
      </c>
      <c r="F424">
        <v>0.58064269720037098</v>
      </c>
      <c r="G424">
        <v>0.40131093992709399</v>
      </c>
      <c r="H424">
        <v>0.20005496965497799</v>
      </c>
      <c r="I424">
        <v>0.17991305326708901</v>
      </c>
      <c r="J424">
        <v>0.15404579848751801</v>
      </c>
      <c r="K424">
        <v>0.117460057934311</v>
      </c>
      <c r="L424">
        <v>719.56216269917695</v>
      </c>
      <c r="M424">
        <v>13.383854668981</v>
      </c>
      <c r="N424">
        <v>54.468889644169103</v>
      </c>
      <c r="O424">
        <v>52.605734635427098</v>
      </c>
      <c r="P424">
        <v>-5.8552405707400203E-2</v>
      </c>
      <c r="Q424">
        <v>7.9575616430399093E-2</v>
      </c>
      <c r="R424">
        <v>0.99633338877224398</v>
      </c>
      <c r="S424" t="s">
        <v>4053</v>
      </c>
      <c r="T424" t="s">
        <v>7256</v>
      </c>
      <c r="U424" t="s">
        <v>7256</v>
      </c>
      <c r="V424" t="s">
        <v>7256</v>
      </c>
      <c r="W424">
        <v>26</v>
      </c>
      <c r="X424" t="s">
        <v>7680</v>
      </c>
      <c r="Y424">
        <v>0.5237712979114606</v>
      </c>
      <c r="Z424" t="str">
        <f>HYPERLINK("Melting_Curves/meltCurve_sp_P04406_2_G3P_HUMAN_.pdf", "Melting_Curves/meltCurve_sp_P04406_2_G3P_HUMAN_.pdf")</f>
        <v>Melting_Curves/meltCurve_sp_P04406_2_G3P_HUMAN_.pdf</v>
      </c>
      <c r="AA424" t="s">
        <v>11298</v>
      </c>
      <c r="AB424" t="s">
        <v>14850</v>
      </c>
    </row>
    <row r="425" spans="1:28" x14ac:dyDescent="0.25">
      <c r="A425" t="s">
        <v>429</v>
      </c>
      <c r="B425">
        <v>0.98018197421672304</v>
      </c>
      <c r="C425">
        <v>0.986478903171771</v>
      </c>
      <c r="D425">
        <v>0.93466651363690301</v>
      </c>
      <c r="E425">
        <v>0.87807711535365396</v>
      </c>
      <c r="F425">
        <v>0.79707098782300301</v>
      </c>
      <c r="G425">
        <v>0.65098259305473105</v>
      </c>
      <c r="H425">
        <v>0.11466226607305401</v>
      </c>
      <c r="I425">
        <v>4.9540033182220701E-2</v>
      </c>
      <c r="J425">
        <v>6.3473462780490902E-2</v>
      </c>
      <c r="K425">
        <v>4.9367684205326598E-2</v>
      </c>
      <c r="L425">
        <v>1307.7274457682799</v>
      </c>
      <c r="M425">
        <v>22.785115968824201</v>
      </c>
      <c r="N425">
        <v>57.3939426255764</v>
      </c>
      <c r="O425">
        <v>56.957325112946698</v>
      </c>
      <c r="P425">
        <v>-0.10001153763380401</v>
      </c>
      <c r="Q425">
        <v>0</v>
      </c>
      <c r="R425">
        <v>0.97456084700134604</v>
      </c>
      <c r="S425" t="s">
        <v>4054</v>
      </c>
      <c r="T425" t="s">
        <v>7256</v>
      </c>
      <c r="U425" t="s">
        <v>7256</v>
      </c>
      <c r="V425" t="s">
        <v>7256</v>
      </c>
      <c r="W425">
        <v>28</v>
      </c>
      <c r="X425" t="s">
        <v>7681</v>
      </c>
      <c r="Y425">
        <v>0.58995538146676352</v>
      </c>
      <c r="Z425" t="str">
        <f>HYPERLINK("Melting_Curves/meltCurve_sp_P04406_G3P_HUMAN_.pdf", "Melting_Curves/meltCurve_sp_P04406_G3P_HUMAN_.pdf")</f>
        <v>Melting_Curves/meltCurve_sp_P04406_G3P_HUMAN_.pdf</v>
      </c>
      <c r="AA425" t="s">
        <v>11298</v>
      </c>
      <c r="AB425" t="s">
        <v>14851</v>
      </c>
    </row>
    <row r="426" spans="1:28" x14ac:dyDescent="0.25">
      <c r="A426" t="s">
        <v>430</v>
      </c>
      <c r="B426">
        <v>0.98018197421672304</v>
      </c>
      <c r="C426">
        <v>0.97158560847973297</v>
      </c>
      <c r="D426">
        <v>0.92280394913500197</v>
      </c>
      <c r="E426">
        <v>0.85039592715182699</v>
      </c>
      <c r="F426">
        <v>0.72486014107498797</v>
      </c>
      <c r="G426">
        <v>0.38778160623576202</v>
      </c>
      <c r="H426">
        <v>8.4972460306459496E-2</v>
      </c>
      <c r="I426">
        <v>5.3678169155239902E-2</v>
      </c>
      <c r="J426">
        <v>6.7847683424349506E-2</v>
      </c>
      <c r="K426">
        <v>7.0074987501645494E-2</v>
      </c>
      <c r="L426">
        <v>1103.00080011093</v>
      </c>
      <c r="M426">
        <v>19.996209454763001</v>
      </c>
      <c r="N426">
        <v>55.275017760194402</v>
      </c>
      <c r="O426">
        <v>54.617708518479503</v>
      </c>
      <c r="P426">
        <v>-8.9673675778133496E-2</v>
      </c>
      <c r="Q426">
        <v>2.0292107140635701E-2</v>
      </c>
      <c r="R426">
        <v>0.99123294070850798</v>
      </c>
      <c r="S426" t="s">
        <v>4055</v>
      </c>
      <c r="T426" t="s">
        <v>7256</v>
      </c>
      <c r="U426" t="s">
        <v>7256</v>
      </c>
      <c r="V426" t="s">
        <v>7256</v>
      </c>
      <c r="W426">
        <v>29</v>
      </c>
      <c r="X426" t="s">
        <v>7682</v>
      </c>
      <c r="Y426">
        <v>0.52837878341444544</v>
      </c>
      <c r="Z426" t="str">
        <f>HYPERLINK("Melting_Curves/meltCurve_sp_P04424_ARLY_HUMAN_.pdf", "Melting_Curves/meltCurve_sp_P04424_ARLY_HUMAN_.pdf")</f>
        <v>Melting_Curves/meltCurve_sp_P04424_ARLY_HUMAN_.pdf</v>
      </c>
      <c r="AA426" t="s">
        <v>11299</v>
      </c>
      <c r="AB426" t="s">
        <v>14852</v>
      </c>
    </row>
    <row r="427" spans="1:28" x14ac:dyDescent="0.25">
      <c r="A427" t="s">
        <v>431</v>
      </c>
      <c r="B427">
        <v>0.98018197421672304</v>
      </c>
      <c r="C427">
        <v>0.891291554323141</v>
      </c>
      <c r="D427">
        <v>0.99644584714251905</v>
      </c>
      <c r="E427">
        <v>0.95885466501649896</v>
      </c>
      <c r="F427">
        <v>0.48838699438274502</v>
      </c>
      <c r="G427">
        <v>0.35630325353759601</v>
      </c>
      <c r="H427">
        <v>0.34209110047448499</v>
      </c>
      <c r="I427">
        <v>0.25649867807181598</v>
      </c>
      <c r="J427">
        <v>0.19240603189653899</v>
      </c>
      <c r="K427">
        <v>0.17185619555850601</v>
      </c>
      <c r="L427">
        <v>2846.41561301411</v>
      </c>
      <c r="M427">
        <v>54.4549591785104</v>
      </c>
      <c r="N427">
        <v>52.988863070824102</v>
      </c>
      <c r="O427">
        <v>52.200665251541501</v>
      </c>
      <c r="P427">
        <v>-0.19275596864392899</v>
      </c>
      <c r="Q427">
        <v>0.26089507582034999</v>
      </c>
      <c r="R427">
        <v>0.96442601811578899</v>
      </c>
      <c r="S427" t="s">
        <v>4056</v>
      </c>
      <c r="T427" t="s">
        <v>7256</v>
      </c>
      <c r="U427" t="s">
        <v>7256</v>
      </c>
      <c r="V427" t="s">
        <v>7256</v>
      </c>
      <c r="W427">
        <v>6</v>
      </c>
      <c r="X427" t="s">
        <v>7683</v>
      </c>
      <c r="Y427">
        <v>0.5646492376366562</v>
      </c>
      <c r="Z427" t="str">
        <f>HYPERLINK("Melting_Curves/meltCurve_sp_P04632_CPNS1_HUMAN_.pdf", "Melting_Curves/meltCurve_sp_P04632_CPNS1_HUMAN_.pdf")</f>
        <v>Melting_Curves/meltCurve_sp_P04632_CPNS1_HUMAN_.pdf</v>
      </c>
      <c r="AA427" t="s">
        <v>11300</v>
      </c>
      <c r="AB427" t="s">
        <v>14853</v>
      </c>
    </row>
    <row r="428" spans="1:28" x14ac:dyDescent="0.25">
      <c r="A428" t="s">
        <v>432</v>
      </c>
      <c r="B428">
        <v>0.98018197421672304</v>
      </c>
      <c r="C428">
        <v>1.1236950802227501</v>
      </c>
      <c r="D428">
        <v>0.92970882530494403</v>
      </c>
      <c r="E428">
        <v>0.74774003048021098</v>
      </c>
      <c r="F428">
        <v>0.89421582636991104</v>
      </c>
      <c r="G428">
        <v>0.94284955829325201</v>
      </c>
      <c r="H428">
        <v>0.66091436232380496</v>
      </c>
      <c r="I428">
        <v>0.975694848553887</v>
      </c>
      <c r="J428">
        <v>1.72907753796505</v>
      </c>
      <c r="K428">
        <v>2.7779464891018999</v>
      </c>
      <c r="L428">
        <v>15000</v>
      </c>
      <c r="M428">
        <v>230.13586526662499</v>
      </c>
      <c r="O428">
        <v>65.173966928933396</v>
      </c>
      <c r="P428">
        <v>0.441387636511059</v>
      </c>
      <c r="Q428">
        <v>1.5</v>
      </c>
      <c r="R428">
        <v>0.47149418544348498</v>
      </c>
      <c r="S428" t="s">
        <v>4057</v>
      </c>
      <c r="T428" t="s">
        <v>7256</v>
      </c>
      <c r="U428" t="s">
        <v>7256</v>
      </c>
      <c r="V428" t="s">
        <v>7256</v>
      </c>
      <c r="W428">
        <v>3</v>
      </c>
      <c r="X428" t="s">
        <v>7684</v>
      </c>
      <c r="Y428">
        <v>1.080284355819247</v>
      </c>
      <c r="Z428" t="str">
        <f>HYPERLINK("Melting_Curves/meltCurve_sp_P04731_MT1A_HUMAN_.pdf", "Melting_Curves/meltCurve_sp_P04731_MT1A_HUMAN_.pdf")</f>
        <v>Melting_Curves/meltCurve_sp_P04731_MT1A_HUMAN_.pdf</v>
      </c>
      <c r="AA428" t="s">
        <v>11301</v>
      </c>
      <c r="AB428" t="s">
        <v>14854</v>
      </c>
    </row>
    <row r="429" spans="1:28" x14ac:dyDescent="0.25">
      <c r="A429" t="s">
        <v>433</v>
      </c>
      <c r="B429">
        <v>0.98018197421672304</v>
      </c>
      <c r="C429">
        <v>1.00184039609169</v>
      </c>
      <c r="D429">
        <v>0.93353289794606398</v>
      </c>
      <c r="E429">
        <v>0.94436146603828597</v>
      </c>
      <c r="F429">
        <v>0.95930249379920796</v>
      </c>
      <c r="G429">
        <v>0.98190066940756404</v>
      </c>
      <c r="H429">
        <v>0.81259693541607603</v>
      </c>
      <c r="I429">
        <v>0.42052328432649499</v>
      </c>
      <c r="J429">
        <v>0.81997335731642096</v>
      </c>
      <c r="K429">
        <v>5.2850226653719004</v>
      </c>
      <c r="L429">
        <v>15000</v>
      </c>
      <c r="M429">
        <v>220.59326540921199</v>
      </c>
      <c r="O429">
        <v>67.992860998006407</v>
      </c>
      <c r="P429">
        <v>0.40554490528579001</v>
      </c>
      <c r="Q429">
        <v>1.5</v>
      </c>
      <c r="R429">
        <v>0.17065726944965001</v>
      </c>
      <c r="S429" t="s">
        <v>4058</v>
      </c>
      <c r="T429" t="s">
        <v>7256</v>
      </c>
      <c r="U429" t="s">
        <v>7256</v>
      </c>
      <c r="V429" t="s">
        <v>7256</v>
      </c>
      <c r="W429">
        <v>5</v>
      </c>
      <c r="X429" t="s">
        <v>7685</v>
      </c>
      <c r="Y429">
        <v>1.033292541965003</v>
      </c>
      <c r="Z429" t="str">
        <f>HYPERLINK("Melting_Curves/meltCurve_sp_P04732_MT1E_HUMAN_.pdf", "Melting_Curves/meltCurve_sp_P04732_MT1E_HUMAN_.pdf")</f>
        <v>Melting_Curves/meltCurve_sp_P04732_MT1E_HUMAN_.pdf</v>
      </c>
      <c r="AA429" t="s">
        <v>11302</v>
      </c>
      <c r="AB429" t="s">
        <v>14855</v>
      </c>
    </row>
    <row r="430" spans="1:28" x14ac:dyDescent="0.25">
      <c r="A430" t="s">
        <v>434</v>
      </c>
      <c r="B430">
        <v>0.98018197421672304</v>
      </c>
      <c r="C430">
        <v>0.98228920576102496</v>
      </c>
      <c r="D430">
        <v>0.88949104083919395</v>
      </c>
      <c r="E430">
        <v>0.79258177847292899</v>
      </c>
      <c r="F430">
        <v>1.09539173970988</v>
      </c>
      <c r="G430">
        <v>1.17770871135641</v>
      </c>
      <c r="H430">
        <v>1.0070753844545599</v>
      </c>
      <c r="I430">
        <v>1.39474265204741</v>
      </c>
      <c r="J430">
        <v>2.0905986038339202</v>
      </c>
      <c r="K430">
        <v>2.0171093655325998</v>
      </c>
      <c r="L430">
        <v>15000</v>
      </c>
      <c r="M430">
        <v>235.697160423675</v>
      </c>
      <c r="O430">
        <v>63.636405458701603</v>
      </c>
      <c r="P430">
        <v>0.46297626113155599</v>
      </c>
      <c r="Q430">
        <v>1.5</v>
      </c>
      <c r="R430">
        <v>0.62227191461665599</v>
      </c>
      <c r="S430" t="s">
        <v>4059</v>
      </c>
      <c r="T430" t="s">
        <v>7256</v>
      </c>
      <c r="U430" t="s">
        <v>7256</v>
      </c>
      <c r="V430" t="s">
        <v>7256</v>
      </c>
      <c r="W430">
        <v>4</v>
      </c>
      <c r="X430" t="s">
        <v>7686</v>
      </c>
      <c r="Y430">
        <v>1.105920715032503</v>
      </c>
      <c r="Z430" t="str">
        <f>HYPERLINK("Melting_Curves/meltCurve_sp_P04733_MT1F_HUMAN_.pdf", "Melting_Curves/meltCurve_sp_P04733_MT1F_HUMAN_.pdf")</f>
        <v>Melting_Curves/meltCurve_sp_P04733_MT1F_HUMAN_.pdf</v>
      </c>
      <c r="AA430" t="s">
        <v>11303</v>
      </c>
      <c r="AB430" t="s">
        <v>14856</v>
      </c>
    </row>
    <row r="431" spans="1:28" x14ac:dyDescent="0.25">
      <c r="A431" t="s">
        <v>435</v>
      </c>
      <c r="B431">
        <v>0.98018197421672304</v>
      </c>
      <c r="C431">
        <v>0.82209164548684499</v>
      </c>
      <c r="D431">
        <v>0.73183362593196799</v>
      </c>
      <c r="E431">
        <v>0.473938249254931</v>
      </c>
      <c r="F431">
        <v>0.37333686750674699</v>
      </c>
      <c r="G431">
        <v>0.22614312399686101</v>
      </c>
      <c r="H431">
        <v>0.21044498937273801</v>
      </c>
      <c r="I431">
        <v>0.23400956659153199</v>
      </c>
      <c r="J431">
        <v>0.42667085277255501</v>
      </c>
      <c r="K431">
        <v>0.45446178367930701</v>
      </c>
      <c r="L431">
        <v>877.398939327839</v>
      </c>
      <c r="M431">
        <v>18.842899818789199</v>
      </c>
      <c r="N431">
        <v>49.057781765301897</v>
      </c>
      <c r="O431">
        <v>46.048974826023198</v>
      </c>
      <c r="P431">
        <v>-7.0778057405396499E-2</v>
      </c>
      <c r="Q431">
        <v>0.30814857974864102</v>
      </c>
      <c r="R431">
        <v>0.89356201495618404</v>
      </c>
      <c r="S431" t="s">
        <v>4060</v>
      </c>
      <c r="T431" t="s">
        <v>7256</v>
      </c>
      <c r="U431" t="s">
        <v>7256</v>
      </c>
      <c r="V431" t="s">
        <v>7256</v>
      </c>
      <c r="W431">
        <v>11</v>
      </c>
      <c r="X431" t="s">
        <v>7687</v>
      </c>
      <c r="Y431">
        <v>0.47133199632631212</v>
      </c>
      <c r="Z431" t="str">
        <f>HYPERLINK("Melting_Curves/meltCurve_sp_P04792_HSPB1_HUMAN_.pdf", "Melting_Curves/meltCurve_sp_P04792_HSPB1_HUMAN_.pdf")</f>
        <v>Melting_Curves/meltCurve_sp_P04792_HSPB1_HUMAN_.pdf</v>
      </c>
      <c r="AA431" t="s">
        <v>11304</v>
      </c>
      <c r="AB431" t="s">
        <v>14857</v>
      </c>
    </row>
    <row r="432" spans="1:28" x14ac:dyDescent="0.25">
      <c r="A432" t="s">
        <v>436</v>
      </c>
      <c r="B432">
        <v>0.98018197421672304</v>
      </c>
      <c r="C432">
        <v>0.81363129768112497</v>
      </c>
      <c r="D432">
        <v>0.87672145484321995</v>
      </c>
      <c r="E432">
        <v>0.90667201262142705</v>
      </c>
      <c r="F432">
        <v>0.87634329089693297</v>
      </c>
      <c r="G432">
        <v>0.91071615461302402</v>
      </c>
      <c r="H432">
        <v>0.72605937823760602</v>
      </c>
      <c r="I432">
        <v>0.71779339823597998</v>
      </c>
      <c r="J432">
        <v>0.62069713441020902</v>
      </c>
      <c r="K432">
        <v>0.23780244123906799</v>
      </c>
      <c r="L432">
        <v>830.21655701009604</v>
      </c>
      <c r="M432">
        <v>12.3670340503402</v>
      </c>
      <c r="N432">
        <v>67.131425918109102</v>
      </c>
      <c r="O432">
        <v>65.448584870216607</v>
      </c>
      <c r="P432">
        <v>-4.7249633751888301E-2</v>
      </c>
      <c r="Q432">
        <v>0</v>
      </c>
      <c r="R432">
        <v>0.75314267249423295</v>
      </c>
      <c r="S432" t="s">
        <v>4061</v>
      </c>
      <c r="T432" t="s">
        <v>7256</v>
      </c>
      <c r="U432" t="s">
        <v>7256</v>
      </c>
      <c r="V432" t="s">
        <v>7256</v>
      </c>
      <c r="W432">
        <v>2</v>
      </c>
      <c r="X432" t="s">
        <v>7688</v>
      </c>
      <c r="Y432">
        <v>0.83993485070233964</v>
      </c>
      <c r="Z432" t="str">
        <f>HYPERLINK("Melting_Curves/meltCurve_sp_P05023_3_AT1A1_HUMAN_.pdf", "Melting_Curves/meltCurve_sp_P05023_3_AT1A1_HUMAN_.pdf")</f>
        <v>Melting_Curves/meltCurve_sp_P05023_3_AT1A1_HUMAN_.pdf</v>
      </c>
      <c r="AA432" t="s">
        <v>11305</v>
      </c>
      <c r="AB432" t="s">
        <v>14858</v>
      </c>
    </row>
    <row r="433" spans="1:28" x14ac:dyDescent="0.25">
      <c r="A433" t="s">
        <v>437</v>
      </c>
      <c r="B433">
        <v>0.98018197421672304</v>
      </c>
      <c r="C433">
        <v>0.93881906276655702</v>
      </c>
      <c r="D433">
        <v>0.936879687009193</v>
      </c>
      <c r="E433">
        <v>0.88774216576145404</v>
      </c>
      <c r="F433">
        <v>0.784648828998329</v>
      </c>
      <c r="G433">
        <v>0.25384954455909498</v>
      </c>
      <c r="H433">
        <v>5.9123564485129503E-2</v>
      </c>
      <c r="I433">
        <v>3.6085201581724999E-2</v>
      </c>
      <c r="J433">
        <v>3.4585872228205201E-2</v>
      </c>
      <c r="K433">
        <v>2.20821642688936E-2</v>
      </c>
      <c r="L433">
        <v>1640.9770531199699</v>
      </c>
      <c r="M433">
        <v>29.8751793533458</v>
      </c>
      <c r="N433">
        <v>55.002176335385997</v>
      </c>
      <c r="O433">
        <v>54.683427837235499</v>
      </c>
      <c r="P433">
        <v>-0.13387781089515299</v>
      </c>
      <c r="Q433">
        <v>1.98085123427304E-2</v>
      </c>
      <c r="R433">
        <v>0.99255589112829901</v>
      </c>
      <c r="S433" t="s">
        <v>4062</v>
      </c>
      <c r="T433" t="s">
        <v>7256</v>
      </c>
      <c r="U433" t="s">
        <v>7256</v>
      </c>
      <c r="V433" t="s">
        <v>7256</v>
      </c>
      <c r="W433">
        <v>38</v>
      </c>
      <c r="X433" t="s">
        <v>7689</v>
      </c>
      <c r="Y433">
        <v>0.51409394395611452</v>
      </c>
      <c r="Z433" t="str">
        <f>HYPERLINK("Melting_Curves/meltCurve_sp_P05062_ALDOB_HUMAN_.pdf", "Melting_Curves/meltCurve_sp_P05062_ALDOB_HUMAN_.pdf")</f>
        <v>Melting_Curves/meltCurve_sp_P05062_ALDOB_HUMAN_.pdf</v>
      </c>
      <c r="AA433" t="s">
        <v>11306</v>
      </c>
      <c r="AB433" t="s">
        <v>14859</v>
      </c>
    </row>
    <row r="434" spans="1:28" x14ac:dyDescent="0.25">
      <c r="A434" t="s">
        <v>438</v>
      </c>
      <c r="B434">
        <v>0.98018197421672304</v>
      </c>
      <c r="C434">
        <v>1.1684804662466199</v>
      </c>
      <c r="D434">
        <v>0.91237611492061199</v>
      </c>
      <c r="E434">
        <v>0.84677918830583598</v>
      </c>
      <c r="F434">
        <v>0.78556211850059599</v>
      </c>
      <c r="G434">
        <v>0.65819115569292097</v>
      </c>
      <c r="H434">
        <v>0.51108240915186398</v>
      </c>
      <c r="I434">
        <v>0.49726446975140898</v>
      </c>
      <c r="J434">
        <v>0.28117689546242802</v>
      </c>
      <c r="K434">
        <v>9.9687839463251701E-2</v>
      </c>
      <c r="L434">
        <v>608.36026755141995</v>
      </c>
      <c r="M434">
        <v>9.9867596720186196</v>
      </c>
      <c r="N434">
        <v>60.916703990603999</v>
      </c>
      <c r="O434">
        <v>58.625239245267302</v>
      </c>
      <c r="P434">
        <v>-4.2608108735921899E-2</v>
      </c>
      <c r="Q434">
        <v>0</v>
      </c>
      <c r="R434">
        <v>0.93182200811846105</v>
      </c>
      <c r="S434" t="s">
        <v>4063</v>
      </c>
      <c r="T434" t="s">
        <v>7256</v>
      </c>
      <c r="U434" t="s">
        <v>7256</v>
      </c>
      <c r="V434" t="s">
        <v>7256</v>
      </c>
      <c r="W434">
        <v>26</v>
      </c>
      <c r="X434" t="s">
        <v>7690</v>
      </c>
      <c r="Y434">
        <v>0.68571704128966648</v>
      </c>
      <c r="Z434" t="str">
        <f>HYPERLINK("Melting_Curves/meltCurve_sp_P05089_ARGI1_HUMAN_.pdf", "Melting_Curves/meltCurve_sp_P05089_ARGI1_HUMAN_.pdf")</f>
        <v>Melting_Curves/meltCurve_sp_P05089_ARGI1_HUMAN_.pdf</v>
      </c>
      <c r="AA434" t="s">
        <v>11307</v>
      </c>
      <c r="AB434" t="s">
        <v>14860</v>
      </c>
    </row>
    <row r="435" spans="1:28" x14ac:dyDescent="0.25">
      <c r="A435" t="s">
        <v>439</v>
      </c>
      <c r="B435">
        <v>0.98018197421672304</v>
      </c>
      <c r="C435">
        <v>0.93136829373933105</v>
      </c>
      <c r="D435">
        <v>0.76932840175820705</v>
      </c>
      <c r="E435">
        <v>0.50388321193255303</v>
      </c>
      <c r="F435">
        <v>0.31274551577427501</v>
      </c>
      <c r="G435">
        <v>0.180421978378211</v>
      </c>
      <c r="H435">
        <v>0.15059402456153601</v>
      </c>
      <c r="I435">
        <v>0.101393716239459</v>
      </c>
      <c r="J435">
        <v>6.6122144842641895E-2</v>
      </c>
      <c r="K435">
        <v>4.4638709947794897E-2</v>
      </c>
      <c r="L435">
        <v>729.92805125316897</v>
      </c>
      <c r="M435">
        <v>14.703634910351999</v>
      </c>
      <c r="N435">
        <v>50.056747967744698</v>
      </c>
      <c r="O435">
        <v>48.7515765766423</v>
      </c>
      <c r="P435">
        <v>-7.1091186565757095E-2</v>
      </c>
      <c r="Q435">
        <v>5.7259306011241302E-2</v>
      </c>
      <c r="R435">
        <v>0.99779432689369196</v>
      </c>
      <c r="S435" t="s">
        <v>4064</v>
      </c>
      <c r="T435" t="s">
        <v>7256</v>
      </c>
      <c r="U435" t="s">
        <v>7256</v>
      </c>
      <c r="V435" t="s">
        <v>7256</v>
      </c>
      <c r="W435">
        <v>6</v>
      </c>
      <c r="X435" t="s">
        <v>7691</v>
      </c>
      <c r="Y435">
        <v>0.38385773876790857</v>
      </c>
      <c r="Z435" t="str">
        <f>HYPERLINK("Melting_Curves/meltCurve_sp_P05090_APOD_HUMAN_.pdf", "Melting_Curves/meltCurve_sp_P05090_APOD_HUMAN_.pdf")</f>
        <v>Melting_Curves/meltCurve_sp_P05090_APOD_HUMAN_.pdf</v>
      </c>
      <c r="AA435" t="s">
        <v>11308</v>
      </c>
      <c r="AB435" t="s">
        <v>14861</v>
      </c>
    </row>
    <row r="436" spans="1:28" x14ac:dyDescent="0.25">
      <c r="A436" t="s">
        <v>440</v>
      </c>
      <c r="B436">
        <v>0.98018197421672304</v>
      </c>
      <c r="C436">
        <v>0.848499107775326</v>
      </c>
      <c r="D436">
        <v>0.92996720370000696</v>
      </c>
      <c r="E436">
        <v>0.76767577240310503</v>
      </c>
      <c r="F436">
        <v>0.45833788648573298</v>
      </c>
      <c r="G436">
        <v>0.157782411083005</v>
      </c>
      <c r="H436">
        <v>5.10994808711236E-2</v>
      </c>
      <c r="I436">
        <v>3.5453124065405302E-2</v>
      </c>
      <c r="J436">
        <v>3.75242589613934E-2</v>
      </c>
      <c r="K436">
        <v>2.8320192794583001E-2</v>
      </c>
      <c r="L436">
        <v>1099.5895713898999</v>
      </c>
      <c r="M436">
        <v>20.946888165325301</v>
      </c>
      <c r="N436">
        <v>52.566146647834202</v>
      </c>
      <c r="O436">
        <v>52.022767178523601</v>
      </c>
      <c r="P436">
        <v>-9.9241486984258095E-2</v>
      </c>
      <c r="Q436">
        <v>1.4139673615318499E-2</v>
      </c>
      <c r="R436">
        <v>0.98542676718632305</v>
      </c>
      <c r="S436" t="s">
        <v>4065</v>
      </c>
      <c r="T436" t="s">
        <v>7256</v>
      </c>
      <c r="U436" t="s">
        <v>7256</v>
      </c>
      <c r="V436" t="s">
        <v>7256</v>
      </c>
      <c r="W436">
        <v>31</v>
      </c>
      <c r="X436" t="s">
        <v>7692</v>
      </c>
      <c r="Y436">
        <v>0.43726262200891353</v>
      </c>
      <c r="Z436" t="str">
        <f>HYPERLINK("Melting_Curves/meltCurve_sp_P05091_ALDH2_HUMAN_.pdf", "Melting_Curves/meltCurve_sp_P05091_ALDH2_HUMAN_.pdf")</f>
        <v>Melting_Curves/meltCurve_sp_P05091_ALDH2_HUMAN_.pdf</v>
      </c>
      <c r="AA436" t="s">
        <v>11309</v>
      </c>
      <c r="AB436" t="s">
        <v>14862</v>
      </c>
    </row>
    <row r="437" spans="1:28" x14ac:dyDescent="0.25">
      <c r="A437" t="s">
        <v>441</v>
      </c>
      <c r="B437">
        <v>0.98018197421672304</v>
      </c>
      <c r="C437">
        <v>0.63914603947348603</v>
      </c>
      <c r="D437">
        <v>0.94245633947574703</v>
      </c>
      <c r="E437">
        <v>0.81163755848269103</v>
      </c>
      <c r="F437">
        <v>0.744550277616848</v>
      </c>
      <c r="G437">
        <v>1.0429795985361701</v>
      </c>
      <c r="H437">
        <v>0.405090103988753</v>
      </c>
      <c r="I437">
        <v>0.43590005949314098</v>
      </c>
      <c r="J437">
        <v>0.31488731216094501</v>
      </c>
      <c r="K437">
        <v>0.57403027543316498</v>
      </c>
      <c r="L437">
        <v>305.58988097995899</v>
      </c>
      <c r="M437">
        <v>4.6641502854995203</v>
      </c>
      <c r="N437">
        <v>65.518875325785501</v>
      </c>
      <c r="O437">
        <v>56.214379265921302</v>
      </c>
      <c r="P437">
        <v>-2.09036244162242E-2</v>
      </c>
      <c r="Q437">
        <v>0</v>
      </c>
      <c r="R437">
        <v>0.47066057043709297</v>
      </c>
      <c r="S437" t="s">
        <v>4066</v>
      </c>
      <c r="T437" t="s">
        <v>7256</v>
      </c>
      <c r="U437" t="s">
        <v>7256</v>
      </c>
      <c r="V437" t="s">
        <v>7256</v>
      </c>
      <c r="W437">
        <v>5</v>
      </c>
      <c r="X437" t="s">
        <v>7693</v>
      </c>
      <c r="Y437">
        <v>0.7031218938215551</v>
      </c>
      <c r="Z437" t="str">
        <f>HYPERLINK("Melting_Curves/meltCurve_sp_P05109_S10A8_HUMAN_.pdf", "Melting_Curves/meltCurve_sp_P05109_S10A8_HUMAN_.pdf")</f>
        <v>Melting_Curves/meltCurve_sp_P05109_S10A8_HUMAN_.pdf</v>
      </c>
      <c r="AA437" t="s">
        <v>11310</v>
      </c>
      <c r="AB437" t="s">
        <v>14863</v>
      </c>
    </row>
    <row r="438" spans="1:28" x14ac:dyDescent="0.25">
      <c r="A438" t="s">
        <v>442</v>
      </c>
      <c r="B438">
        <v>0.98018197421672304</v>
      </c>
      <c r="C438">
        <v>0.76574181996676904</v>
      </c>
      <c r="D438">
        <v>0.84195161640362404</v>
      </c>
      <c r="E438">
        <v>0.80043061928401205</v>
      </c>
      <c r="F438">
        <v>0.93610635891216298</v>
      </c>
      <c r="G438">
        <v>1.0051491934841601</v>
      </c>
      <c r="H438">
        <v>0.68657978367490902</v>
      </c>
      <c r="I438">
        <v>0.81262090004321197</v>
      </c>
      <c r="J438">
        <v>0.95609226970149697</v>
      </c>
      <c r="K438">
        <v>0.70891182377857698</v>
      </c>
      <c r="L438">
        <v>66.215652366427406</v>
      </c>
      <c r="M438">
        <v>1.0000000000000001E-5</v>
      </c>
      <c r="Q438">
        <v>0.33521771143759399</v>
      </c>
      <c r="R438">
        <v>5.6392590890514203E-2</v>
      </c>
      <c r="S438" t="s">
        <v>4067</v>
      </c>
      <c r="T438" t="s">
        <v>7256</v>
      </c>
      <c r="U438" t="s">
        <v>7256</v>
      </c>
      <c r="V438" t="s">
        <v>7256</v>
      </c>
      <c r="W438">
        <v>2</v>
      </c>
      <c r="X438" t="s">
        <v>7694</v>
      </c>
      <c r="Y438">
        <v>0.84896269403107605</v>
      </c>
      <c r="Z438" t="str">
        <f>HYPERLINK("Melting_Curves/meltCurve_sp_P05114_HMGN1_HUMAN_.pdf", "Melting_Curves/meltCurve_sp_P05114_HMGN1_HUMAN_.pdf")</f>
        <v>Melting_Curves/meltCurve_sp_P05114_HMGN1_HUMAN_.pdf</v>
      </c>
      <c r="AA438" t="s">
        <v>11311</v>
      </c>
      <c r="AB438" t="s">
        <v>14864</v>
      </c>
    </row>
    <row r="439" spans="1:28" x14ac:dyDescent="0.25">
      <c r="A439" t="s">
        <v>443</v>
      </c>
      <c r="B439">
        <v>0.98018197421672304</v>
      </c>
      <c r="C439">
        <v>0.98751429548954095</v>
      </c>
      <c r="D439">
        <v>0.87760639632445503</v>
      </c>
      <c r="E439">
        <v>0.68801745074640497</v>
      </c>
      <c r="F439">
        <v>0.53556410698253998</v>
      </c>
      <c r="G439">
        <v>0.31215313644640602</v>
      </c>
      <c r="H439">
        <v>0.186281309785125</v>
      </c>
      <c r="I439">
        <v>0.12963300735309299</v>
      </c>
      <c r="J439">
        <v>0.13061325697145601</v>
      </c>
      <c r="K439">
        <v>0.115209988376311</v>
      </c>
      <c r="L439">
        <v>735.60811384422198</v>
      </c>
      <c r="M439">
        <v>13.9779219489733</v>
      </c>
      <c r="N439">
        <v>53.263795898906999</v>
      </c>
      <c r="O439">
        <v>51.584419517274704</v>
      </c>
      <c r="P439">
        <v>-6.25343096169233E-2</v>
      </c>
      <c r="Q439">
        <v>7.7011477065295306E-2</v>
      </c>
      <c r="R439">
        <v>0.99829594445861702</v>
      </c>
      <c r="S439" t="s">
        <v>4068</v>
      </c>
      <c r="T439" t="s">
        <v>7256</v>
      </c>
      <c r="U439" t="s">
        <v>7256</v>
      </c>
      <c r="V439" t="s">
        <v>7256</v>
      </c>
      <c r="W439">
        <v>10</v>
      </c>
      <c r="X439" t="s">
        <v>7695</v>
      </c>
      <c r="Y439">
        <v>0.4877437093515159</v>
      </c>
      <c r="Z439" t="str">
        <f>HYPERLINK("Melting_Curves/meltCurve_sp_P05155_IC1_HUMAN_.pdf", "Melting_Curves/meltCurve_sp_P05155_IC1_HUMAN_.pdf")</f>
        <v>Melting_Curves/meltCurve_sp_P05155_IC1_HUMAN_.pdf</v>
      </c>
      <c r="AA439" t="s">
        <v>11312</v>
      </c>
      <c r="AB439" t="s">
        <v>14865</v>
      </c>
    </row>
    <row r="440" spans="1:28" x14ac:dyDescent="0.25">
      <c r="A440" t="s">
        <v>444</v>
      </c>
      <c r="B440">
        <v>0.98018197421672304</v>
      </c>
      <c r="C440">
        <v>0.94593935993744005</v>
      </c>
      <c r="D440">
        <v>0.89218993166878202</v>
      </c>
      <c r="E440">
        <v>0.65111368406914005</v>
      </c>
      <c r="F440">
        <v>0.41674622609189899</v>
      </c>
      <c r="G440">
        <v>0.19962212145769101</v>
      </c>
      <c r="H440">
        <v>7.5676936482352603E-2</v>
      </c>
      <c r="I440">
        <v>4.0762348583728798E-2</v>
      </c>
      <c r="J440">
        <v>4.1989891830516303E-2</v>
      </c>
      <c r="K440">
        <v>2.4376245090772901E-2</v>
      </c>
      <c r="L440">
        <v>832.88844335132899</v>
      </c>
      <c r="M440">
        <v>16.055703832917199</v>
      </c>
      <c r="N440">
        <v>51.905240059291799</v>
      </c>
      <c r="O440">
        <v>51.090224660757301</v>
      </c>
      <c r="P440">
        <v>-7.8204719526327598E-2</v>
      </c>
      <c r="Q440">
        <v>4.66862680364052E-3</v>
      </c>
      <c r="R440">
        <v>0.99932508820378696</v>
      </c>
      <c r="S440" t="s">
        <v>4069</v>
      </c>
      <c r="T440" t="s">
        <v>7256</v>
      </c>
      <c r="U440" t="s">
        <v>7256</v>
      </c>
      <c r="V440" t="s">
        <v>7256</v>
      </c>
      <c r="W440">
        <v>3</v>
      </c>
      <c r="X440" t="s">
        <v>7696</v>
      </c>
      <c r="Y440">
        <v>0.41872467385155082</v>
      </c>
      <c r="Z440" t="str">
        <f>HYPERLINK("Melting_Curves/meltCurve_sp_P05161_ISG15_HUMAN_.pdf", "Melting_Curves/meltCurve_sp_P05161_ISG15_HUMAN_.pdf")</f>
        <v>Melting_Curves/meltCurve_sp_P05161_ISG15_HUMAN_.pdf</v>
      </c>
      <c r="AA440" t="s">
        <v>11313</v>
      </c>
      <c r="AB440" t="s">
        <v>14866</v>
      </c>
    </row>
    <row r="441" spans="1:28" x14ac:dyDescent="0.25">
      <c r="A441" t="s">
        <v>445</v>
      </c>
      <c r="B441">
        <v>0.98018197421672304</v>
      </c>
      <c r="C441">
        <v>0.84780287065859705</v>
      </c>
      <c r="D441">
        <v>0.98179431209688095</v>
      </c>
      <c r="E441">
        <v>0.71571559887781699</v>
      </c>
      <c r="F441">
        <v>0.47984344698751003</v>
      </c>
      <c r="G441">
        <v>0.42565424621217801</v>
      </c>
      <c r="H441">
        <v>0.33292393859183</v>
      </c>
      <c r="I441">
        <v>0.27462451606923999</v>
      </c>
      <c r="J441">
        <v>0.24001014996810499</v>
      </c>
      <c r="K441">
        <v>0.15929095479424701</v>
      </c>
      <c r="L441">
        <v>635.56593803471696</v>
      </c>
      <c r="M441">
        <v>12.1085155835172</v>
      </c>
      <c r="N441">
        <v>54.360797237549797</v>
      </c>
      <c r="O441">
        <v>51.1190411259482</v>
      </c>
      <c r="P441">
        <v>-4.91348941448514E-2</v>
      </c>
      <c r="Q441">
        <v>0.17045358474658001</v>
      </c>
      <c r="R441">
        <v>0.96204259872477904</v>
      </c>
      <c r="S441" t="s">
        <v>4070</v>
      </c>
      <c r="T441" t="s">
        <v>7256</v>
      </c>
      <c r="U441" t="s">
        <v>7256</v>
      </c>
      <c r="V441" t="s">
        <v>7256</v>
      </c>
      <c r="W441">
        <v>1</v>
      </c>
      <c r="X441" t="s">
        <v>7697</v>
      </c>
      <c r="Y441">
        <v>0.54007212342904487</v>
      </c>
      <c r="Z441" t="str">
        <f>HYPERLINK("Melting_Curves/meltCurve_sp_P05164_2_PERM_HUMAN_.pdf", "Melting_Curves/meltCurve_sp_P05164_2_PERM_HUMAN_.pdf")</f>
        <v>Melting_Curves/meltCurve_sp_P05164_2_PERM_HUMAN_.pdf</v>
      </c>
      <c r="AA441" t="s">
        <v>11314</v>
      </c>
      <c r="AB441" t="s">
        <v>14867</v>
      </c>
    </row>
    <row r="442" spans="1:28" x14ac:dyDescent="0.25">
      <c r="A442" t="s">
        <v>446</v>
      </c>
      <c r="B442">
        <v>0.98018197421672304</v>
      </c>
      <c r="C442">
        <v>0.96902133987579298</v>
      </c>
      <c r="D442">
        <v>0.91195968991707099</v>
      </c>
      <c r="E442">
        <v>0.77403837873464498</v>
      </c>
      <c r="F442">
        <v>0.25557175199698101</v>
      </c>
      <c r="G442">
        <v>0.130912030689044</v>
      </c>
      <c r="H442">
        <v>6.4154773925331601E-2</v>
      </c>
      <c r="I442">
        <v>5.1336961178187798E-2</v>
      </c>
      <c r="J442">
        <v>6.0148301472965897E-2</v>
      </c>
      <c r="K442">
        <v>4.4947881070553398E-2</v>
      </c>
      <c r="L442">
        <v>2022.47451340731</v>
      </c>
      <c r="M442">
        <v>39.397553490994397</v>
      </c>
      <c r="N442">
        <v>51.5134319906944</v>
      </c>
      <c r="O442">
        <v>51.203301990799297</v>
      </c>
      <c r="P442">
        <v>-0.18009172352141001</v>
      </c>
      <c r="Q442">
        <v>6.3772279173991503E-2</v>
      </c>
      <c r="R442">
        <v>0.99322212661736897</v>
      </c>
      <c r="S442" t="s">
        <v>4071</v>
      </c>
      <c r="T442" t="s">
        <v>7256</v>
      </c>
      <c r="U442" t="s">
        <v>7256</v>
      </c>
      <c r="V442" t="s">
        <v>7256</v>
      </c>
      <c r="W442">
        <v>46</v>
      </c>
      <c r="X442" t="s">
        <v>7698</v>
      </c>
      <c r="Y442">
        <v>0.42093573909913612</v>
      </c>
      <c r="Z442" t="str">
        <f>HYPERLINK("Melting_Curves/meltCurve_sp_P05165_PCCA_HUMAN_.pdf", "Melting_Curves/meltCurve_sp_P05165_PCCA_HUMAN_.pdf")</f>
        <v>Melting_Curves/meltCurve_sp_P05165_PCCA_HUMAN_.pdf</v>
      </c>
      <c r="AA442" t="s">
        <v>11315</v>
      </c>
      <c r="AB442" t="s">
        <v>14868</v>
      </c>
    </row>
    <row r="443" spans="1:28" x14ac:dyDescent="0.25">
      <c r="A443" t="s">
        <v>447</v>
      </c>
      <c r="B443">
        <v>0.98018197421672304</v>
      </c>
      <c r="C443">
        <v>0.80811468809389397</v>
      </c>
      <c r="D443">
        <v>1.0014925850454399</v>
      </c>
      <c r="E443">
        <v>0.82376327422454698</v>
      </c>
      <c r="F443">
        <v>0.67783004949267001</v>
      </c>
      <c r="G443">
        <v>0.37070218150889001</v>
      </c>
      <c r="H443">
        <v>7.7819621747616696E-2</v>
      </c>
      <c r="I443">
        <v>3.9031870455208E-2</v>
      </c>
      <c r="J443">
        <v>3.9211451159575902E-2</v>
      </c>
      <c r="K443">
        <v>2.2928866153564299E-2</v>
      </c>
      <c r="L443">
        <v>1031.7089631844699</v>
      </c>
      <c r="M443">
        <v>18.798089003309698</v>
      </c>
      <c r="N443">
        <v>54.883708076147101</v>
      </c>
      <c r="O443">
        <v>54.273919195208997</v>
      </c>
      <c r="P443">
        <v>-8.65925546003464E-2</v>
      </c>
      <c r="Q443">
        <v>0</v>
      </c>
      <c r="R443">
        <v>0.97250462921213998</v>
      </c>
      <c r="S443" t="s">
        <v>4072</v>
      </c>
      <c r="T443" t="s">
        <v>7256</v>
      </c>
      <c r="U443" t="s">
        <v>7256</v>
      </c>
      <c r="V443" t="s">
        <v>7256</v>
      </c>
      <c r="W443">
        <v>29</v>
      </c>
      <c r="X443" t="s">
        <v>7699</v>
      </c>
      <c r="Y443">
        <v>0.51075139949049808</v>
      </c>
      <c r="Z443" t="str">
        <f>HYPERLINK("Melting_Curves/meltCurve_sp_P05166_PCCB_HUMAN_.pdf", "Melting_Curves/meltCurve_sp_P05166_PCCB_HUMAN_.pdf")</f>
        <v>Melting_Curves/meltCurve_sp_P05166_PCCB_HUMAN_.pdf</v>
      </c>
      <c r="AA443" t="s">
        <v>11316</v>
      </c>
      <c r="AB443" t="s">
        <v>14869</v>
      </c>
    </row>
    <row r="444" spans="1:28" x14ac:dyDescent="0.25">
      <c r="A444" t="s">
        <v>448</v>
      </c>
      <c r="B444">
        <v>0.98018197421672304</v>
      </c>
      <c r="C444">
        <v>0.94693991577725201</v>
      </c>
      <c r="D444">
        <v>0.63139811879960095</v>
      </c>
      <c r="E444">
        <v>0.32220201917443703</v>
      </c>
      <c r="F444">
        <v>0.17512698077309999</v>
      </c>
      <c r="G444">
        <v>0.116223113240877</v>
      </c>
      <c r="H444">
        <v>4.91927065202536E-2</v>
      </c>
      <c r="I444">
        <v>6.96133181396804E-2</v>
      </c>
      <c r="J444">
        <v>5.2930032837616797E-2</v>
      </c>
      <c r="K444">
        <v>5.24352377102075E-2</v>
      </c>
      <c r="L444">
        <v>929.69377182447204</v>
      </c>
      <c r="M444">
        <v>19.593202933262301</v>
      </c>
      <c r="N444">
        <v>47.752031726051698</v>
      </c>
      <c r="O444">
        <v>46.9638090590391</v>
      </c>
      <c r="P444">
        <v>-9.8220969697079899E-2</v>
      </c>
      <c r="Q444">
        <v>5.8312342313829299E-2</v>
      </c>
      <c r="R444">
        <v>0.995598309850102</v>
      </c>
      <c r="S444" t="s">
        <v>4073</v>
      </c>
      <c r="T444" t="s">
        <v>7256</v>
      </c>
      <c r="U444" t="s">
        <v>7256</v>
      </c>
      <c r="V444" t="s">
        <v>7256</v>
      </c>
      <c r="W444">
        <v>7</v>
      </c>
      <c r="X444" t="s">
        <v>7700</v>
      </c>
      <c r="Y444">
        <v>0.30634696751272339</v>
      </c>
      <c r="Z444" t="str">
        <f>HYPERLINK("Melting_Curves/meltCurve_sp_P05181_CP2E1_HUMAN_.pdf", "Melting_Curves/meltCurve_sp_P05181_CP2E1_HUMAN_.pdf")</f>
        <v>Melting_Curves/meltCurve_sp_P05181_CP2E1_HUMAN_.pdf</v>
      </c>
      <c r="AA444" t="s">
        <v>11317</v>
      </c>
      <c r="AB444" t="s">
        <v>14870</v>
      </c>
    </row>
    <row r="445" spans="1:28" x14ac:dyDescent="0.25">
      <c r="A445" t="s">
        <v>449</v>
      </c>
      <c r="B445">
        <v>0.98018197421672304</v>
      </c>
      <c r="C445">
        <v>0.95830050267596001</v>
      </c>
      <c r="D445">
        <v>0.97910726051752095</v>
      </c>
      <c r="E445">
        <v>0.64620799962522002</v>
      </c>
      <c r="F445">
        <v>0.47791115877713702</v>
      </c>
      <c r="G445">
        <v>0.376283872539936</v>
      </c>
      <c r="H445">
        <v>0.32242468161832499</v>
      </c>
      <c r="I445">
        <v>0.21626639961050501</v>
      </c>
      <c r="J445">
        <v>0.20709375476523201</v>
      </c>
      <c r="K445">
        <v>0.17153032870430601</v>
      </c>
      <c r="L445">
        <v>829.46462138640595</v>
      </c>
      <c r="M445">
        <v>16.128624040708299</v>
      </c>
      <c r="N445">
        <v>53.114044041606597</v>
      </c>
      <c r="O445">
        <v>50.657016313709498</v>
      </c>
      <c r="P445">
        <v>-6.3655737659377501E-2</v>
      </c>
      <c r="Q445">
        <v>0.20033764157976799</v>
      </c>
      <c r="R445">
        <v>0.98264039494131195</v>
      </c>
      <c r="S445" t="s">
        <v>4074</v>
      </c>
      <c r="T445" t="s">
        <v>7256</v>
      </c>
      <c r="U445" t="s">
        <v>7256</v>
      </c>
      <c r="V445" t="s">
        <v>7256</v>
      </c>
      <c r="W445">
        <v>1</v>
      </c>
      <c r="X445" t="s">
        <v>7701</v>
      </c>
      <c r="Y445">
        <v>0.52114433028890195</v>
      </c>
      <c r="Z445" t="str">
        <f>HYPERLINK("Melting_Curves/meltCurve_sp_P05186_2_PPBT_HUMAN_.pdf", "Melting_Curves/meltCurve_sp_P05186_2_PPBT_HUMAN_.pdf")</f>
        <v>Melting_Curves/meltCurve_sp_P05186_2_PPBT_HUMAN_.pdf</v>
      </c>
      <c r="AA445" t="s">
        <v>11318</v>
      </c>
      <c r="AB445" t="s">
        <v>14871</v>
      </c>
    </row>
    <row r="446" spans="1:28" x14ac:dyDescent="0.25">
      <c r="A446" t="s">
        <v>450</v>
      </c>
      <c r="B446">
        <v>0.98018197421672304</v>
      </c>
      <c r="C446">
        <v>0.99128644528201504</v>
      </c>
      <c r="D446">
        <v>0.93014353434470498</v>
      </c>
      <c r="E446">
        <v>0.78557668682617499</v>
      </c>
      <c r="F446">
        <v>0.60575329485261797</v>
      </c>
      <c r="G446">
        <v>0.26127551138509097</v>
      </c>
      <c r="H446">
        <v>9.2246121887120794E-2</v>
      </c>
      <c r="I446">
        <v>7.34763183785168E-2</v>
      </c>
      <c r="J446">
        <v>9.8532473186095093E-2</v>
      </c>
      <c r="K446">
        <v>5.1460085134685002E-2</v>
      </c>
      <c r="L446">
        <v>1026.2633184845899</v>
      </c>
      <c r="M446">
        <v>19.154304654831702</v>
      </c>
      <c r="N446">
        <v>53.819582231328503</v>
      </c>
      <c r="O446">
        <v>53.004969540616301</v>
      </c>
      <c r="P446">
        <v>-8.6634712976817699E-2</v>
      </c>
      <c r="Q446">
        <v>4.1073153200726298E-2</v>
      </c>
      <c r="R446">
        <v>0.99627880076748998</v>
      </c>
      <c r="S446" t="s">
        <v>4075</v>
      </c>
      <c r="T446" t="s">
        <v>7256</v>
      </c>
      <c r="U446" t="s">
        <v>7256</v>
      </c>
      <c r="V446" t="s">
        <v>7256</v>
      </c>
      <c r="W446">
        <v>13</v>
      </c>
      <c r="X446" t="s">
        <v>7702</v>
      </c>
      <c r="Y446">
        <v>0.48917309611073378</v>
      </c>
      <c r="Z446" t="str">
        <f>HYPERLINK("Melting_Curves/meltCurve_sp_P05198_IF2A_HUMAN_.pdf", "Melting_Curves/meltCurve_sp_P05198_IF2A_HUMAN_.pdf")</f>
        <v>Melting_Curves/meltCurve_sp_P05198_IF2A_HUMAN_.pdf</v>
      </c>
      <c r="AA446" t="s">
        <v>11319</v>
      </c>
      <c r="AB446" t="s">
        <v>14872</v>
      </c>
    </row>
    <row r="447" spans="1:28" x14ac:dyDescent="0.25">
      <c r="A447" t="s">
        <v>451</v>
      </c>
      <c r="B447">
        <v>0.98018197421672304</v>
      </c>
      <c r="C447">
        <v>0.728854483182797</v>
      </c>
      <c r="D447">
        <v>0.96465112717541901</v>
      </c>
      <c r="E447">
        <v>0.89866578544499098</v>
      </c>
      <c r="F447">
        <v>0.94776894648955401</v>
      </c>
      <c r="G447">
        <v>0.63439601511885602</v>
      </c>
      <c r="H447">
        <v>0.61681473710163703</v>
      </c>
      <c r="I447">
        <v>0.78687512779642699</v>
      </c>
      <c r="J447">
        <v>0.65078284712574497</v>
      </c>
      <c r="K447">
        <v>1.81557514965181</v>
      </c>
      <c r="L447">
        <v>10058.877548787001</v>
      </c>
      <c r="M447">
        <v>250</v>
      </c>
      <c r="O447">
        <v>40.232935494007698</v>
      </c>
      <c r="P447">
        <v>-0.164944971834174</v>
      </c>
      <c r="Q447">
        <v>0.89382047381075003</v>
      </c>
      <c r="R447">
        <v>6.0688871332091896E-3</v>
      </c>
      <c r="S447" t="s">
        <v>4076</v>
      </c>
      <c r="T447" t="s">
        <v>7256</v>
      </c>
      <c r="U447" t="s">
        <v>7256</v>
      </c>
      <c r="V447" t="s">
        <v>7256</v>
      </c>
      <c r="W447">
        <v>2</v>
      </c>
      <c r="X447" t="s">
        <v>7703</v>
      </c>
      <c r="Y447">
        <v>0.8947768607172395</v>
      </c>
      <c r="Z447" t="str">
        <f>HYPERLINK("Melting_Curves/meltCurve_sp_P05204_HMGN2_HUMAN_.pdf", "Melting_Curves/meltCurve_sp_P05204_HMGN2_HUMAN_.pdf")</f>
        <v>Melting_Curves/meltCurve_sp_P05204_HMGN2_HUMAN_.pdf</v>
      </c>
      <c r="AA447" t="s">
        <v>11320</v>
      </c>
      <c r="AB447" t="s">
        <v>14873</v>
      </c>
    </row>
    <row r="448" spans="1:28" x14ac:dyDescent="0.25">
      <c r="A448" t="s">
        <v>452</v>
      </c>
      <c r="B448">
        <v>0.98018197421672304</v>
      </c>
      <c r="C448">
        <v>0.94619917068061499</v>
      </c>
      <c r="D448">
        <v>0.90824843505480102</v>
      </c>
      <c r="E448">
        <v>0.69118057329619798</v>
      </c>
      <c r="F448">
        <v>0.45819110475791702</v>
      </c>
      <c r="G448">
        <v>0.28695342765418602</v>
      </c>
      <c r="H448">
        <v>0.35779170472870597</v>
      </c>
      <c r="I448">
        <v>0.40324268065546098</v>
      </c>
      <c r="J448">
        <v>0.46882770513230998</v>
      </c>
      <c r="K448">
        <v>0.53055994414668495</v>
      </c>
      <c r="L448">
        <v>1577.6668105634601</v>
      </c>
      <c r="M448">
        <v>31.8395897569272</v>
      </c>
      <c r="N448">
        <v>52.323038115790702</v>
      </c>
      <c r="O448">
        <v>49.356240083536797</v>
      </c>
      <c r="P448">
        <v>-9.5559162655347807E-2</v>
      </c>
      <c r="Q448">
        <v>0.40747770538375</v>
      </c>
      <c r="R448">
        <v>0.92678677896579398</v>
      </c>
      <c r="S448" t="s">
        <v>4077</v>
      </c>
      <c r="T448" t="s">
        <v>7256</v>
      </c>
      <c r="U448" t="s">
        <v>7256</v>
      </c>
      <c r="V448" t="s">
        <v>7256</v>
      </c>
      <c r="W448">
        <v>2</v>
      </c>
      <c r="X448" t="s">
        <v>7704</v>
      </c>
      <c r="Y448">
        <v>0.59933070558112467</v>
      </c>
      <c r="Z448" t="str">
        <f>HYPERLINK("Melting_Curves/meltCurve_sp_P05387_RLA2_HUMAN_.pdf", "Melting_Curves/meltCurve_sp_P05387_RLA2_HUMAN_.pdf")</f>
        <v>Melting_Curves/meltCurve_sp_P05387_RLA2_HUMAN_.pdf</v>
      </c>
      <c r="AA448" t="s">
        <v>11321</v>
      </c>
      <c r="AB448" t="s">
        <v>14874</v>
      </c>
    </row>
    <row r="449" spans="1:28" x14ac:dyDescent="0.25">
      <c r="A449" t="s">
        <v>453</v>
      </c>
      <c r="B449">
        <v>0.98018197421672304</v>
      </c>
      <c r="C449">
        <v>0.91479150775628304</v>
      </c>
      <c r="D449">
        <v>0.93188867012088705</v>
      </c>
      <c r="E449">
        <v>0.83591435866952601</v>
      </c>
      <c r="F449">
        <v>0.69926277805757997</v>
      </c>
      <c r="G449">
        <v>0.40403897614409501</v>
      </c>
      <c r="H449">
        <v>0.13212307578103999</v>
      </c>
      <c r="I449">
        <v>7.6204249113690295E-2</v>
      </c>
      <c r="J449">
        <v>7.7076217508894304E-2</v>
      </c>
      <c r="K449">
        <v>5.7243140750180603E-2</v>
      </c>
      <c r="L449">
        <v>920.41203941852496</v>
      </c>
      <c r="M449">
        <v>16.648549674770901</v>
      </c>
      <c r="N449">
        <v>55.323060256330699</v>
      </c>
      <c r="O449">
        <v>54.505650079313298</v>
      </c>
      <c r="P449">
        <v>-7.5929779246370302E-2</v>
      </c>
      <c r="Q449">
        <v>5.7212465351544096E-3</v>
      </c>
      <c r="R449">
        <v>0.99127802830709899</v>
      </c>
      <c r="S449" t="s">
        <v>4078</v>
      </c>
      <c r="T449" t="s">
        <v>7256</v>
      </c>
      <c r="U449" t="s">
        <v>7256</v>
      </c>
      <c r="V449" t="s">
        <v>7256</v>
      </c>
      <c r="W449">
        <v>16</v>
      </c>
      <c r="X449" t="s">
        <v>7705</v>
      </c>
      <c r="Y449">
        <v>0.52904567726964202</v>
      </c>
      <c r="Z449" t="str">
        <f>HYPERLINK("Melting_Curves/meltCurve_sp_P05455_LA_HUMAN_.pdf", "Melting_Curves/meltCurve_sp_P05455_LA_HUMAN_.pdf")</f>
        <v>Melting_Curves/meltCurve_sp_P05455_LA_HUMAN_.pdf</v>
      </c>
      <c r="AA449" t="s">
        <v>11322</v>
      </c>
      <c r="AB449" t="s">
        <v>14875</v>
      </c>
    </row>
    <row r="450" spans="1:28" x14ac:dyDescent="0.25">
      <c r="A450" t="s">
        <v>454</v>
      </c>
      <c r="B450">
        <v>0.98018197421672304</v>
      </c>
      <c r="C450">
        <v>0.81155399111045101</v>
      </c>
      <c r="D450">
        <v>0.81929544829741696</v>
      </c>
      <c r="E450">
        <v>0.70911641596325004</v>
      </c>
      <c r="F450">
        <v>0.64895151460856604</v>
      </c>
      <c r="G450">
        <v>0.54170846753811597</v>
      </c>
      <c r="H450">
        <v>0.256661393683491</v>
      </c>
      <c r="I450">
        <v>0.14412532290975699</v>
      </c>
      <c r="J450">
        <v>0.12946274424356599</v>
      </c>
      <c r="K450">
        <v>5.6010799159687902E-2</v>
      </c>
      <c r="L450">
        <v>526.95489714775397</v>
      </c>
      <c r="M450">
        <v>9.5604096322014698</v>
      </c>
      <c r="N450">
        <v>55.118443380662796</v>
      </c>
      <c r="O450">
        <v>52.868685102339299</v>
      </c>
      <c r="P450">
        <v>-4.52344015548614E-2</v>
      </c>
      <c r="Q450">
        <v>0</v>
      </c>
      <c r="R450">
        <v>0.95512191733026297</v>
      </c>
      <c r="S450" t="s">
        <v>4079</v>
      </c>
      <c r="T450" t="s">
        <v>7256</v>
      </c>
      <c r="U450" t="s">
        <v>7256</v>
      </c>
      <c r="V450" t="s">
        <v>7256</v>
      </c>
      <c r="W450">
        <v>2</v>
      </c>
      <c r="X450" t="s">
        <v>7706</v>
      </c>
      <c r="Y450">
        <v>0.5296371585225399</v>
      </c>
      <c r="Z450" t="str">
        <f>HYPERLINK("Melting_Curves/meltCurve_sp_P05543_THBG_HUMAN_.pdf", "Melting_Curves/meltCurve_sp_P05543_THBG_HUMAN_.pdf")</f>
        <v>Melting_Curves/meltCurve_sp_P05543_THBG_HUMAN_.pdf</v>
      </c>
      <c r="AA450" t="s">
        <v>11323</v>
      </c>
      <c r="AB450" t="s">
        <v>14876</v>
      </c>
    </row>
    <row r="451" spans="1:28" x14ac:dyDescent="0.25">
      <c r="A451" t="s">
        <v>455</v>
      </c>
      <c r="B451">
        <v>0.98018197421672304</v>
      </c>
      <c r="C451">
        <v>0.84806846762618504</v>
      </c>
      <c r="D451">
        <v>0.80658131682976797</v>
      </c>
      <c r="E451">
        <v>0.63855706948499602</v>
      </c>
      <c r="F451">
        <v>0.52399613130683198</v>
      </c>
      <c r="G451">
        <v>0.28771761901477999</v>
      </c>
      <c r="H451">
        <v>9.4085998469503301E-2</v>
      </c>
      <c r="I451">
        <v>3.7371254816332702E-2</v>
      </c>
      <c r="J451">
        <v>3.3497576608376198E-2</v>
      </c>
      <c r="K451">
        <v>3.2043689825520603E-2</v>
      </c>
      <c r="L451">
        <v>640.43699361163203</v>
      </c>
      <c r="M451">
        <v>12.264702722593499</v>
      </c>
      <c r="N451">
        <v>52.217873897896801</v>
      </c>
      <c r="O451">
        <v>50.887896314785301</v>
      </c>
      <c r="P451">
        <v>-6.0266882924845402E-2</v>
      </c>
      <c r="Q451">
        <v>0</v>
      </c>
      <c r="R451">
        <v>0.98351532875813996</v>
      </c>
      <c r="S451" t="s">
        <v>4080</v>
      </c>
      <c r="T451" t="s">
        <v>7256</v>
      </c>
      <c r="U451" t="s">
        <v>7256</v>
      </c>
      <c r="V451" t="s">
        <v>7256</v>
      </c>
      <c r="W451">
        <v>2</v>
      </c>
      <c r="X451" t="s">
        <v>7707</v>
      </c>
      <c r="Y451">
        <v>0.43659733461086819</v>
      </c>
      <c r="Z451" t="str">
        <f>HYPERLINK("Melting_Curves/meltCurve_sp_P05546_HEP2_HUMAN_.pdf", "Melting_Curves/meltCurve_sp_P05546_HEP2_HUMAN_.pdf")</f>
        <v>Melting_Curves/meltCurve_sp_P05546_HEP2_HUMAN_.pdf</v>
      </c>
      <c r="AA451" t="s">
        <v>11324</v>
      </c>
      <c r="AB451" t="s">
        <v>14877</v>
      </c>
    </row>
    <row r="452" spans="1:28" x14ac:dyDescent="0.25">
      <c r="A452" t="s">
        <v>456</v>
      </c>
      <c r="B452">
        <v>0.98018197421672304</v>
      </c>
      <c r="C452">
        <v>0.78136384552879601</v>
      </c>
      <c r="D452">
        <v>0.78119597822225895</v>
      </c>
      <c r="E452">
        <v>0.74043897717477403</v>
      </c>
      <c r="F452">
        <v>0.52577766281793203</v>
      </c>
      <c r="G452">
        <v>0.165605861819246</v>
      </c>
      <c r="H452">
        <v>0.103964102490432</v>
      </c>
      <c r="I452">
        <v>7.5200620950201205E-2</v>
      </c>
      <c r="J452">
        <v>6.7483036737665897E-2</v>
      </c>
      <c r="K452">
        <v>7.4931358527516506E-2</v>
      </c>
      <c r="L452">
        <v>643.28912614527405</v>
      </c>
      <c r="M452">
        <v>12.3119857484851</v>
      </c>
      <c r="N452">
        <v>52.249039839030502</v>
      </c>
      <c r="O452">
        <v>50.927998332987698</v>
      </c>
      <c r="P452">
        <v>-6.0451387500490401E-2</v>
      </c>
      <c r="Q452">
        <v>0</v>
      </c>
      <c r="R452">
        <v>0.95355860829634598</v>
      </c>
      <c r="S452" t="s">
        <v>4081</v>
      </c>
      <c r="T452" t="s">
        <v>7256</v>
      </c>
      <c r="U452" t="s">
        <v>7256</v>
      </c>
      <c r="V452" t="s">
        <v>7256</v>
      </c>
      <c r="W452">
        <v>4</v>
      </c>
      <c r="X452" t="s">
        <v>7708</v>
      </c>
      <c r="Y452">
        <v>0.43743176984551008</v>
      </c>
      <c r="Z452" t="str">
        <f>HYPERLINK("Melting_Curves/meltCurve_sp_P05556_ITB1_HUMAN_.pdf", "Melting_Curves/meltCurve_sp_P05556_ITB1_HUMAN_.pdf")</f>
        <v>Melting_Curves/meltCurve_sp_P05556_ITB1_HUMAN_.pdf</v>
      </c>
      <c r="AA452" t="s">
        <v>11325</v>
      </c>
      <c r="AB452" t="s">
        <v>14878</v>
      </c>
    </row>
    <row r="453" spans="1:28" x14ac:dyDescent="0.25">
      <c r="A453" t="s">
        <v>457</v>
      </c>
      <c r="B453">
        <v>0.98018197421672304</v>
      </c>
      <c r="C453">
        <v>0.90797815555185601</v>
      </c>
      <c r="D453">
        <v>0.93022669866298302</v>
      </c>
      <c r="E453">
        <v>0.84921200206184799</v>
      </c>
      <c r="F453">
        <v>0.66496440214187802</v>
      </c>
      <c r="G453">
        <v>0.40045628871859201</v>
      </c>
      <c r="H453">
        <v>0.294309558354234</v>
      </c>
      <c r="I453">
        <v>0.149185379977546</v>
      </c>
      <c r="J453">
        <v>8.5638722776419193E-2</v>
      </c>
      <c r="K453">
        <v>6.3985792573016606E-2</v>
      </c>
      <c r="L453">
        <v>719.01815670787505</v>
      </c>
      <c r="M453">
        <v>12.8861849667352</v>
      </c>
      <c r="N453">
        <v>55.797599208022497</v>
      </c>
      <c r="O453">
        <v>54.505095588077801</v>
      </c>
      <c r="P453">
        <v>-5.9116219566180198E-2</v>
      </c>
      <c r="Q453">
        <v>0</v>
      </c>
      <c r="R453">
        <v>0.99208629703806095</v>
      </c>
      <c r="S453" t="s">
        <v>4082</v>
      </c>
      <c r="T453" t="s">
        <v>7256</v>
      </c>
      <c r="U453" t="s">
        <v>7256</v>
      </c>
      <c r="V453" t="s">
        <v>7256</v>
      </c>
      <c r="W453">
        <v>38</v>
      </c>
      <c r="X453" t="s">
        <v>7709</v>
      </c>
      <c r="Y453">
        <v>0.54684942497808242</v>
      </c>
      <c r="Z453" t="str">
        <f>HYPERLINK("Melting_Curves/meltCurve_sp_P05783_K1C18_HUMAN_.pdf", "Melting_Curves/meltCurve_sp_P05783_K1C18_HUMAN_.pdf")</f>
        <v>Melting_Curves/meltCurve_sp_P05783_K1C18_HUMAN_.pdf</v>
      </c>
      <c r="AA453" t="s">
        <v>11326</v>
      </c>
      <c r="AB453" t="s">
        <v>14879</v>
      </c>
    </row>
    <row r="454" spans="1:28" x14ac:dyDescent="0.25">
      <c r="A454" t="s">
        <v>458</v>
      </c>
      <c r="B454">
        <v>0.98018197421672304</v>
      </c>
      <c r="C454">
        <v>0.91602258950696003</v>
      </c>
      <c r="D454">
        <v>0.93000800280549201</v>
      </c>
      <c r="E454">
        <v>0.84417723422426005</v>
      </c>
      <c r="F454">
        <v>0.64159362190050495</v>
      </c>
      <c r="G454">
        <v>0.40049669029239598</v>
      </c>
      <c r="H454">
        <v>0.308405243899804</v>
      </c>
      <c r="I454">
        <v>0.184143831960247</v>
      </c>
      <c r="J454">
        <v>0.15249464365627199</v>
      </c>
      <c r="K454">
        <v>0.197130505134919</v>
      </c>
      <c r="L454">
        <v>813.22186323754602</v>
      </c>
      <c r="M454">
        <v>14.9754650344893</v>
      </c>
      <c r="N454">
        <v>55.447181767949097</v>
      </c>
      <c r="O454">
        <v>53.362890915820302</v>
      </c>
      <c r="P454">
        <v>-6.0843624118551598E-2</v>
      </c>
      <c r="Q454">
        <v>0.13285855861690199</v>
      </c>
      <c r="R454">
        <v>0.98991416601081605</v>
      </c>
      <c r="S454" t="s">
        <v>4083</v>
      </c>
      <c r="T454" t="s">
        <v>7256</v>
      </c>
      <c r="U454" t="s">
        <v>7256</v>
      </c>
      <c r="V454" t="s">
        <v>7256</v>
      </c>
      <c r="W454">
        <v>46</v>
      </c>
      <c r="X454" t="s">
        <v>7710</v>
      </c>
      <c r="Y454">
        <v>0.56382518285081029</v>
      </c>
      <c r="Z454" t="str">
        <f>HYPERLINK("Melting_Curves/meltCurve_sp_P05787_K2C8_HUMAN_.pdf", "Melting_Curves/meltCurve_sp_P05787_K2C8_HUMAN_.pdf")</f>
        <v>Melting_Curves/meltCurve_sp_P05787_K2C8_HUMAN_.pdf</v>
      </c>
      <c r="AA454" t="s">
        <v>11327</v>
      </c>
      <c r="AB454" t="s">
        <v>14880</v>
      </c>
    </row>
    <row r="455" spans="1:28" x14ac:dyDescent="0.25">
      <c r="A455" t="s">
        <v>459</v>
      </c>
      <c r="B455">
        <v>0.98018197421672304</v>
      </c>
      <c r="C455">
        <v>0.94029370158509396</v>
      </c>
      <c r="D455">
        <v>0.80802045835435199</v>
      </c>
      <c r="E455">
        <v>0.64092144999000999</v>
      </c>
      <c r="F455">
        <v>0.58263574839169696</v>
      </c>
      <c r="G455">
        <v>0.379577530624364</v>
      </c>
      <c r="H455">
        <v>0.42934137347922002</v>
      </c>
      <c r="I455">
        <v>0.43895163420377997</v>
      </c>
      <c r="J455">
        <v>0.53022414378107297</v>
      </c>
      <c r="K455">
        <v>0.66694946728618199</v>
      </c>
      <c r="L455">
        <v>977.08073433153004</v>
      </c>
      <c r="M455">
        <v>20.658486921141101</v>
      </c>
      <c r="N455">
        <v>60.521572919482502</v>
      </c>
      <c r="O455">
        <v>46.860325243373097</v>
      </c>
      <c r="P455">
        <v>-5.5711723487474503E-2</v>
      </c>
      <c r="Q455">
        <v>0.49452353740420102</v>
      </c>
      <c r="R455">
        <v>0.85619625950216705</v>
      </c>
      <c r="S455" t="s">
        <v>4084</v>
      </c>
      <c r="T455" t="s">
        <v>7256</v>
      </c>
      <c r="U455" t="s">
        <v>7256</v>
      </c>
      <c r="V455" t="s">
        <v>7256</v>
      </c>
      <c r="W455">
        <v>1</v>
      </c>
      <c r="X455" t="s">
        <v>7711</v>
      </c>
      <c r="Y455">
        <v>0.62428820980738942</v>
      </c>
      <c r="Z455" t="str">
        <f>HYPERLINK("Melting_Curves/meltCurve_sp_P05976_2_MYL1_HUMAN_.pdf", "Melting_Curves/meltCurve_sp_P05976_2_MYL1_HUMAN_.pdf")</f>
        <v>Melting_Curves/meltCurve_sp_P05976_2_MYL1_HUMAN_.pdf</v>
      </c>
      <c r="AA455" t="s">
        <v>11328</v>
      </c>
      <c r="AB455" t="s">
        <v>14881</v>
      </c>
    </row>
    <row r="456" spans="1:28" x14ac:dyDescent="0.25">
      <c r="A456" t="s">
        <v>460</v>
      </c>
      <c r="B456">
        <v>0.98018197421672304</v>
      </c>
      <c r="C456">
        <v>0.95363651709439601</v>
      </c>
      <c r="D456">
        <v>0.94002269884087597</v>
      </c>
      <c r="E456">
        <v>0.80604831700528401</v>
      </c>
      <c r="F456">
        <v>0.70936818127219803</v>
      </c>
      <c r="G456">
        <v>0.54592787096665196</v>
      </c>
      <c r="H456">
        <v>0.34304929740085</v>
      </c>
      <c r="I456">
        <v>0.21500107318669201</v>
      </c>
      <c r="J456">
        <v>9.4526785586167797E-2</v>
      </c>
      <c r="K456">
        <v>7.0759860656075396E-2</v>
      </c>
      <c r="L456">
        <v>681.52474410254695</v>
      </c>
      <c r="M456">
        <v>11.9402078325198</v>
      </c>
      <c r="N456">
        <v>57.078128782249401</v>
      </c>
      <c r="O456">
        <v>55.547765984687899</v>
      </c>
      <c r="P456">
        <v>-5.3751666413565199E-2</v>
      </c>
      <c r="Q456">
        <v>0</v>
      </c>
      <c r="R456">
        <v>0.99293011135578901</v>
      </c>
      <c r="S456" t="s">
        <v>4085</v>
      </c>
      <c r="T456" t="s">
        <v>7256</v>
      </c>
      <c r="U456" t="s">
        <v>7256</v>
      </c>
      <c r="V456" t="s">
        <v>7256</v>
      </c>
      <c r="W456">
        <v>7</v>
      </c>
      <c r="X456" t="s">
        <v>7712</v>
      </c>
      <c r="Y456">
        <v>0.58579386844603198</v>
      </c>
      <c r="Z456" t="str">
        <f>HYPERLINK("Melting_Curves/meltCurve_sp_P06132_DCUP_HUMAN_.pdf", "Melting_Curves/meltCurve_sp_P06132_DCUP_HUMAN_.pdf")</f>
        <v>Melting_Curves/meltCurve_sp_P06132_DCUP_HUMAN_.pdf</v>
      </c>
      <c r="AA456" t="s">
        <v>11329</v>
      </c>
      <c r="AB456" t="s">
        <v>14882</v>
      </c>
    </row>
    <row r="457" spans="1:28" x14ac:dyDescent="0.25">
      <c r="A457" t="s">
        <v>461</v>
      </c>
      <c r="B457">
        <v>0.98018197421672304</v>
      </c>
      <c r="C457">
        <v>1.0536488333584999</v>
      </c>
      <c r="D457">
        <v>0.84162134698834901</v>
      </c>
      <c r="E457">
        <v>0.57918794528492201</v>
      </c>
      <c r="F457">
        <v>0.31749501048869599</v>
      </c>
      <c r="G457">
        <v>0.17236545156313399</v>
      </c>
      <c r="H457">
        <v>0.115295041029311</v>
      </c>
      <c r="I457">
        <v>0.12558203640205401</v>
      </c>
      <c r="J457">
        <v>0.18768491589165501</v>
      </c>
      <c r="K457">
        <v>0.202822920837465</v>
      </c>
      <c r="L457">
        <v>1160.7407459865301</v>
      </c>
      <c r="M457">
        <v>23.302625886043302</v>
      </c>
      <c r="N457">
        <v>50.585658841529202</v>
      </c>
      <c r="O457">
        <v>49.449100243900297</v>
      </c>
      <c r="P457">
        <v>-0.10014498723420499</v>
      </c>
      <c r="Q457">
        <v>0.1499685064563</v>
      </c>
      <c r="R457">
        <v>0.98719393016615398</v>
      </c>
      <c r="S457" t="s">
        <v>4086</v>
      </c>
      <c r="T457" t="s">
        <v>7256</v>
      </c>
      <c r="U457" t="s">
        <v>7256</v>
      </c>
      <c r="V457" t="s">
        <v>7256</v>
      </c>
      <c r="W457">
        <v>1</v>
      </c>
      <c r="X457" t="s">
        <v>7713</v>
      </c>
      <c r="Y457">
        <v>0.43671089405098779</v>
      </c>
      <c r="Z457" t="str">
        <f>HYPERLINK("Melting_Curves/meltCurve_sp_P06280_AGAL_HUMAN_.pdf", "Melting_Curves/meltCurve_sp_P06280_AGAL_HUMAN_.pdf")</f>
        <v>Melting_Curves/meltCurve_sp_P06280_AGAL_HUMAN_.pdf</v>
      </c>
      <c r="AA457" t="s">
        <v>11330</v>
      </c>
      <c r="AB457" t="s">
        <v>14883</v>
      </c>
    </row>
    <row r="458" spans="1:28" x14ac:dyDescent="0.25">
      <c r="A458" t="s">
        <v>462</v>
      </c>
      <c r="B458">
        <v>0.98018197421672304</v>
      </c>
      <c r="C458">
        <v>0.87611666851508097</v>
      </c>
      <c r="D458">
        <v>0.60227916647980295</v>
      </c>
      <c r="E458">
        <v>0.24288669338715899</v>
      </c>
      <c r="F458">
        <v>0.126929298616</v>
      </c>
      <c r="G458">
        <v>7.6044303866597607E-2</v>
      </c>
      <c r="H458">
        <v>4.7735795757546801E-2</v>
      </c>
      <c r="I458">
        <v>3.7230846795734698E-2</v>
      </c>
      <c r="J458">
        <v>3.9057618012840703E-2</v>
      </c>
      <c r="K458">
        <v>2.4994070511091201E-2</v>
      </c>
      <c r="L458">
        <v>951.02244568202298</v>
      </c>
      <c r="M458">
        <v>20.3027937412146</v>
      </c>
      <c r="N458">
        <v>47.020960760992097</v>
      </c>
      <c r="O458">
        <v>46.394615247831297</v>
      </c>
      <c r="P458">
        <v>-0.10533718161042099</v>
      </c>
      <c r="Q458">
        <v>3.7191002568328101E-2</v>
      </c>
      <c r="R458">
        <v>0.99953817976583403</v>
      </c>
      <c r="S458" t="s">
        <v>4087</v>
      </c>
      <c r="T458" t="s">
        <v>7256</v>
      </c>
      <c r="U458" t="s">
        <v>7256</v>
      </c>
      <c r="V458" t="s">
        <v>7256</v>
      </c>
      <c r="W458">
        <v>16</v>
      </c>
      <c r="X458" t="s">
        <v>7714</v>
      </c>
      <c r="Y458">
        <v>0.27049670963768158</v>
      </c>
      <c r="Z458" t="str">
        <f>HYPERLINK("Melting_Curves/meltCurve_sp_P06576_ATPB_HUMAN_.pdf", "Melting_Curves/meltCurve_sp_P06576_ATPB_HUMAN_.pdf")</f>
        <v>Melting_Curves/meltCurve_sp_P06576_ATPB_HUMAN_.pdf</v>
      </c>
      <c r="AA458" t="s">
        <v>11331</v>
      </c>
      <c r="AB458" t="s">
        <v>14884</v>
      </c>
    </row>
    <row r="459" spans="1:28" x14ac:dyDescent="0.25">
      <c r="A459" t="s">
        <v>463</v>
      </c>
      <c r="B459">
        <v>0.98018197421672304</v>
      </c>
      <c r="C459">
        <v>0.76506322996002696</v>
      </c>
      <c r="D459">
        <v>0.811503117902166</v>
      </c>
      <c r="E459">
        <v>0.59968165286226405</v>
      </c>
      <c r="F459">
        <v>0.53762661033606496</v>
      </c>
      <c r="G459">
        <v>0.26416604362111501</v>
      </c>
      <c r="H459">
        <v>0.18688958246411999</v>
      </c>
      <c r="I459">
        <v>8.2650266435515998E-2</v>
      </c>
      <c r="J459">
        <v>0.17126336877916401</v>
      </c>
      <c r="K459">
        <v>0</v>
      </c>
      <c r="L459">
        <v>509.88242648035299</v>
      </c>
      <c r="M459">
        <v>9.79373338335661</v>
      </c>
      <c r="N459">
        <v>52.062104058045001</v>
      </c>
      <c r="O459">
        <v>50.030750289791698</v>
      </c>
      <c r="P459">
        <v>-4.8964341572800898E-2</v>
      </c>
      <c r="Q459">
        <v>0</v>
      </c>
      <c r="R459">
        <v>0.96338089684274697</v>
      </c>
      <c r="S459" t="s">
        <v>4088</v>
      </c>
      <c r="T459" t="s">
        <v>7256</v>
      </c>
      <c r="U459" t="s">
        <v>7256</v>
      </c>
      <c r="V459" t="s">
        <v>7256</v>
      </c>
      <c r="W459">
        <v>5</v>
      </c>
      <c r="X459" t="s">
        <v>7715</v>
      </c>
      <c r="Y459">
        <v>0.44065252550293832</v>
      </c>
      <c r="Z459" t="str">
        <f>HYPERLINK("Melting_Curves/meltCurve_sp_P06681_CO2_HUMAN_.pdf", "Melting_Curves/meltCurve_sp_P06681_CO2_HUMAN_.pdf")</f>
        <v>Melting_Curves/meltCurve_sp_P06681_CO2_HUMAN_.pdf</v>
      </c>
      <c r="AA459" t="s">
        <v>11332</v>
      </c>
      <c r="AB459" t="s">
        <v>14885</v>
      </c>
    </row>
    <row r="460" spans="1:28" x14ac:dyDescent="0.25">
      <c r="A460" t="s">
        <v>464</v>
      </c>
      <c r="B460">
        <v>0.98018197421672304</v>
      </c>
      <c r="C460">
        <v>0.72869230377560101</v>
      </c>
      <c r="D460">
        <v>0.94179908363689702</v>
      </c>
      <c r="E460">
        <v>0.75762714452353797</v>
      </c>
      <c r="F460">
        <v>0.62000536292870601</v>
      </c>
      <c r="G460">
        <v>0.95098166787765903</v>
      </c>
      <c r="H460">
        <v>0.35850489720632001</v>
      </c>
      <c r="I460">
        <v>0.41796808277738701</v>
      </c>
      <c r="J460">
        <v>0.30736452573851403</v>
      </c>
      <c r="K460">
        <v>0.78955336180899804</v>
      </c>
      <c r="L460">
        <v>366.44363838305998</v>
      </c>
      <c r="M460">
        <v>6.9862978765599797</v>
      </c>
      <c r="N460">
        <v>69.545699644507707</v>
      </c>
      <c r="O460">
        <v>48.661162269662</v>
      </c>
      <c r="P460">
        <v>-2.1208425750137299E-2</v>
      </c>
      <c r="Q460">
        <v>0.41021518428392101</v>
      </c>
      <c r="R460">
        <v>0.39701906733249698</v>
      </c>
      <c r="S460" t="s">
        <v>4089</v>
      </c>
      <c r="T460" t="s">
        <v>7256</v>
      </c>
      <c r="U460" t="s">
        <v>7256</v>
      </c>
      <c r="V460" t="s">
        <v>7256</v>
      </c>
      <c r="W460">
        <v>7</v>
      </c>
      <c r="X460" t="s">
        <v>7716</v>
      </c>
      <c r="Y460">
        <v>0.68377100569567129</v>
      </c>
      <c r="Z460" t="str">
        <f>HYPERLINK("Melting_Curves/meltCurve_sp_P06702_S10A9_HUMAN_.pdf", "Melting_Curves/meltCurve_sp_P06702_S10A9_HUMAN_.pdf")</f>
        <v>Melting_Curves/meltCurve_sp_P06702_S10A9_HUMAN_.pdf</v>
      </c>
      <c r="AA460" t="s">
        <v>11333</v>
      </c>
      <c r="AB460" t="s">
        <v>14886</v>
      </c>
    </row>
    <row r="461" spans="1:28" x14ac:dyDescent="0.25">
      <c r="A461" t="s">
        <v>465</v>
      </c>
      <c r="B461">
        <v>0.98018197421672304</v>
      </c>
      <c r="C461">
        <v>0.87186658121545701</v>
      </c>
      <c r="D461">
        <v>0.80477878856187701</v>
      </c>
      <c r="E461">
        <v>0.53971476661616502</v>
      </c>
      <c r="F461">
        <v>0.33293487115548598</v>
      </c>
      <c r="G461">
        <v>0.20830386497075001</v>
      </c>
      <c r="H461">
        <v>0.17169553349323199</v>
      </c>
      <c r="I461">
        <v>0.15130247624784901</v>
      </c>
      <c r="J461">
        <v>0.21636984777221199</v>
      </c>
      <c r="K461">
        <v>0.24187355798955201</v>
      </c>
      <c r="L461">
        <v>847.21863879589102</v>
      </c>
      <c r="M461">
        <v>17.337913907098802</v>
      </c>
      <c r="N461">
        <v>50.128568303862501</v>
      </c>
      <c r="O461">
        <v>48.228917621876398</v>
      </c>
      <c r="P461">
        <v>-7.3968467827715004E-2</v>
      </c>
      <c r="Q461">
        <v>0.177013954020148</v>
      </c>
      <c r="R461">
        <v>0.98581652827724198</v>
      </c>
      <c r="S461" t="s">
        <v>4090</v>
      </c>
      <c r="T461" t="s">
        <v>7256</v>
      </c>
      <c r="U461" t="s">
        <v>7256</v>
      </c>
      <c r="V461" t="s">
        <v>7256</v>
      </c>
      <c r="W461">
        <v>6</v>
      </c>
      <c r="X461" t="s">
        <v>7717</v>
      </c>
      <c r="Y461">
        <v>0.43561207517454548</v>
      </c>
      <c r="Z461" t="str">
        <f>HYPERLINK("Melting_Curves/meltCurve_sp_P06727_APOA4_HUMAN_.pdf", "Melting_Curves/meltCurve_sp_P06727_APOA4_HUMAN_.pdf")</f>
        <v>Melting_Curves/meltCurve_sp_P06727_APOA4_HUMAN_.pdf</v>
      </c>
      <c r="AA461" t="s">
        <v>11334</v>
      </c>
      <c r="AB461" t="s">
        <v>14887</v>
      </c>
    </row>
    <row r="462" spans="1:28" x14ac:dyDescent="0.25">
      <c r="A462" t="s">
        <v>466</v>
      </c>
      <c r="B462">
        <v>0.98018197421672304</v>
      </c>
      <c r="C462">
        <v>0.94526865791233405</v>
      </c>
      <c r="D462">
        <v>0.81670020240001096</v>
      </c>
      <c r="E462">
        <v>0.53895193979116496</v>
      </c>
      <c r="F462">
        <v>0.27631744053398999</v>
      </c>
      <c r="G462">
        <v>0.144935964088626</v>
      </c>
      <c r="H462">
        <v>9.3619321730972996E-2</v>
      </c>
      <c r="I462">
        <v>7.8995578104574096E-2</v>
      </c>
      <c r="J462">
        <v>8.1098700931746703E-2</v>
      </c>
      <c r="K462">
        <v>6.9835993236821797E-2</v>
      </c>
      <c r="L462">
        <v>906.63660875408198</v>
      </c>
      <c r="M462">
        <v>18.210693950143401</v>
      </c>
      <c r="N462">
        <v>50.160261442224503</v>
      </c>
      <c r="O462">
        <v>49.1972419442572</v>
      </c>
      <c r="P462">
        <v>-8.6663983068509504E-2</v>
      </c>
      <c r="Q462">
        <v>6.3533083182001099E-2</v>
      </c>
      <c r="R462">
        <v>0.99890504043043804</v>
      </c>
      <c r="S462" t="s">
        <v>4091</v>
      </c>
      <c r="T462" t="s">
        <v>7256</v>
      </c>
      <c r="U462" t="s">
        <v>7256</v>
      </c>
      <c r="V462" t="s">
        <v>7256</v>
      </c>
      <c r="W462">
        <v>5</v>
      </c>
      <c r="X462" t="s">
        <v>7718</v>
      </c>
      <c r="Y462">
        <v>0.38466876960821111</v>
      </c>
      <c r="Z462" t="str">
        <f>HYPERLINK("Melting_Curves/meltCurve_sp_P06730_IF4E_HUMAN_.pdf", "Melting_Curves/meltCurve_sp_P06730_IF4E_HUMAN_.pdf")</f>
        <v>Melting_Curves/meltCurve_sp_P06730_IF4E_HUMAN_.pdf</v>
      </c>
      <c r="AA462" t="s">
        <v>11335</v>
      </c>
      <c r="AB462" t="s">
        <v>14888</v>
      </c>
    </row>
    <row r="463" spans="1:28" x14ac:dyDescent="0.25">
      <c r="A463" t="s">
        <v>467</v>
      </c>
      <c r="B463">
        <v>0.98018197421672304</v>
      </c>
      <c r="C463">
        <v>0.94441279160922198</v>
      </c>
      <c r="D463">
        <v>0.95395032835573501</v>
      </c>
      <c r="E463">
        <v>0.83819453445639003</v>
      </c>
      <c r="F463">
        <v>0.63672812964728298</v>
      </c>
      <c r="G463">
        <v>0.32208443796634401</v>
      </c>
      <c r="H463">
        <v>8.9673826947792204E-2</v>
      </c>
      <c r="I463">
        <v>4.4252589806389901E-2</v>
      </c>
      <c r="J463">
        <v>3.74721406803235E-2</v>
      </c>
      <c r="K463">
        <v>2.8849786597088398E-2</v>
      </c>
      <c r="L463">
        <v>1022.68155788059</v>
      </c>
      <c r="M463">
        <v>18.7630323929613</v>
      </c>
      <c r="N463">
        <v>54.505132050866997</v>
      </c>
      <c r="O463">
        <v>53.897322020298802</v>
      </c>
      <c r="P463">
        <v>-8.7035019750584405E-2</v>
      </c>
      <c r="Q463">
        <v>0</v>
      </c>
      <c r="R463">
        <v>0.99706625415865802</v>
      </c>
      <c r="S463" t="s">
        <v>4092</v>
      </c>
      <c r="T463" t="s">
        <v>7256</v>
      </c>
      <c r="U463" t="s">
        <v>7256</v>
      </c>
      <c r="V463" t="s">
        <v>7256</v>
      </c>
      <c r="W463">
        <v>34</v>
      </c>
      <c r="X463" t="s">
        <v>7719</v>
      </c>
      <c r="Y463">
        <v>0.49834093263082679</v>
      </c>
      <c r="Z463" t="str">
        <f>HYPERLINK("Melting_Curves/meltCurve_sp_P06733_ENOA_HUMAN_.pdf", "Melting_Curves/meltCurve_sp_P06733_ENOA_HUMAN_.pdf")</f>
        <v>Melting_Curves/meltCurve_sp_P06733_ENOA_HUMAN_.pdf</v>
      </c>
      <c r="AA463" t="s">
        <v>11336</v>
      </c>
      <c r="AB463" t="s">
        <v>14889</v>
      </c>
    </row>
    <row r="464" spans="1:28" x14ac:dyDescent="0.25">
      <c r="A464" t="s">
        <v>468</v>
      </c>
      <c r="B464">
        <v>0.98018197421672304</v>
      </c>
      <c r="C464">
        <v>0.976066877903079</v>
      </c>
      <c r="D464">
        <v>0.91821333707835695</v>
      </c>
      <c r="E464">
        <v>0.85568047056353702</v>
      </c>
      <c r="F464">
        <v>0.73780972709100701</v>
      </c>
      <c r="G464">
        <v>0.459421099849878</v>
      </c>
      <c r="H464">
        <v>0.124358834096659</v>
      </c>
      <c r="I464">
        <v>5.84584039745214E-2</v>
      </c>
      <c r="J464">
        <v>5.4226153632461298E-2</v>
      </c>
      <c r="K464">
        <v>4.3472676561734799E-2</v>
      </c>
      <c r="L464">
        <v>1014.62283445715</v>
      </c>
      <c r="M464">
        <v>18.167533557148399</v>
      </c>
      <c r="N464">
        <v>55.848121443737597</v>
      </c>
      <c r="O464">
        <v>55.1846624074362</v>
      </c>
      <c r="P464">
        <v>-8.2307271302523896E-2</v>
      </c>
      <c r="Q464">
        <v>0</v>
      </c>
      <c r="R464">
        <v>0.99174307308180598</v>
      </c>
      <c r="S464" t="s">
        <v>4093</v>
      </c>
      <c r="T464" t="s">
        <v>7256</v>
      </c>
      <c r="U464" t="s">
        <v>7256</v>
      </c>
      <c r="V464" t="s">
        <v>7256</v>
      </c>
      <c r="W464">
        <v>50</v>
      </c>
      <c r="X464" t="s">
        <v>7720</v>
      </c>
      <c r="Y464">
        <v>0.54296334047023243</v>
      </c>
      <c r="Z464" t="str">
        <f>HYPERLINK("Melting_Curves/meltCurve_sp_P06737_2_PYGL_HUMAN_.pdf", "Melting_Curves/meltCurve_sp_P06737_2_PYGL_HUMAN_.pdf")</f>
        <v>Melting_Curves/meltCurve_sp_P06737_2_PYGL_HUMAN_.pdf</v>
      </c>
      <c r="AA464" t="s">
        <v>11337</v>
      </c>
      <c r="AB464" t="s">
        <v>14890</v>
      </c>
    </row>
    <row r="465" spans="1:28" x14ac:dyDescent="0.25">
      <c r="A465" t="s">
        <v>469</v>
      </c>
      <c r="B465">
        <v>0.98018197421672304</v>
      </c>
      <c r="C465">
        <v>0.98892897138554803</v>
      </c>
      <c r="D465">
        <v>0.97681395343028998</v>
      </c>
      <c r="E465">
        <v>0.91534848898259602</v>
      </c>
      <c r="F465">
        <v>0.71968847968254901</v>
      </c>
      <c r="G465">
        <v>0.31127942812515702</v>
      </c>
      <c r="H465">
        <v>5.0137083576017899E-2</v>
      </c>
      <c r="I465">
        <v>3.32165980611498E-2</v>
      </c>
      <c r="J465">
        <v>3.7477942660572403E-2</v>
      </c>
      <c r="K465">
        <v>2.3363071820140201E-2</v>
      </c>
      <c r="L465">
        <v>1387.58078372311</v>
      </c>
      <c r="M465">
        <v>25.248194970908699</v>
      </c>
      <c r="N465">
        <v>55.001695672823097</v>
      </c>
      <c r="O465">
        <v>54.616336594320799</v>
      </c>
      <c r="P465">
        <v>-0.114414770846771</v>
      </c>
      <c r="Q465">
        <v>1.00147557205523E-2</v>
      </c>
      <c r="R465">
        <v>0.99850718737809097</v>
      </c>
      <c r="S465" t="s">
        <v>4094</v>
      </c>
      <c r="T465" t="s">
        <v>7256</v>
      </c>
      <c r="U465" t="s">
        <v>7256</v>
      </c>
      <c r="V465" t="s">
        <v>7256</v>
      </c>
      <c r="W465">
        <v>31</v>
      </c>
      <c r="X465" t="s">
        <v>7721</v>
      </c>
      <c r="Y465">
        <v>0.51261158474638091</v>
      </c>
      <c r="Z465" t="str">
        <f>HYPERLINK("Melting_Curves/meltCurve_sp_P06744_G6PI_HUMAN_.pdf", "Melting_Curves/meltCurve_sp_P06744_G6PI_HUMAN_.pdf")</f>
        <v>Melting_Curves/meltCurve_sp_P06744_G6PI_HUMAN_.pdf</v>
      </c>
      <c r="AA465" t="s">
        <v>11338</v>
      </c>
      <c r="AB465" t="s">
        <v>14891</v>
      </c>
    </row>
    <row r="466" spans="1:28" x14ac:dyDescent="0.25">
      <c r="A466" t="s">
        <v>470</v>
      </c>
      <c r="B466">
        <v>0.98018197421672304</v>
      </c>
      <c r="C466">
        <v>1.0626500226903299</v>
      </c>
      <c r="D466">
        <v>0.94263569546636705</v>
      </c>
      <c r="E466">
        <v>0.86720479904408099</v>
      </c>
      <c r="F466">
        <v>0.84368111176054905</v>
      </c>
      <c r="G466">
        <v>0.69760317266546001</v>
      </c>
      <c r="H466">
        <v>0.60989553456225898</v>
      </c>
      <c r="I466">
        <v>0.72734655936008097</v>
      </c>
      <c r="J466">
        <v>0.76548309810992998</v>
      </c>
      <c r="K466">
        <v>0.76196416237860398</v>
      </c>
      <c r="L466">
        <v>1158.22138352708</v>
      </c>
      <c r="M466">
        <v>22.7816534269793</v>
      </c>
      <c r="O466">
        <v>50.4532107512089</v>
      </c>
      <c r="P466">
        <v>-3.2482840499754799E-2</v>
      </c>
      <c r="Q466">
        <v>0.71225403897756601</v>
      </c>
      <c r="R466">
        <v>0.84561124241213304</v>
      </c>
      <c r="S466" t="s">
        <v>4095</v>
      </c>
      <c r="T466" t="s">
        <v>7256</v>
      </c>
      <c r="U466" t="s">
        <v>7256</v>
      </c>
      <c r="V466" t="s">
        <v>7256</v>
      </c>
      <c r="W466">
        <v>17</v>
      </c>
      <c r="X466" t="s">
        <v>7722</v>
      </c>
      <c r="Y466">
        <v>0.81934055193445388</v>
      </c>
      <c r="Z466" t="str">
        <f>HYPERLINK("Melting_Curves/meltCurve_sp_P06748_NPM_HUMAN_.pdf", "Melting_Curves/meltCurve_sp_P06748_NPM_HUMAN_.pdf")</f>
        <v>Melting_Curves/meltCurve_sp_P06748_NPM_HUMAN_.pdf</v>
      </c>
      <c r="AA466" t="s">
        <v>11339</v>
      </c>
      <c r="AB466" t="s">
        <v>14892</v>
      </c>
    </row>
    <row r="467" spans="1:28" x14ac:dyDescent="0.25">
      <c r="A467" t="s">
        <v>471</v>
      </c>
      <c r="B467">
        <v>0.98018197421672304</v>
      </c>
      <c r="C467">
        <v>0.94037797337474405</v>
      </c>
      <c r="D467">
        <v>0.90379960029397899</v>
      </c>
      <c r="E467">
        <v>0.79098997248978997</v>
      </c>
      <c r="F467">
        <v>0.78084080066051198</v>
      </c>
      <c r="G467">
        <v>0.61032585478595403</v>
      </c>
      <c r="H467">
        <v>0.54386808399455</v>
      </c>
      <c r="I467">
        <v>0.58321739905247605</v>
      </c>
      <c r="J467">
        <v>0.65194891698597202</v>
      </c>
      <c r="K467">
        <v>0.76946974509771104</v>
      </c>
      <c r="L467">
        <v>807.428573865977</v>
      </c>
      <c r="M467">
        <v>16.424890285916302</v>
      </c>
      <c r="O467">
        <v>48.447473504441497</v>
      </c>
      <c r="P467">
        <v>-3.1374723385523801E-2</v>
      </c>
      <c r="Q467">
        <v>0.62984993192645</v>
      </c>
      <c r="R467">
        <v>0.81258642939221604</v>
      </c>
      <c r="S467" t="s">
        <v>4096</v>
      </c>
      <c r="T467" t="s">
        <v>7256</v>
      </c>
      <c r="U467" t="s">
        <v>7256</v>
      </c>
      <c r="V467" t="s">
        <v>7256</v>
      </c>
      <c r="W467">
        <v>35</v>
      </c>
      <c r="X467" t="s">
        <v>7723</v>
      </c>
      <c r="Y467">
        <v>0.75050065484232009</v>
      </c>
      <c r="Z467" t="str">
        <f>HYPERLINK("Melting_Curves/meltCurve_sp_P06753_2_TPM3_HUMAN_.pdf", "Melting_Curves/meltCurve_sp_P06753_2_TPM3_HUMAN_.pdf")</f>
        <v>Melting_Curves/meltCurve_sp_P06753_2_TPM3_HUMAN_.pdf</v>
      </c>
      <c r="AA467" t="s">
        <v>11340</v>
      </c>
      <c r="AB467" t="s">
        <v>14893</v>
      </c>
    </row>
    <row r="468" spans="1:28" x14ac:dyDescent="0.25">
      <c r="A468" t="s">
        <v>472</v>
      </c>
      <c r="B468">
        <v>0.98018197421672304</v>
      </c>
      <c r="C468">
        <v>0.86385573812856797</v>
      </c>
      <c r="D468">
        <v>0.702646049040062</v>
      </c>
      <c r="E468">
        <v>0.58887272600955898</v>
      </c>
      <c r="F468">
        <v>0.57082372052352204</v>
      </c>
      <c r="G468">
        <v>0.55427409082787504</v>
      </c>
      <c r="H468">
        <v>0.43552602790553402</v>
      </c>
      <c r="I468">
        <v>0.44473473418142101</v>
      </c>
      <c r="J468">
        <v>0.46076419648115502</v>
      </c>
      <c r="K468">
        <v>0.40089873844907398</v>
      </c>
      <c r="L468">
        <v>557.09655843282405</v>
      </c>
      <c r="M468">
        <v>11.9038689140559</v>
      </c>
      <c r="N468">
        <v>55.9844878845811</v>
      </c>
      <c r="O468">
        <v>45.5375187718193</v>
      </c>
      <c r="P468">
        <v>-3.73204878695075E-2</v>
      </c>
      <c r="Q468">
        <v>0.42907305923991301</v>
      </c>
      <c r="R468">
        <v>0.96453782269719401</v>
      </c>
      <c r="S468" t="s">
        <v>4097</v>
      </c>
      <c r="T468" t="s">
        <v>7256</v>
      </c>
      <c r="U468" t="s">
        <v>7256</v>
      </c>
      <c r="V468" t="s">
        <v>7256</v>
      </c>
      <c r="W468">
        <v>29</v>
      </c>
      <c r="X468" t="s">
        <v>7724</v>
      </c>
      <c r="Y468">
        <v>0.58317414526231914</v>
      </c>
      <c r="Z468" t="str">
        <f>HYPERLINK("Melting_Curves/meltCurve_sp_P06753_5_TPM3_HUMAN_.pdf", "Melting_Curves/meltCurve_sp_P06753_5_TPM3_HUMAN_.pdf")</f>
        <v>Melting_Curves/meltCurve_sp_P06753_5_TPM3_HUMAN_.pdf</v>
      </c>
      <c r="AA468" t="s">
        <v>11340</v>
      </c>
      <c r="AB468" t="s">
        <v>14894</v>
      </c>
    </row>
    <row r="469" spans="1:28" x14ac:dyDescent="0.25">
      <c r="A469" t="s">
        <v>473</v>
      </c>
      <c r="B469">
        <v>0.98018197421672304</v>
      </c>
      <c r="C469">
        <v>0.90956790846370505</v>
      </c>
      <c r="D469">
        <v>0.78293740296749004</v>
      </c>
      <c r="E469">
        <v>0.493753177145621</v>
      </c>
      <c r="F469">
        <v>0.28839181514863999</v>
      </c>
      <c r="G469">
        <v>0.157059265042339</v>
      </c>
      <c r="H469">
        <v>9.0787830830174401E-2</v>
      </c>
      <c r="I469">
        <v>5.6568101160107E-2</v>
      </c>
      <c r="J469">
        <v>7.2875785504629698E-2</v>
      </c>
      <c r="K469">
        <v>4.1884360173200998E-2</v>
      </c>
      <c r="L469">
        <v>767.27110992205996</v>
      </c>
      <c r="M469">
        <v>15.4755452133713</v>
      </c>
      <c r="N469">
        <v>49.842177894029099</v>
      </c>
      <c r="O469">
        <v>48.773844444904803</v>
      </c>
      <c r="P469">
        <v>-7.6224394594596706E-2</v>
      </c>
      <c r="Q469">
        <v>3.9148709486495598E-2</v>
      </c>
      <c r="R469">
        <v>0.99939673982599897</v>
      </c>
      <c r="S469" t="s">
        <v>4098</v>
      </c>
      <c r="T469" t="s">
        <v>7256</v>
      </c>
      <c r="U469" t="s">
        <v>7256</v>
      </c>
      <c r="V469" t="s">
        <v>7256</v>
      </c>
      <c r="W469">
        <v>19</v>
      </c>
      <c r="X469" t="s">
        <v>7725</v>
      </c>
      <c r="Y469">
        <v>0.36790964637891682</v>
      </c>
      <c r="Z469" t="str">
        <f>HYPERLINK("Melting_Curves/meltCurve_sp_P07099_HYEP_HUMAN_.pdf", "Melting_Curves/meltCurve_sp_P07099_HYEP_HUMAN_.pdf")</f>
        <v>Melting_Curves/meltCurve_sp_P07099_HYEP_HUMAN_.pdf</v>
      </c>
      <c r="AA469" t="s">
        <v>11341</v>
      </c>
      <c r="AB469" t="s">
        <v>14895</v>
      </c>
    </row>
    <row r="470" spans="1:28" x14ac:dyDescent="0.25">
      <c r="A470" t="s">
        <v>474</v>
      </c>
      <c r="B470">
        <v>0.98018197421672304</v>
      </c>
      <c r="C470">
        <v>0.99581981808415998</v>
      </c>
      <c r="D470">
        <v>0.976907142312057</v>
      </c>
      <c r="E470">
        <v>0.87387216419758396</v>
      </c>
      <c r="F470">
        <v>0.99181024788726202</v>
      </c>
      <c r="G470">
        <v>0.84178345954739098</v>
      </c>
      <c r="H470">
        <v>0.66202553374227802</v>
      </c>
      <c r="I470">
        <v>0.78216238864967802</v>
      </c>
      <c r="J470">
        <v>0.79711095480995697</v>
      </c>
      <c r="K470">
        <v>1.3133082491564001</v>
      </c>
      <c r="L470">
        <v>11558.473124063299</v>
      </c>
      <c r="M470">
        <v>250</v>
      </c>
      <c r="O470">
        <v>46.230923528484702</v>
      </c>
      <c r="P470">
        <v>-0.14251570119547399</v>
      </c>
      <c r="Q470">
        <v>0.89458185680564695</v>
      </c>
      <c r="R470">
        <v>5.9356353087050999E-2</v>
      </c>
      <c r="S470" t="s">
        <v>4099</v>
      </c>
      <c r="T470" t="s">
        <v>7256</v>
      </c>
      <c r="U470" t="s">
        <v>7256</v>
      </c>
      <c r="V470" t="s">
        <v>7256</v>
      </c>
      <c r="W470">
        <v>6</v>
      </c>
      <c r="X470" t="s">
        <v>7726</v>
      </c>
      <c r="Y470">
        <v>0.9164959228029349</v>
      </c>
      <c r="Z470" t="str">
        <f>HYPERLINK("Melting_Curves/meltCurve_sp_P07108_ACBP_HUMAN_.pdf", "Melting_Curves/meltCurve_sp_P07108_ACBP_HUMAN_.pdf")</f>
        <v>Melting_Curves/meltCurve_sp_P07108_ACBP_HUMAN_.pdf</v>
      </c>
      <c r="AA470" t="s">
        <v>11342</v>
      </c>
      <c r="AB470" t="s">
        <v>14896</v>
      </c>
    </row>
    <row r="471" spans="1:28" x14ac:dyDescent="0.25">
      <c r="A471" t="s">
        <v>475</v>
      </c>
      <c r="B471">
        <v>0.98018197421672304</v>
      </c>
      <c r="C471">
        <v>1.00422487005234</v>
      </c>
      <c r="D471">
        <v>0.95703046625903299</v>
      </c>
      <c r="E471">
        <v>0.76762481020567197</v>
      </c>
      <c r="F471">
        <v>0.92226285373696404</v>
      </c>
      <c r="G471">
        <v>0.84053750723111897</v>
      </c>
      <c r="H471">
        <v>0.605778661503517</v>
      </c>
      <c r="I471">
        <v>0.62910684963613905</v>
      </c>
      <c r="J471">
        <v>0.65009206385482499</v>
      </c>
      <c r="K471">
        <v>0.78733599411932198</v>
      </c>
      <c r="L471">
        <v>616.52127115011604</v>
      </c>
      <c r="M471">
        <v>11.690246787578699</v>
      </c>
      <c r="O471">
        <v>51.265784218070102</v>
      </c>
      <c r="P471">
        <v>-1.9587652739280599E-2</v>
      </c>
      <c r="Q471">
        <v>0.65649701156893303</v>
      </c>
      <c r="R471">
        <v>0.70275939644936203</v>
      </c>
      <c r="S471" t="s">
        <v>4100</v>
      </c>
      <c r="T471" t="s">
        <v>7256</v>
      </c>
      <c r="U471" t="s">
        <v>7256</v>
      </c>
      <c r="V471" t="s">
        <v>7256</v>
      </c>
      <c r="W471">
        <v>15</v>
      </c>
      <c r="X471" t="s">
        <v>7727</v>
      </c>
      <c r="Y471">
        <v>0.81263094902761168</v>
      </c>
      <c r="Z471" t="str">
        <f>HYPERLINK("Melting_Curves/meltCurve_sp_P07148_FABPL_HUMAN_.pdf", "Melting_Curves/meltCurve_sp_P07148_FABPL_HUMAN_.pdf")</f>
        <v>Melting_Curves/meltCurve_sp_P07148_FABPL_HUMAN_.pdf</v>
      </c>
      <c r="AA471" t="s">
        <v>11343</v>
      </c>
      <c r="AB471" t="s">
        <v>14897</v>
      </c>
    </row>
    <row r="472" spans="1:28" x14ac:dyDescent="0.25">
      <c r="A472" t="s">
        <v>476</v>
      </c>
      <c r="B472">
        <v>0.98018197421672304</v>
      </c>
      <c r="C472">
        <v>0.96670449506748801</v>
      </c>
      <c r="D472">
        <v>0.94927137826552599</v>
      </c>
      <c r="E472">
        <v>0.90495721300568999</v>
      </c>
      <c r="F472">
        <v>0.80454609018711798</v>
      </c>
      <c r="G472">
        <v>0.70030830207717598</v>
      </c>
      <c r="H472">
        <v>0.365066589796114</v>
      </c>
      <c r="I472">
        <v>0.13805247686049699</v>
      </c>
      <c r="J472">
        <v>5.0865423488128003E-2</v>
      </c>
      <c r="K472">
        <v>3.28904687428501E-2</v>
      </c>
      <c r="L472">
        <v>1078.41039068597</v>
      </c>
      <c r="M472">
        <v>18.359308176538601</v>
      </c>
      <c r="N472">
        <v>58.739163630119897</v>
      </c>
      <c r="O472">
        <v>58.055579683479102</v>
      </c>
      <c r="P472">
        <v>-7.9062803488513397E-2</v>
      </c>
      <c r="Q472">
        <v>0</v>
      </c>
      <c r="R472">
        <v>0.98530982145477697</v>
      </c>
      <c r="S472" t="s">
        <v>4101</v>
      </c>
      <c r="T472" t="s">
        <v>7256</v>
      </c>
      <c r="U472" t="s">
        <v>7256</v>
      </c>
      <c r="V472" t="s">
        <v>7256</v>
      </c>
      <c r="W472">
        <v>10</v>
      </c>
      <c r="X472" t="s">
        <v>7728</v>
      </c>
      <c r="Y472">
        <v>0.63563763908344983</v>
      </c>
      <c r="Z472" t="str">
        <f>HYPERLINK("Melting_Curves/meltCurve_sp_P07195_LDHB_HUMAN_.pdf", "Melting_Curves/meltCurve_sp_P07195_LDHB_HUMAN_.pdf")</f>
        <v>Melting_Curves/meltCurve_sp_P07195_LDHB_HUMAN_.pdf</v>
      </c>
      <c r="AA472" t="s">
        <v>11344</v>
      </c>
      <c r="AB472" t="s">
        <v>14898</v>
      </c>
    </row>
    <row r="473" spans="1:28" x14ac:dyDescent="0.25">
      <c r="A473" t="s">
        <v>477</v>
      </c>
      <c r="B473">
        <v>0.98018197421672304</v>
      </c>
      <c r="C473">
        <v>0.954717650106787</v>
      </c>
      <c r="D473">
        <v>0.95600624295172998</v>
      </c>
      <c r="E473">
        <v>0.73006207703566095</v>
      </c>
      <c r="F473">
        <v>0.47147640479437902</v>
      </c>
      <c r="G473">
        <v>0.35098246749784301</v>
      </c>
      <c r="H473">
        <v>0.228663264945453</v>
      </c>
      <c r="I473">
        <v>0.21682792165321099</v>
      </c>
      <c r="J473">
        <v>0.20720944506540201</v>
      </c>
      <c r="K473">
        <v>0.13674550578074701</v>
      </c>
      <c r="L473">
        <v>914.483002857972</v>
      </c>
      <c r="M473">
        <v>17.617624654585999</v>
      </c>
      <c r="N473">
        <v>53.189840210755001</v>
      </c>
      <c r="O473">
        <v>51.252333935616697</v>
      </c>
      <c r="P473">
        <v>-7.1068041665384496E-2</v>
      </c>
      <c r="Q473">
        <v>0.17305337164685999</v>
      </c>
      <c r="R473">
        <v>0.99293035546567698</v>
      </c>
      <c r="S473" t="s">
        <v>4102</v>
      </c>
      <c r="T473" t="s">
        <v>7256</v>
      </c>
      <c r="U473" t="s">
        <v>7256</v>
      </c>
      <c r="V473" t="s">
        <v>7256</v>
      </c>
      <c r="W473">
        <v>11</v>
      </c>
      <c r="X473" t="s">
        <v>7729</v>
      </c>
      <c r="Y473">
        <v>0.5155687130983746</v>
      </c>
      <c r="Z473" t="str">
        <f>HYPERLINK("Melting_Curves/meltCurve_sp_P07203_GPX1_HUMAN_.pdf", "Melting_Curves/meltCurve_sp_P07203_GPX1_HUMAN_.pdf")</f>
        <v>Melting_Curves/meltCurve_sp_P07203_GPX1_HUMAN_.pdf</v>
      </c>
      <c r="AA473" t="s">
        <v>11345</v>
      </c>
      <c r="AB473" t="s">
        <v>14899</v>
      </c>
    </row>
    <row r="474" spans="1:28" x14ac:dyDescent="0.25">
      <c r="A474" t="s">
        <v>478</v>
      </c>
      <c r="B474">
        <v>0.98018197421672304</v>
      </c>
      <c r="C474">
        <v>1.00789160359643</v>
      </c>
      <c r="D474">
        <v>0.98321115458047603</v>
      </c>
      <c r="E474">
        <v>0.894545279962072</v>
      </c>
      <c r="F474">
        <v>0.88747941591971802</v>
      </c>
      <c r="G474">
        <v>0.78994319761209997</v>
      </c>
      <c r="H474">
        <v>0.56357491294570305</v>
      </c>
      <c r="I474">
        <v>0.52950400660271602</v>
      </c>
      <c r="J474">
        <v>0.47998037955967199</v>
      </c>
      <c r="K474">
        <v>0.47896985865700498</v>
      </c>
      <c r="L474">
        <v>839.087914839836</v>
      </c>
      <c r="M474">
        <v>14.486464371930699</v>
      </c>
      <c r="N474">
        <v>65.980919692233797</v>
      </c>
      <c r="O474">
        <v>56.8520130106251</v>
      </c>
      <c r="P474">
        <v>-3.7284509160274003E-2</v>
      </c>
      <c r="Q474">
        <v>0.41477676214590098</v>
      </c>
      <c r="R474">
        <v>0.98249361672364699</v>
      </c>
      <c r="S474" t="s">
        <v>4103</v>
      </c>
      <c r="T474" t="s">
        <v>7256</v>
      </c>
      <c r="U474" t="s">
        <v>7256</v>
      </c>
      <c r="V474" t="s">
        <v>7256</v>
      </c>
      <c r="W474">
        <v>41</v>
      </c>
      <c r="X474" t="s">
        <v>7730</v>
      </c>
      <c r="Y474">
        <v>0.77241671415805535</v>
      </c>
      <c r="Z474" t="str">
        <f>HYPERLINK("Melting_Curves/meltCurve_sp_P07237_PDIA1_HUMAN_.pdf", "Melting_Curves/meltCurve_sp_P07237_PDIA1_HUMAN_.pdf")</f>
        <v>Melting_Curves/meltCurve_sp_P07237_PDIA1_HUMAN_.pdf</v>
      </c>
      <c r="AA474" t="s">
        <v>11346</v>
      </c>
      <c r="AB474" t="s">
        <v>14900</v>
      </c>
    </row>
    <row r="475" spans="1:28" x14ac:dyDescent="0.25">
      <c r="A475" t="s">
        <v>479</v>
      </c>
      <c r="B475">
        <v>0.98018197421672304</v>
      </c>
      <c r="C475">
        <v>0.76126157614883905</v>
      </c>
      <c r="D475">
        <v>0.83210845815860202</v>
      </c>
      <c r="E475">
        <v>0.69726194677668396</v>
      </c>
      <c r="F475">
        <v>0.62118645700002395</v>
      </c>
      <c r="G475">
        <v>0.44135476733286599</v>
      </c>
      <c r="H475">
        <v>0.45083078790887099</v>
      </c>
      <c r="I475">
        <v>0.48513715799747298</v>
      </c>
      <c r="J475">
        <v>0.55506688142210403</v>
      </c>
      <c r="K475">
        <v>0.35064916164354598</v>
      </c>
      <c r="L475">
        <v>437.36321242672602</v>
      </c>
      <c r="M475">
        <v>8.9163053979870206</v>
      </c>
      <c r="N475">
        <v>59.010253403675001</v>
      </c>
      <c r="O475">
        <v>46.772886177220897</v>
      </c>
      <c r="P475">
        <v>-2.91428329915242E-2</v>
      </c>
      <c r="Q475">
        <v>0.38895334121050401</v>
      </c>
      <c r="R475">
        <v>0.87146622486832503</v>
      </c>
      <c r="S475" t="s">
        <v>4104</v>
      </c>
      <c r="T475" t="s">
        <v>7256</v>
      </c>
      <c r="U475" t="s">
        <v>7256</v>
      </c>
      <c r="V475" t="s">
        <v>7256</v>
      </c>
      <c r="W475">
        <v>3</v>
      </c>
      <c r="X475" t="s">
        <v>7731</v>
      </c>
      <c r="Y475">
        <v>0.60829806158269217</v>
      </c>
      <c r="Z475" t="str">
        <f>HYPERLINK("Melting_Curves/meltCurve_sp_P07305_2_H10_HUMAN_.pdf", "Melting_Curves/meltCurve_sp_P07305_2_H10_HUMAN_.pdf")</f>
        <v>Melting_Curves/meltCurve_sp_P07305_2_H10_HUMAN_.pdf</v>
      </c>
      <c r="AA475" t="s">
        <v>11347</v>
      </c>
      <c r="AB475" t="s">
        <v>14901</v>
      </c>
    </row>
    <row r="476" spans="1:28" x14ac:dyDescent="0.25">
      <c r="A476" t="s">
        <v>480</v>
      </c>
      <c r="B476">
        <v>0.98018197421672304</v>
      </c>
      <c r="C476">
        <v>0.71334093959276201</v>
      </c>
      <c r="D476">
        <v>0.89494396903834506</v>
      </c>
      <c r="E476">
        <v>0.77017815985320204</v>
      </c>
      <c r="F476">
        <v>0.82833236403458999</v>
      </c>
      <c r="G476">
        <v>0.72729927138367101</v>
      </c>
      <c r="H476">
        <v>0.38292173808723201</v>
      </c>
      <c r="I476">
        <v>0.34410865860995599</v>
      </c>
      <c r="J476">
        <v>0.248852213550355</v>
      </c>
      <c r="K476">
        <v>0.26155733046809299</v>
      </c>
      <c r="L476">
        <v>457.68934952306</v>
      </c>
      <c r="M476">
        <v>7.66310799758452</v>
      </c>
      <c r="N476">
        <v>59.726334230782498</v>
      </c>
      <c r="O476">
        <v>56.066843439939397</v>
      </c>
      <c r="P476">
        <v>-3.4214878633610099E-2</v>
      </c>
      <c r="Q476">
        <v>0</v>
      </c>
      <c r="R476">
        <v>0.85649481292935603</v>
      </c>
      <c r="S476" t="s">
        <v>4105</v>
      </c>
      <c r="T476" t="s">
        <v>7256</v>
      </c>
      <c r="U476" t="s">
        <v>7256</v>
      </c>
      <c r="V476" t="s">
        <v>7256</v>
      </c>
      <c r="W476">
        <v>1</v>
      </c>
      <c r="X476" t="s">
        <v>7732</v>
      </c>
      <c r="Y476">
        <v>0.64274510766838044</v>
      </c>
      <c r="Z476" t="str">
        <f>HYPERLINK("Melting_Curves/meltCurve_sp_P07311_ACYP1_HUMAN_.pdf", "Melting_Curves/meltCurve_sp_P07311_ACYP1_HUMAN_.pdf")</f>
        <v>Melting_Curves/meltCurve_sp_P07311_ACYP1_HUMAN_.pdf</v>
      </c>
      <c r="AA476" t="s">
        <v>11348</v>
      </c>
      <c r="AB476" t="s">
        <v>14902</v>
      </c>
    </row>
    <row r="477" spans="1:28" x14ac:dyDescent="0.25">
      <c r="A477" t="s">
        <v>481</v>
      </c>
      <c r="B477">
        <v>0.98018197421672304</v>
      </c>
      <c r="C477">
        <v>1.0870355227333099</v>
      </c>
      <c r="D477">
        <v>0.90493216562305101</v>
      </c>
      <c r="E477">
        <v>0.81488544940687901</v>
      </c>
      <c r="F477">
        <v>0.77043120834325696</v>
      </c>
      <c r="G477">
        <v>0.64720300264111097</v>
      </c>
      <c r="H477">
        <v>0.39417123678494498</v>
      </c>
      <c r="I477">
        <v>0.36762294565428699</v>
      </c>
      <c r="J477">
        <v>0.19214577862277199</v>
      </c>
      <c r="K477">
        <v>0.11681577550343999</v>
      </c>
      <c r="L477">
        <v>627.99613352802305</v>
      </c>
      <c r="M477">
        <v>10.622516618162701</v>
      </c>
      <c r="N477">
        <v>59.119315086916501</v>
      </c>
      <c r="O477">
        <v>57.139571574406297</v>
      </c>
      <c r="P477">
        <v>-4.6494117088431201E-2</v>
      </c>
      <c r="Q477">
        <v>0</v>
      </c>
      <c r="R477">
        <v>0.97443942935405803</v>
      </c>
      <c r="S477" t="s">
        <v>4106</v>
      </c>
      <c r="T477" t="s">
        <v>7256</v>
      </c>
      <c r="U477" t="s">
        <v>7256</v>
      </c>
      <c r="V477" t="s">
        <v>7256</v>
      </c>
      <c r="W477">
        <v>24</v>
      </c>
      <c r="X477" t="s">
        <v>7733</v>
      </c>
      <c r="Y477">
        <v>0.6416661701163604</v>
      </c>
      <c r="Z477" t="str">
        <f>HYPERLINK("Melting_Curves/meltCurve_sp_P07327_ADH1A_HUMAN_.pdf", "Melting_Curves/meltCurve_sp_P07327_ADH1A_HUMAN_.pdf")</f>
        <v>Melting_Curves/meltCurve_sp_P07327_ADH1A_HUMAN_.pdf</v>
      </c>
      <c r="AA477" t="s">
        <v>11349</v>
      </c>
      <c r="AB477" t="s">
        <v>14903</v>
      </c>
    </row>
    <row r="478" spans="1:28" x14ac:dyDescent="0.25">
      <c r="A478" t="s">
        <v>482</v>
      </c>
      <c r="B478">
        <v>0.98018197421672304</v>
      </c>
      <c r="C478">
        <v>0.80158047766360396</v>
      </c>
      <c r="D478">
        <v>0.67286694637679301</v>
      </c>
      <c r="E478">
        <v>0.36835312660143199</v>
      </c>
      <c r="F478">
        <v>0.14960720689579099</v>
      </c>
      <c r="G478">
        <v>6.5325011079506903E-2</v>
      </c>
      <c r="H478">
        <v>3.9023403986237201E-2</v>
      </c>
      <c r="I478">
        <v>4.0376323592574703E-2</v>
      </c>
      <c r="J478">
        <v>2.9995747213871E-2</v>
      </c>
      <c r="K478">
        <v>2.4381523947284E-2</v>
      </c>
      <c r="L478">
        <v>745.13396560380704</v>
      </c>
      <c r="M478">
        <v>15.597192584996099</v>
      </c>
      <c r="N478">
        <v>47.834507084541997</v>
      </c>
      <c r="O478">
        <v>47.008962998799298</v>
      </c>
      <c r="P478">
        <v>-8.2139533640661302E-2</v>
      </c>
      <c r="Q478">
        <v>9.8324797970224097E-3</v>
      </c>
      <c r="R478">
        <v>0.99435138030861903</v>
      </c>
      <c r="S478" t="s">
        <v>4107</v>
      </c>
      <c r="T478" t="s">
        <v>7256</v>
      </c>
      <c r="U478" t="s">
        <v>7256</v>
      </c>
      <c r="V478" t="s">
        <v>7256</v>
      </c>
      <c r="W478">
        <v>2</v>
      </c>
      <c r="X478" t="s">
        <v>7734</v>
      </c>
      <c r="Y478">
        <v>0.29021888565742832</v>
      </c>
      <c r="Z478" t="str">
        <f>HYPERLINK("Melting_Curves/meltCurve_sp_P07357_CO8A_HUMAN_.pdf", "Melting_Curves/meltCurve_sp_P07357_CO8A_HUMAN_.pdf")</f>
        <v>Melting_Curves/meltCurve_sp_P07357_CO8A_HUMAN_.pdf</v>
      </c>
      <c r="AA478" t="s">
        <v>11350</v>
      </c>
      <c r="AB478" t="s">
        <v>14904</v>
      </c>
    </row>
    <row r="479" spans="1:28" x14ac:dyDescent="0.25">
      <c r="A479" t="s">
        <v>483</v>
      </c>
      <c r="B479">
        <v>0.98018197421672304</v>
      </c>
      <c r="C479">
        <v>0.96307187251446302</v>
      </c>
      <c r="D479">
        <v>0.88077965093301602</v>
      </c>
      <c r="E479">
        <v>0.80181635737804902</v>
      </c>
      <c r="F479">
        <v>0.50500205168220702</v>
      </c>
      <c r="G479">
        <v>0.33883139996845701</v>
      </c>
      <c r="H479">
        <v>0.31187887441145901</v>
      </c>
      <c r="I479">
        <v>0.24825135803724899</v>
      </c>
      <c r="J479">
        <v>0.15918083115770901</v>
      </c>
      <c r="K479">
        <v>7.0876570870002598E-2</v>
      </c>
      <c r="L479">
        <v>652.04681483903198</v>
      </c>
      <c r="M479">
        <v>12.1712595466289</v>
      </c>
      <c r="N479">
        <v>54.385426800500099</v>
      </c>
      <c r="O479">
        <v>52.188019871998002</v>
      </c>
      <c r="P479">
        <v>-5.3468635242290799E-2</v>
      </c>
      <c r="Q479">
        <v>8.3156316612081699E-2</v>
      </c>
      <c r="R479">
        <v>0.98005573036831695</v>
      </c>
      <c r="S479" t="s">
        <v>4108</v>
      </c>
      <c r="T479" t="s">
        <v>7256</v>
      </c>
      <c r="U479" t="s">
        <v>7256</v>
      </c>
      <c r="V479" t="s">
        <v>7256</v>
      </c>
      <c r="W479">
        <v>20</v>
      </c>
      <c r="X479" t="s">
        <v>7735</v>
      </c>
      <c r="Y479">
        <v>0.52249775447064561</v>
      </c>
      <c r="Z479" t="str">
        <f>HYPERLINK("Melting_Curves/meltCurve_sp_P07384_CAN1_HUMAN_.pdf", "Melting_Curves/meltCurve_sp_P07384_CAN1_HUMAN_.pdf")</f>
        <v>Melting_Curves/meltCurve_sp_P07384_CAN1_HUMAN_.pdf</v>
      </c>
      <c r="AA479" t="s">
        <v>11351</v>
      </c>
      <c r="AB479" t="s">
        <v>14905</v>
      </c>
    </row>
    <row r="480" spans="1:28" x14ac:dyDescent="0.25">
      <c r="A480" t="s">
        <v>484</v>
      </c>
      <c r="B480">
        <v>0.98018197421672304</v>
      </c>
      <c r="C480">
        <v>0.95574550454519702</v>
      </c>
      <c r="D480">
        <v>0.94466763091666195</v>
      </c>
      <c r="E480">
        <v>0.80017470713322603</v>
      </c>
      <c r="F480">
        <v>1.1314324917512999</v>
      </c>
      <c r="G480">
        <v>1.0295580207514401</v>
      </c>
      <c r="H480">
        <v>0.82247228831741703</v>
      </c>
      <c r="I480">
        <v>0.96630662534120704</v>
      </c>
      <c r="J480">
        <v>1.80987656298308</v>
      </c>
      <c r="K480">
        <v>2.4930223365339201</v>
      </c>
      <c r="L480">
        <v>15000</v>
      </c>
      <c r="M480">
        <v>230.154372567416</v>
      </c>
      <c r="O480">
        <v>65.168727009360296</v>
      </c>
      <c r="P480">
        <v>0.44145862592686402</v>
      </c>
      <c r="Q480">
        <v>1.5</v>
      </c>
      <c r="R480">
        <v>0.54766787320872701</v>
      </c>
      <c r="S480" t="s">
        <v>4109</v>
      </c>
      <c r="T480" t="s">
        <v>7256</v>
      </c>
      <c r="U480" t="s">
        <v>7256</v>
      </c>
      <c r="V480" t="s">
        <v>7256</v>
      </c>
      <c r="W480">
        <v>4</v>
      </c>
      <c r="X480" t="s">
        <v>7736</v>
      </c>
      <c r="Y480">
        <v>1.0803717254383911</v>
      </c>
      <c r="Z480" t="str">
        <f>HYPERLINK("Melting_Curves/meltCurve_sp_P07438_MT1B_HUMAN_.pdf", "Melting_Curves/meltCurve_sp_P07438_MT1B_HUMAN_.pdf")</f>
        <v>Melting_Curves/meltCurve_sp_P07438_MT1B_HUMAN_.pdf</v>
      </c>
      <c r="AA480" t="s">
        <v>11352</v>
      </c>
      <c r="AB480" t="s">
        <v>14906</v>
      </c>
    </row>
    <row r="481" spans="1:28" x14ac:dyDescent="0.25">
      <c r="A481" t="s">
        <v>485</v>
      </c>
      <c r="B481">
        <v>0.98018197421672304</v>
      </c>
      <c r="C481">
        <v>0.97795705026862001</v>
      </c>
      <c r="D481">
        <v>0.929224214142231</v>
      </c>
      <c r="E481">
        <v>0.832675660940286</v>
      </c>
      <c r="F481">
        <v>0.90972885898255296</v>
      </c>
      <c r="G481">
        <v>0.78131846360726298</v>
      </c>
      <c r="H481">
        <v>0.52270404840381701</v>
      </c>
      <c r="I481">
        <v>0.64264354254406797</v>
      </c>
      <c r="J481">
        <v>0.56594046868269199</v>
      </c>
      <c r="K481">
        <v>0.92553664429689597</v>
      </c>
      <c r="L481">
        <v>825.09997530425699</v>
      </c>
      <c r="M481">
        <v>15.864817751282599</v>
      </c>
      <c r="O481">
        <v>51.202870532311003</v>
      </c>
      <c r="P481">
        <v>-2.5496100421958798E-2</v>
      </c>
      <c r="Q481">
        <v>0.6708773605685</v>
      </c>
      <c r="R481">
        <v>0.531666517494084</v>
      </c>
      <c r="S481" t="s">
        <v>4110</v>
      </c>
      <c r="T481" t="s">
        <v>7256</v>
      </c>
      <c r="U481" t="s">
        <v>7256</v>
      </c>
      <c r="V481" t="s">
        <v>7256</v>
      </c>
      <c r="W481">
        <v>14</v>
      </c>
      <c r="X481" t="s">
        <v>7737</v>
      </c>
      <c r="Y481">
        <v>0.80935744824078182</v>
      </c>
      <c r="Z481" t="str">
        <f>HYPERLINK("Melting_Curves/meltCurve_sp_P07602_SAP_HUMAN_.pdf", "Melting_Curves/meltCurve_sp_P07602_SAP_HUMAN_.pdf")</f>
        <v>Melting_Curves/meltCurve_sp_P07602_SAP_HUMAN_.pdf</v>
      </c>
      <c r="AA481" t="s">
        <v>11353</v>
      </c>
      <c r="AB481" t="s">
        <v>14907</v>
      </c>
    </row>
    <row r="482" spans="1:28" x14ac:dyDescent="0.25">
      <c r="A482" t="s">
        <v>486</v>
      </c>
      <c r="B482">
        <v>0.98018197421672304</v>
      </c>
      <c r="C482">
        <v>0.97897542969102702</v>
      </c>
      <c r="D482">
        <v>0.93462886454320204</v>
      </c>
      <c r="E482">
        <v>0.80564370401909402</v>
      </c>
      <c r="F482">
        <v>0.68486555621656398</v>
      </c>
      <c r="G482">
        <v>0.42881272424764399</v>
      </c>
      <c r="H482">
        <v>0.15468462847050701</v>
      </c>
      <c r="I482">
        <v>4.1327889444416399E-2</v>
      </c>
      <c r="J482">
        <v>3.6899642482935299E-2</v>
      </c>
      <c r="K482">
        <v>2.8539867014838901E-2</v>
      </c>
      <c r="L482">
        <v>911.02688236921904</v>
      </c>
      <c r="M482">
        <v>16.482579365409901</v>
      </c>
      <c r="N482">
        <v>55.272106331402</v>
      </c>
      <c r="O482">
        <v>54.477732089288097</v>
      </c>
      <c r="P482">
        <v>-7.5644345940020105E-2</v>
      </c>
      <c r="Q482">
        <v>0</v>
      </c>
      <c r="R482">
        <v>0.99360359856640301</v>
      </c>
      <c r="S482" t="s">
        <v>4111</v>
      </c>
      <c r="T482" t="s">
        <v>7256</v>
      </c>
      <c r="U482" t="s">
        <v>7256</v>
      </c>
      <c r="V482" t="s">
        <v>7256</v>
      </c>
      <c r="W482">
        <v>15</v>
      </c>
      <c r="X482" t="s">
        <v>7738</v>
      </c>
      <c r="Y482">
        <v>0.52612403813507425</v>
      </c>
      <c r="Z482" t="str">
        <f>HYPERLINK("Melting_Curves/meltCurve_sp_P07686_HEXB_HUMAN_.pdf", "Melting_Curves/meltCurve_sp_P07686_HEXB_HUMAN_.pdf")</f>
        <v>Melting_Curves/meltCurve_sp_P07686_HEXB_HUMAN_.pdf</v>
      </c>
      <c r="AA482" t="s">
        <v>11354</v>
      </c>
      <c r="AB482" t="s">
        <v>14908</v>
      </c>
    </row>
    <row r="483" spans="1:28" x14ac:dyDescent="0.25">
      <c r="A483" t="s">
        <v>487</v>
      </c>
      <c r="B483">
        <v>0.98018197421672304</v>
      </c>
      <c r="C483">
        <v>0.88009108762927701</v>
      </c>
      <c r="D483">
        <v>0.93590293913663902</v>
      </c>
      <c r="E483">
        <v>0.83440638196540295</v>
      </c>
      <c r="F483">
        <v>0.78910740494290499</v>
      </c>
      <c r="G483">
        <v>0.64026502883429903</v>
      </c>
      <c r="H483">
        <v>0.37239382424940998</v>
      </c>
      <c r="I483">
        <v>0.26535565782540399</v>
      </c>
      <c r="J483">
        <v>0.22103024977490601</v>
      </c>
      <c r="K483">
        <v>0.25425840407977801</v>
      </c>
      <c r="L483">
        <v>648.94688722653905</v>
      </c>
      <c r="M483">
        <v>11.2249176367462</v>
      </c>
      <c r="N483">
        <v>58.758128291598403</v>
      </c>
      <c r="O483">
        <v>56.069279217443203</v>
      </c>
      <c r="P483">
        <v>-4.5930047181174702E-2</v>
      </c>
      <c r="Q483">
        <v>8.2590862115751298E-2</v>
      </c>
      <c r="R483">
        <v>0.97139785072481699</v>
      </c>
      <c r="S483" t="s">
        <v>4112</v>
      </c>
      <c r="T483" t="s">
        <v>7256</v>
      </c>
      <c r="U483" t="s">
        <v>7256</v>
      </c>
      <c r="V483" t="s">
        <v>7256</v>
      </c>
      <c r="W483">
        <v>4</v>
      </c>
      <c r="X483" t="s">
        <v>7739</v>
      </c>
      <c r="Y483">
        <v>0.63912113055691977</v>
      </c>
      <c r="Z483" t="str">
        <f>HYPERLINK("Melting_Curves/meltCurve_sp_P07711_CATL1_HUMAN_.pdf", "Melting_Curves/meltCurve_sp_P07711_CATL1_HUMAN_.pdf")</f>
        <v>Melting_Curves/meltCurve_sp_P07711_CATL1_HUMAN_.pdf</v>
      </c>
      <c r="AA483" t="s">
        <v>11355</v>
      </c>
      <c r="AB483" t="s">
        <v>14909</v>
      </c>
    </row>
    <row r="484" spans="1:28" x14ac:dyDescent="0.25">
      <c r="A484" t="s">
        <v>488</v>
      </c>
      <c r="B484">
        <v>0.98018197421672304</v>
      </c>
      <c r="C484">
        <v>1.0026807532330499</v>
      </c>
      <c r="D484">
        <v>0.98269446732964005</v>
      </c>
      <c r="E484">
        <v>0.83394383912813597</v>
      </c>
      <c r="F484">
        <v>0.78968162630496397</v>
      </c>
      <c r="G484">
        <v>0.28769110724989599</v>
      </c>
      <c r="H484">
        <v>9.9347447193503705E-2</v>
      </c>
      <c r="I484">
        <v>7.7433003703985301E-2</v>
      </c>
      <c r="J484">
        <v>8.4158606369512903E-2</v>
      </c>
      <c r="K484">
        <v>8.6716368852043896E-2</v>
      </c>
      <c r="L484">
        <v>1491.3493922776599</v>
      </c>
      <c r="M484">
        <v>27.218193023772798</v>
      </c>
      <c r="N484">
        <v>55.075494045456999</v>
      </c>
      <c r="O484">
        <v>54.499165103519097</v>
      </c>
      <c r="P484">
        <v>-0.11670589525269499</v>
      </c>
      <c r="Q484">
        <v>6.5285071350992693E-2</v>
      </c>
      <c r="R484">
        <v>0.99055798034396503</v>
      </c>
      <c r="S484" t="s">
        <v>4113</v>
      </c>
      <c r="T484" t="s">
        <v>7256</v>
      </c>
      <c r="U484" t="s">
        <v>7256</v>
      </c>
      <c r="V484" t="s">
        <v>7256</v>
      </c>
      <c r="W484">
        <v>14</v>
      </c>
      <c r="X484" t="s">
        <v>7740</v>
      </c>
      <c r="Y484">
        <v>0.53359698308249393</v>
      </c>
      <c r="Z484" t="str">
        <f>HYPERLINK("Melting_Curves/meltCurve_sp_P07737_PROF1_HUMAN_.pdf", "Melting_Curves/meltCurve_sp_P07737_PROF1_HUMAN_.pdf")</f>
        <v>Melting_Curves/meltCurve_sp_P07737_PROF1_HUMAN_.pdf</v>
      </c>
      <c r="AA484" t="s">
        <v>11356</v>
      </c>
      <c r="AB484" t="s">
        <v>14910</v>
      </c>
    </row>
    <row r="485" spans="1:28" x14ac:dyDescent="0.25">
      <c r="A485" t="s">
        <v>489</v>
      </c>
      <c r="B485">
        <v>0.98018197421672304</v>
      </c>
      <c r="C485">
        <v>0.82844147149284597</v>
      </c>
      <c r="D485">
        <v>0.893050878321487</v>
      </c>
      <c r="E485">
        <v>0.65876168690362802</v>
      </c>
      <c r="F485">
        <v>0.44675468107786598</v>
      </c>
      <c r="G485">
        <v>0.307736968535061</v>
      </c>
      <c r="H485">
        <v>0.28027757302690298</v>
      </c>
      <c r="I485">
        <v>0.191065705231241</v>
      </c>
      <c r="J485">
        <v>0.30297864669869101</v>
      </c>
      <c r="K485">
        <v>0.216894156849296</v>
      </c>
      <c r="L485">
        <v>740.51351803843602</v>
      </c>
      <c r="M485">
        <v>14.700800887265901</v>
      </c>
      <c r="N485">
        <v>52.339468681916998</v>
      </c>
      <c r="O485">
        <v>49.467749207642598</v>
      </c>
      <c r="P485">
        <v>-5.8532042844845998E-2</v>
      </c>
      <c r="Q485">
        <v>0.21225159149463299</v>
      </c>
      <c r="R485">
        <v>0.96841147406499695</v>
      </c>
      <c r="S485" t="s">
        <v>4114</v>
      </c>
      <c r="T485" t="s">
        <v>7256</v>
      </c>
      <c r="U485" t="s">
        <v>7256</v>
      </c>
      <c r="V485" t="s">
        <v>7256</v>
      </c>
      <c r="W485">
        <v>1</v>
      </c>
      <c r="X485" t="s">
        <v>7741</v>
      </c>
      <c r="Y485">
        <v>0.50382887845325608</v>
      </c>
      <c r="Z485" t="str">
        <f>HYPERLINK("Melting_Curves/meltCurve_sp_P07738_PMGE_HUMAN_.pdf", "Melting_Curves/meltCurve_sp_P07738_PMGE_HUMAN_.pdf")</f>
        <v>Melting_Curves/meltCurve_sp_P07738_PMGE_HUMAN_.pdf</v>
      </c>
      <c r="AA485" t="s">
        <v>11357</v>
      </c>
      <c r="AB485" t="s">
        <v>14911</v>
      </c>
    </row>
    <row r="486" spans="1:28" x14ac:dyDescent="0.25">
      <c r="A486" t="s">
        <v>490</v>
      </c>
      <c r="B486">
        <v>0.98018197421672304</v>
      </c>
      <c r="C486">
        <v>1.0143378353304999</v>
      </c>
      <c r="D486">
        <v>0.96463094053375398</v>
      </c>
      <c r="E486">
        <v>0.744683247075977</v>
      </c>
      <c r="F486">
        <v>0.64197505637739105</v>
      </c>
      <c r="G486">
        <v>0.38992735138983903</v>
      </c>
      <c r="H486">
        <v>0.12552036217017401</v>
      </c>
      <c r="I486">
        <v>5.4472936816954698E-2</v>
      </c>
      <c r="J486">
        <v>0.107847333206723</v>
      </c>
      <c r="K486">
        <v>3.0358362680135101E-2</v>
      </c>
      <c r="L486">
        <v>828.41371248654195</v>
      </c>
      <c r="M486">
        <v>15.159443887272401</v>
      </c>
      <c r="N486">
        <v>54.646708609278299</v>
      </c>
      <c r="O486">
        <v>53.722227594870901</v>
      </c>
      <c r="P486">
        <v>-7.0552309830397203E-2</v>
      </c>
      <c r="Q486">
        <v>0</v>
      </c>
      <c r="R486">
        <v>0.99080522428741702</v>
      </c>
      <c r="S486" t="s">
        <v>4115</v>
      </c>
      <c r="T486" t="s">
        <v>7256</v>
      </c>
      <c r="U486" t="s">
        <v>7256</v>
      </c>
      <c r="V486" t="s">
        <v>7256</v>
      </c>
      <c r="W486">
        <v>7</v>
      </c>
      <c r="X486" t="s">
        <v>7742</v>
      </c>
      <c r="Y486">
        <v>0.50773762775870568</v>
      </c>
      <c r="Z486" t="str">
        <f>HYPERLINK("Melting_Curves/meltCurve_sp_P07741_APT_HUMAN_.pdf", "Melting_Curves/meltCurve_sp_P07741_APT_HUMAN_.pdf")</f>
        <v>Melting_Curves/meltCurve_sp_P07741_APT_HUMAN_.pdf</v>
      </c>
      <c r="AA486" t="s">
        <v>11358</v>
      </c>
      <c r="AB486" t="s">
        <v>14912</v>
      </c>
    </row>
    <row r="487" spans="1:28" x14ac:dyDescent="0.25">
      <c r="A487" t="s">
        <v>491</v>
      </c>
      <c r="B487">
        <v>0.98018197421672304</v>
      </c>
      <c r="C487">
        <v>0.90107977343772905</v>
      </c>
      <c r="D487">
        <v>0.52630927519840098</v>
      </c>
      <c r="E487">
        <v>0.27671735729925401</v>
      </c>
      <c r="F487">
        <v>0.19211333025354899</v>
      </c>
      <c r="G487">
        <v>0.12739759985315899</v>
      </c>
      <c r="H487">
        <v>7.45267714091494E-2</v>
      </c>
      <c r="I487">
        <v>5.4081795276849899E-2</v>
      </c>
      <c r="J487">
        <v>6.2829238683381902E-2</v>
      </c>
      <c r="K487">
        <v>4.7940788826982397E-2</v>
      </c>
      <c r="L487">
        <v>888.25101850919896</v>
      </c>
      <c r="M487">
        <v>19.095192927112201</v>
      </c>
      <c r="N487">
        <v>46.887647460560203</v>
      </c>
      <c r="O487">
        <v>46.015859172740498</v>
      </c>
      <c r="P487">
        <v>-9.6478662985163999E-2</v>
      </c>
      <c r="Q487">
        <v>7.0054355170920998E-2</v>
      </c>
      <c r="R487">
        <v>0.99059282452432296</v>
      </c>
      <c r="S487" t="s">
        <v>4116</v>
      </c>
      <c r="T487" t="s">
        <v>7256</v>
      </c>
      <c r="U487" t="s">
        <v>7256</v>
      </c>
      <c r="V487" t="s">
        <v>7256</v>
      </c>
      <c r="W487">
        <v>45</v>
      </c>
      <c r="X487" t="s">
        <v>7743</v>
      </c>
      <c r="Y487">
        <v>0.28751847311588269</v>
      </c>
      <c r="Z487" t="str">
        <f>HYPERLINK("Melting_Curves/meltCurve_sp_P07814_SYEP_HUMAN_.pdf", "Melting_Curves/meltCurve_sp_P07814_SYEP_HUMAN_.pdf")</f>
        <v>Melting_Curves/meltCurve_sp_P07814_SYEP_HUMAN_.pdf</v>
      </c>
      <c r="AA487" t="s">
        <v>11359</v>
      </c>
      <c r="AB487" t="s">
        <v>14913</v>
      </c>
    </row>
    <row r="488" spans="1:28" x14ac:dyDescent="0.25">
      <c r="A488" t="s">
        <v>492</v>
      </c>
      <c r="B488">
        <v>0.98018197421672304</v>
      </c>
      <c r="C488">
        <v>0.69663869952022905</v>
      </c>
      <c r="D488">
        <v>0.60740353727324303</v>
      </c>
      <c r="E488">
        <v>0.36042163039372699</v>
      </c>
      <c r="F488">
        <v>0.18895603800504901</v>
      </c>
      <c r="G488">
        <v>0.15979392825834099</v>
      </c>
      <c r="H488">
        <v>0.15627141636307901</v>
      </c>
      <c r="I488">
        <v>0.16238441282792701</v>
      </c>
      <c r="J488">
        <v>0.202696062939869</v>
      </c>
      <c r="K488">
        <v>0.28884033722060398</v>
      </c>
      <c r="L488">
        <v>769.33220023965202</v>
      </c>
      <c r="M488">
        <v>16.917420879777101</v>
      </c>
      <c r="N488">
        <v>46.7216354584654</v>
      </c>
      <c r="O488">
        <v>44.854587853997799</v>
      </c>
      <c r="P488">
        <v>-7.7177311338558693E-2</v>
      </c>
      <c r="Q488">
        <v>0.181544875704303</v>
      </c>
      <c r="R488">
        <v>0.95410184758499805</v>
      </c>
      <c r="S488" t="s">
        <v>4117</v>
      </c>
      <c r="T488" t="s">
        <v>7256</v>
      </c>
      <c r="U488" t="s">
        <v>7256</v>
      </c>
      <c r="V488" t="s">
        <v>7256</v>
      </c>
      <c r="W488">
        <v>8</v>
      </c>
      <c r="X488" t="s">
        <v>7744</v>
      </c>
      <c r="Y488">
        <v>0.35023990464318472</v>
      </c>
      <c r="Z488" t="str">
        <f>HYPERLINK("Melting_Curves/meltCurve_sp_P07858_CATB_HUMAN_.pdf", "Melting_Curves/meltCurve_sp_P07858_CATB_HUMAN_.pdf")</f>
        <v>Melting_Curves/meltCurve_sp_P07858_CATB_HUMAN_.pdf</v>
      </c>
      <c r="AA488" t="s">
        <v>11360</v>
      </c>
      <c r="AB488" t="s">
        <v>14914</v>
      </c>
    </row>
    <row r="489" spans="1:28" x14ac:dyDescent="0.25">
      <c r="A489" t="s">
        <v>493</v>
      </c>
      <c r="B489">
        <v>0.98018197421672304</v>
      </c>
      <c r="C489">
        <v>0.94370048989123501</v>
      </c>
      <c r="D489">
        <v>0.91200522560889796</v>
      </c>
      <c r="E489">
        <v>0.78247627443249901</v>
      </c>
      <c r="F489">
        <v>0.34971285861711399</v>
      </c>
      <c r="G489">
        <v>0.11308596225676699</v>
      </c>
      <c r="H489">
        <v>5.6415029189122202E-2</v>
      </c>
      <c r="I489">
        <v>4.1334339057686499E-2</v>
      </c>
      <c r="J489">
        <v>4.6677148076551399E-2</v>
      </c>
      <c r="K489">
        <v>3.7443508742248201E-2</v>
      </c>
      <c r="L489">
        <v>1535.56672811918</v>
      </c>
      <c r="M489">
        <v>29.637128946429399</v>
      </c>
      <c r="N489">
        <v>51.966982978460898</v>
      </c>
      <c r="O489">
        <v>51.5780889534227</v>
      </c>
      <c r="P489">
        <v>-0.13758652887299799</v>
      </c>
      <c r="Q489">
        <v>4.2228193882970902E-2</v>
      </c>
      <c r="R489">
        <v>0.994534162615482</v>
      </c>
      <c r="S489" t="s">
        <v>4118</v>
      </c>
      <c r="T489" t="s">
        <v>7256</v>
      </c>
      <c r="U489" t="s">
        <v>7256</v>
      </c>
      <c r="V489" t="s">
        <v>7256</v>
      </c>
      <c r="W489">
        <v>49</v>
      </c>
      <c r="X489" t="s">
        <v>7745</v>
      </c>
      <c r="Y489">
        <v>0.42559399648918561</v>
      </c>
      <c r="Z489" t="str">
        <f>HYPERLINK("Melting_Curves/meltCurve_sp_P07900_HS90A_HUMAN_.pdf", "Melting_Curves/meltCurve_sp_P07900_HS90A_HUMAN_.pdf")</f>
        <v>Melting_Curves/meltCurve_sp_P07900_HS90A_HUMAN_.pdf</v>
      </c>
      <c r="AA489" t="s">
        <v>11361</v>
      </c>
      <c r="AB489" t="s">
        <v>14915</v>
      </c>
    </row>
    <row r="490" spans="1:28" x14ac:dyDescent="0.25">
      <c r="A490" t="s">
        <v>494</v>
      </c>
      <c r="B490">
        <v>0.98018197421672304</v>
      </c>
      <c r="C490">
        <v>0.95622832993851603</v>
      </c>
      <c r="D490">
        <v>0.88771244226636603</v>
      </c>
      <c r="E490">
        <v>0.77514898797033005</v>
      </c>
      <c r="F490">
        <v>0.64035862868526705</v>
      </c>
      <c r="G490">
        <v>0.38912099386968801</v>
      </c>
      <c r="H490">
        <v>0.173962158825335</v>
      </c>
      <c r="I490">
        <v>9.4911750137126397E-2</v>
      </c>
      <c r="J490">
        <v>8.7476635834974795E-2</v>
      </c>
      <c r="K490">
        <v>7.9131302576045295E-2</v>
      </c>
      <c r="L490">
        <v>729.070220587824</v>
      </c>
      <c r="M490">
        <v>13.310067349084401</v>
      </c>
      <c r="N490">
        <v>54.775847580807998</v>
      </c>
      <c r="O490">
        <v>53.583693136424202</v>
      </c>
      <c r="P490">
        <v>-6.2109441477073299E-2</v>
      </c>
      <c r="Q490">
        <v>0</v>
      </c>
      <c r="R490">
        <v>0.99536946812267202</v>
      </c>
      <c r="S490" t="s">
        <v>4119</v>
      </c>
      <c r="T490" t="s">
        <v>7256</v>
      </c>
      <c r="U490" t="s">
        <v>7256</v>
      </c>
      <c r="V490" t="s">
        <v>7256</v>
      </c>
      <c r="W490">
        <v>12</v>
      </c>
      <c r="X490" t="s">
        <v>7746</v>
      </c>
      <c r="Y490">
        <v>0.51462411009662512</v>
      </c>
      <c r="Z490" t="str">
        <f>HYPERLINK("Melting_Curves/meltCurve_sp_P07902_GALT_HUMAN_.pdf", "Melting_Curves/meltCurve_sp_P07902_GALT_HUMAN_.pdf")</f>
        <v>Melting_Curves/meltCurve_sp_P07902_GALT_HUMAN_.pdf</v>
      </c>
      <c r="AA490" t="s">
        <v>11362</v>
      </c>
      <c r="AB490" t="s">
        <v>14916</v>
      </c>
    </row>
    <row r="491" spans="1:28" x14ac:dyDescent="0.25">
      <c r="A491" t="s">
        <v>495</v>
      </c>
      <c r="B491">
        <v>0.98018197421672304</v>
      </c>
      <c r="C491">
        <v>0.87613693503106505</v>
      </c>
      <c r="D491">
        <v>0.89934980021098099</v>
      </c>
      <c r="E491">
        <v>0.37298178441972102</v>
      </c>
      <c r="F491">
        <v>0.203973908824296</v>
      </c>
      <c r="G491">
        <v>0.102388054130868</v>
      </c>
      <c r="H491">
        <v>3.2021927069211802E-2</v>
      </c>
      <c r="I491">
        <v>1.00708431797329E-2</v>
      </c>
      <c r="J491">
        <v>2.2832624011349001E-2</v>
      </c>
      <c r="K491">
        <v>2.1381385561961098E-2</v>
      </c>
      <c r="L491">
        <v>1128.8328969971701</v>
      </c>
      <c r="M491">
        <v>22.970150092239599</v>
      </c>
      <c r="N491">
        <v>49.258270978735602</v>
      </c>
      <c r="O491">
        <v>48.7755488760248</v>
      </c>
      <c r="P491">
        <v>-0.11466759616163701</v>
      </c>
      <c r="Q491">
        <v>2.60630090796348E-2</v>
      </c>
      <c r="R491">
        <v>0.98829530139927102</v>
      </c>
      <c r="S491" t="s">
        <v>4120</v>
      </c>
      <c r="T491" t="s">
        <v>7256</v>
      </c>
      <c r="U491" t="s">
        <v>7256</v>
      </c>
      <c r="V491" t="s">
        <v>7256</v>
      </c>
      <c r="W491">
        <v>3</v>
      </c>
      <c r="X491" t="s">
        <v>7747</v>
      </c>
      <c r="Y491">
        <v>0.33317923633425561</v>
      </c>
      <c r="Z491" t="str">
        <f>HYPERLINK("Melting_Curves/meltCurve_sp_P07947_YES_HUMAN_.pdf", "Melting_Curves/meltCurve_sp_P07947_YES_HUMAN_.pdf")</f>
        <v>Melting_Curves/meltCurve_sp_P07947_YES_HUMAN_.pdf</v>
      </c>
      <c r="AA491" t="s">
        <v>11363</v>
      </c>
      <c r="AB491" t="s">
        <v>14917</v>
      </c>
    </row>
    <row r="492" spans="1:28" x14ac:dyDescent="0.25">
      <c r="A492" t="s">
        <v>496</v>
      </c>
      <c r="B492">
        <v>0.98018197421672304</v>
      </c>
      <c r="C492">
        <v>0.84009356336988295</v>
      </c>
      <c r="D492">
        <v>0.93556530486762801</v>
      </c>
      <c r="E492">
        <v>0.64680917648734304</v>
      </c>
      <c r="F492">
        <v>0.105310838997259</v>
      </c>
      <c r="G492">
        <v>6.4799694901783098E-2</v>
      </c>
      <c r="H492">
        <v>3.1430779514849599E-2</v>
      </c>
      <c r="I492">
        <v>2.7147538552416799E-2</v>
      </c>
      <c r="J492">
        <v>2.7595528437026999E-2</v>
      </c>
      <c r="K492">
        <v>1.9236472821093999E-2</v>
      </c>
      <c r="L492">
        <v>2538.5180421489599</v>
      </c>
      <c r="M492">
        <v>50.2386926689571</v>
      </c>
      <c r="N492">
        <v>50.594880148851999</v>
      </c>
      <c r="O492">
        <v>50.449274537980699</v>
      </c>
      <c r="P492">
        <v>-0.24109084137768999</v>
      </c>
      <c r="Q492">
        <v>3.1595224095625603E-2</v>
      </c>
      <c r="R492">
        <v>0.98124732190174802</v>
      </c>
      <c r="S492" t="s">
        <v>4121</v>
      </c>
      <c r="T492" t="s">
        <v>7256</v>
      </c>
      <c r="U492" t="s">
        <v>7256</v>
      </c>
      <c r="V492" t="s">
        <v>7256</v>
      </c>
      <c r="W492">
        <v>21</v>
      </c>
      <c r="X492" t="s">
        <v>7748</v>
      </c>
      <c r="Y492">
        <v>0.3736154532884266</v>
      </c>
      <c r="Z492" t="str">
        <f>HYPERLINK("Melting_Curves/meltCurve_sp_P07954_2_FUMH_HUMAN_.pdf", "Melting_Curves/meltCurve_sp_P07954_2_FUMH_HUMAN_.pdf")</f>
        <v>Melting_Curves/meltCurve_sp_P07954_2_FUMH_HUMAN_.pdf</v>
      </c>
      <c r="AA492" t="s">
        <v>11364</v>
      </c>
      <c r="AB492" t="s">
        <v>14918</v>
      </c>
    </row>
    <row r="493" spans="1:28" x14ac:dyDescent="0.25">
      <c r="A493" t="s">
        <v>497</v>
      </c>
      <c r="B493">
        <v>0.98018197421672304</v>
      </c>
      <c r="C493">
        <v>0.82170085515917402</v>
      </c>
      <c r="D493">
        <v>0.66814234469044498</v>
      </c>
      <c r="E493">
        <v>0.463478680929725</v>
      </c>
      <c r="F493">
        <v>0.35241010069232298</v>
      </c>
      <c r="G493">
        <v>0.21529585020939901</v>
      </c>
      <c r="H493">
        <v>0.10276182175241901</v>
      </c>
      <c r="I493">
        <v>7.2534757589248905E-2</v>
      </c>
      <c r="J493">
        <v>9.20159040957578E-2</v>
      </c>
      <c r="K493">
        <v>5.86890148855067E-2</v>
      </c>
      <c r="L493">
        <v>540.03453258340505</v>
      </c>
      <c r="M493">
        <v>10.971165694857</v>
      </c>
      <c r="N493">
        <v>49.418742994701702</v>
      </c>
      <c r="O493">
        <v>47.672490784568602</v>
      </c>
      <c r="P493">
        <v>-5.63303303076415E-2</v>
      </c>
      <c r="Q493">
        <v>2.1255425230266599E-2</v>
      </c>
      <c r="R493">
        <v>0.99445968996868095</v>
      </c>
      <c r="S493" t="s">
        <v>4122</v>
      </c>
      <c r="T493" t="s">
        <v>7256</v>
      </c>
      <c r="U493" t="s">
        <v>7256</v>
      </c>
      <c r="V493" t="s">
        <v>7256</v>
      </c>
      <c r="W493">
        <v>6</v>
      </c>
      <c r="X493" t="s">
        <v>7749</v>
      </c>
      <c r="Y493">
        <v>0.36311291032354232</v>
      </c>
      <c r="Z493" t="str">
        <f>HYPERLINK("Melting_Curves/meltCurve_sp_P07996_TSP1_HUMAN_.pdf", "Melting_Curves/meltCurve_sp_P07996_TSP1_HUMAN_.pdf")</f>
        <v>Melting_Curves/meltCurve_sp_P07996_TSP1_HUMAN_.pdf</v>
      </c>
      <c r="AA493" t="s">
        <v>11365</v>
      </c>
      <c r="AB493" t="s">
        <v>14919</v>
      </c>
    </row>
    <row r="494" spans="1:28" x14ac:dyDescent="0.25">
      <c r="A494" t="s">
        <v>498</v>
      </c>
      <c r="B494">
        <v>0.98018197421672304</v>
      </c>
      <c r="C494">
        <v>0.82112111158788004</v>
      </c>
      <c r="D494">
        <v>0.88841797517127596</v>
      </c>
      <c r="E494">
        <v>0.42556740414636601</v>
      </c>
      <c r="F494">
        <v>0.12523327977297699</v>
      </c>
      <c r="G494">
        <v>6.7312290847997794E-2</v>
      </c>
      <c r="H494">
        <v>3.89553796707654E-2</v>
      </c>
      <c r="I494">
        <v>3.1665117767550897E-2</v>
      </c>
      <c r="J494">
        <v>3.6242100349092199E-2</v>
      </c>
      <c r="K494">
        <v>2.66547716722716E-2</v>
      </c>
      <c r="L494">
        <v>1220.83117742686</v>
      </c>
      <c r="M494">
        <v>24.839919723019701</v>
      </c>
      <c r="N494">
        <v>49.256992823060301</v>
      </c>
      <c r="O494">
        <v>48.832737889884903</v>
      </c>
      <c r="P494">
        <v>-0.123768078437763</v>
      </c>
      <c r="Q494">
        <v>2.6751965137674399E-2</v>
      </c>
      <c r="R494">
        <v>0.98118227828639104</v>
      </c>
      <c r="S494" t="s">
        <v>4123</v>
      </c>
      <c r="T494" t="s">
        <v>7256</v>
      </c>
      <c r="U494" t="s">
        <v>7256</v>
      </c>
      <c r="V494" t="s">
        <v>7256</v>
      </c>
      <c r="W494">
        <v>34</v>
      </c>
      <c r="X494" t="s">
        <v>7750</v>
      </c>
      <c r="Y494">
        <v>0.33227380212206592</v>
      </c>
      <c r="Z494" t="str">
        <f>HYPERLINK("Melting_Curves/meltCurve_sp_P08107_HSP71_HUMAN_.pdf", "Melting_Curves/meltCurve_sp_P08107_HSP71_HUMAN_.pdf")</f>
        <v>Melting_Curves/meltCurve_sp_P08107_HSP71_HUMAN_.pdf</v>
      </c>
      <c r="AA494" t="s">
        <v>11366</v>
      </c>
      <c r="AB494" t="s">
        <v>14920</v>
      </c>
    </row>
    <row r="495" spans="1:28" x14ac:dyDescent="0.25">
      <c r="A495" t="s">
        <v>499</v>
      </c>
      <c r="B495">
        <v>0.98018197421672304</v>
      </c>
      <c r="C495">
        <v>0.98113299725491099</v>
      </c>
      <c r="D495">
        <v>0.87661634333755301</v>
      </c>
      <c r="E495">
        <v>0.553262529587499</v>
      </c>
      <c r="F495">
        <v>0.29881933319697801</v>
      </c>
      <c r="G495">
        <v>0.169355919261785</v>
      </c>
      <c r="H495">
        <v>8.9121931923328193E-2</v>
      </c>
      <c r="I495">
        <v>6.0441390749405202E-2</v>
      </c>
      <c r="J495">
        <v>7.2852925815443906E-2</v>
      </c>
      <c r="K495">
        <v>5.9853629218620003E-2</v>
      </c>
      <c r="L495">
        <v>997.689382910218</v>
      </c>
      <c r="M495">
        <v>19.847969181987999</v>
      </c>
      <c r="N495">
        <v>50.602362424651801</v>
      </c>
      <c r="O495">
        <v>49.764648993651399</v>
      </c>
      <c r="P495">
        <v>-9.3560100830733101E-2</v>
      </c>
      <c r="Q495">
        <v>6.1701605701871498E-2</v>
      </c>
      <c r="R495">
        <v>0.99902674968052196</v>
      </c>
      <c r="S495" t="s">
        <v>4124</v>
      </c>
      <c r="T495" t="s">
        <v>7256</v>
      </c>
      <c r="U495" t="s">
        <v>7256</v>
      </c>
      <c r="V495" t="s">
        <v>7256</v>
      </c>
      <c r="W495">
        <v>12</v>
      </c>
      <c r="X495" t="s">
        <v>7751</v>
      </c>
      <c r="Y495">
        <v>0.39604891707009121</v>
      </c>
      <c r="Z495" t="str">
        <f>HYPERLINK("Melting_Curves/meltCurve_sp_P08133_2_ANXA6_HUMAN_.pdf", "Melting_Curves/meltCurve_sp_P08133_2_ANXA6_HUMAN_.pdf")</f>
        <v>Melting_Curves/meltCurve_sp_P08133_2_ANXA6_HUMAN_.pdf</v>
      </c>
      <c r="AA495" t="s">
        <v>11367</v>
      </c>
      <c r="AB495" t="s">
        <v>14921</v>
      </c>
    </row>
    <row r="496" spans="1:28" x14ac:dyDescent="0.25">
      <c r="A496" t="s">
        <v>500</v>
      </c>
      <c r="B496">
        <v>0.98018197421672304</v>
      </c>
      <c r="C496">
        <v>1.1399058083112199</v>
      </c>
      <c r="D496">
        <v>0.92393136187903202</v>
      </c>
      <c r="E496">
        <v>0.62504611458499704</v>
      </c>
      <c r="F496">
        <v>0.76018222762215504</v>
      </c>
      <c r="G496">
        <v>0.52244707573320404</v>
      </c>
      <c r="H496">
        <v>0.174101819188512</v>
      </c>
      <c r="I496">
        <v>6.0877266210583897E-2</v>
      </c>
      <c r="J496">
        <v>6.3259793808625606E-2</v>
      </c>
      <c r="K496">
        <v>4.2268970760744699E-2</v>
      </c>
      <c r="L496">
        <v>775.47929428373698</v>
      </c>
      <c r="M496">
        <v>13.952058598051901</v>
      </c>
      <c r="N496">
        <v>55.581711228630198</v>
      </c>
      <c r="O496">
        <v>54.477216466591301</v>
      </c>
      <c r="P496">
        <v>-6.4035622145176302E-2</v>
      </c>
      <c r="Q496">
        <v>0</v>
      </c>
      <c r="R496">
        <v>0.94005163371091605</v>
      </c>
      <c r="S496" t="s">
        <v>4125</v>
      </c>
      <c r="T496" t="s">
        <v>7256</v>
      </c>
      <c r="U496" t="s">
        <v>7256</v>
      </c>
      <c r="V496" t="s">
        <v>7256</v>
      </c>
      <c r="W496">
        <v>1</v>
      </c>
      <c r="X496" t="s">
        <v>7752</v>
      </c>
      <c r="Y496">
        <v>0.53902824019109941</v>
      </c>
      <c r="Z496" t="str">
        <f>HYPERLINK("Melting_Curves/meltCurve_sp_P08185_CBG_HUMAN_.pdf", "Melting_Curves/meltCurve_sp_P08185_CBG_HUMAN_.pdf")</f>
        <v>Melting_Curves/meltCurve_sp_P08185_CBG_HUMAN_.pdf</v>
      </c>
      <c r="AA496" t="s">
        <v>11368</v>
      </c>
      <c r="AB496" t="s">
        <v>14922</v>
      </c>
    </row>
    <row r="497" spans="1:28" x14ac:dyDescent="0.25">
      <c r="A497" t="s">
        <v>501</v>
      </c>
      <c r="B497">
        <v>0.98018197421672304</v>
      </c>
      <c r="C497">
        <v>0.79395790080913997</v>
      </c>
      <c r="D497">
        <v>0.94926477496996797</v>
      </c>
      <c r="E497">
        <v>0.79403604105921</v>
      </c>
      <c r="F497">
        <v>0.71682253224127401</v>
      </c>
      <c r="G497">
        <v>0.45824473902281898</v>
      </c>
      <c r="H497">
        <v>0.390385390803276</v>
      </c>
      <c r="I497">
        <v>0.34394805460358602</v>
      </c>
      <c r="J497">
        <v>0.25370534978734199</v>
      </c>
      <c r="K497">
        <v>0.23826266790640299</v>
      </c>
      <c r="L497">
        <v>480.84502664980101</v>
      </c>
      <c r="M497">
        <v>8.4928612808349797</v>
      </c>
      <c r="N497">
        <v>57.654807563752598</v>
      </c>
      <c r="O497">
        <v>53.740216815559499</v>
      </c>
      <c r="P497">
        <v>-3.6743008468137203E-2</v>
      </c>
      <c r="Q497">
        <v>7.0846352031483498E-2</v>
      </c>
      <c r="R497">
        <v>0.95362810069790205</v>
      </c>
      <c r="S497" t="s">
        <v>4126</v>
      </c>
      <c r="T497" t="s">
        <v>7256</v>
      </c>
      <c r="U497" t="s">
        <v>7256</v>
      </c>
      <c r="V497" t="s">
        <v>7256</v>
      </c>
      <c r="W497">
        <v>15</v>
      </c>
      <c r="X497" t="s">
        <v>7753</v>
      </c>
      <c r="Y497">
        <v>0.60044763481127861</v>
      </c>
      <c r="Z497" t="str">
        <f>HYPERLINK("Melting_Curves/meltCurve_sp_P08236_BGLR_HUMAN_.pdf", "Melting_Curves/meltCurve_sp_P08236_BGLR_HUMAN_.pdf")</f>
        <v>Melting_Curves/meltCurve_sp_P08236_BGLR_HUMAN_.pdf</v>
      </c>
      <c r="AA497" t="s">
        <v>11369</v>
      </c>
      <c r="AB497" t="s">
        <v>14923</v>
      </c>
    </row>
    <row r="498" spans="1:28" x14ac:dyDescent="0.25">
      <c r="A498" t="s">
        <v>502</v>
      </c>
      <c r="B498">
        <v>0.98018197421672304</v>
      </c>
      <c r="C498">
        <v>0.96408842371470704</v>
      </c>
      <c r="D498">
        <v>0.92215864087067501</v>
      </c>
      <c r="E498">
        <v>0.80433803130548198</v>
      </c>
      <c r="F498">
        <v>0.35230919113961201</v>
      </c>
      <c r="G498">
        <v>0.110899052896683</v>
      </c>
      <c r="H498">
        <v>5.3745932393328498E-2</v>
      </c>
      <c r="I498">
        <v>4.0088984589687703E-2</v>
      </c>
      <c r="J498">
        <v>4.1179068117701903E-2</v>
      </c>
      <c r="K498">
        <v>3.2085226459942197E-2</v>
      </c>
      <c r="L498">
        <v>1665.9392026969399</v>
      </c>
      <c r="M498">
        <v>32.090389042223997</v>
      </c>
      <c r="N498">
        <v>52.054304015214001</v>
      </c>
      <c r="O498">
        <v>51.713608488841302</v>
      </c>
      <c r="P498">
        <v>-0.14870695976045301</v>
      </c>
      <c r="Q498">
        <v>4.1440703028030199E-2</v>
      </c>
      <c r="R498">
        <v>0.99602650170232299</v>
      </c>
      <c r="S498" t="s">
        <v>4127</v>
      </c>
      <c r="T498" t="s">
        <v>7256</v>
      </c>
      <c r="U498" t="s">
        <v>7256</v>
      </c>
      <c r="V498" t="s">
        <v>7256</v>
      </c>
      <c r="W498">
        <v>47</v>
      </c>
      <c r="X498" t="s">
        <v>7754</v>
      </c>
      <c r="Y498">
        <v>0.42746412270192052</v>
      </c>
      <c r="Z498" t="str">
        <f>HYPERLINK("Melting_Curves/meltCurve_sp_P08238_HS90B_HUMAN_.pdf", "Melting_Curves/meltCurve_sp_P08238_HS90B_HUMAN_.pdf")</f>
        <v>Melting_Curves/meltCurve_sp_P08238_HS90B_HUMAN_.pdf</v>
      </c>
      <c r="AA498" t="s">
        <v>11370</v>
      </c>
      <c r="AB498" t="s">
        <v>14924</v>
      </c>
    </row>
    <row r="499" spans="1:28" x14ac:dyDescent="0.25">
      <c r="A499" t="s">
        <v>503</v>
      </c>
      <c r="B499">
        <v>0.98018197421672304</v>
      </c>
      <c r="C499">
        <v>0.91866982744715298</v>
      </c>
      <c r="D499">
        <v>0.73412195144039905</v>
      </c>
      <c r="E499">
        <v>0.42683701975521099</v>
      </c>
      <c r="F499">
        <v>0.23340568237947101</v>
      </c>
      <c r="G499">
        <v>0.190000787637602</v>
      </c>
      <c r="H499">
        <v>0.130752698585161</v>
      </c>
      <c r="I499">
        <v>0.12794374303499301</v>
      </c>
      <c r="J499">
        <v>0.15168395095806</v>
      </c>
      <c r="K499">
        <v>0.10962382540156</v>
      </c>
      <c r="L499">
        <v>898.105378359106</v>
      </c>
      <c r="M499">
        <v>18.668922897368599</v>
      </c>
      <c r="N499">
        <v>48.852712895119701</v>
      </c>
      <c r="O499">
        <v>47.565192075778903</v>
      </c>
      <c r="P499">
        <v>-8.5960402979217698E-2</v>
      </c>
      <c r="Q499">
        <v>0.123988372515283</v>
      </c>
      <c r="R499">
        <v>0.99804202678789</v>
      </c>
      <c r="S499" t="s">
        <v>4128</v>
      </c>
      <c r="T499" t="s">
        <v>7256</v>
      </c>
      <c r="U499" t="s">
        <v>7256</v>
      </c>
      <c r="V499" t="s">
        <v>7256</v>
      </c>
      <c r="W499">
        <v>17</v>
      </c>
      <c r="X499" t="s">
        <v>7755</v>
      </c>
      <c r="Y499">
        <v>0.3750734391385544</v>
      </c>
      <c r="Z499" t="str">
        <f>HYPERLINK("Melting_Curves/meltCurve_sp_P08240_2_SRPR_HUMAN_.pdf", "Melting_Curves/meltCurve_sp_P08240_2_SRPR_HUMAN_.pdf")</f>
        <v>Melting_Curves/meltCurve_sp_P08240_2_SRPR_HUMAN_.pdf</v>
      </c>
      <c r="AA499" t="s">
        <v>11371</v>
      </c>
      <c r="AB499" t="s">
        <v>14925</v>
      </c>
    </row>
    <row r="500" spans="1:28" x14ac:dyDescent="0.25">
      <c r="A500" t="s">
        <v>504</v>
      </c>
      <c r="B500">
        <v>0.98018197421672304</v>
      </c>
      <c r="C500">
        <v>0.99872863490370201</v>
      </c>
      <c r="D500">
        <v>0.96218073282815297</v>
      </c>
      <c r="E500">
        <v>0.84221746364424399</v>
      </c>
      <c r="F500">
        <v>0.81626608371800102</v>
      </c>
      <c r="G500">
        <v>0.74066784439380096</v>
      </c>
      <c r="H500">
        <v>0.52434542007616503</v>
      </c>
      <c r="I500">
        <v>0.47836809681947201</v>
      </c>
      <c r="J500">
        <v>0.28702294589222999</v>
      </c>
      <c r="K500">
        <v>0.110680998657776</v>
      </c>
      <c r="L500">
        <v>661.63124268659999</v>
      </c>
      <c r="M500">
        <v>10.7577904826544</v>
      </c>
      <c r="N500">
        <v>61.502521724920001</v>
      </c>
      <c r="O500">
        <v>59.491662215130098</v>
      </c>
      <c r="P500">
        <v>-4.5223752048930997E-2</v>
      </c>
      <c r="Q500">
        <v>0</v>
      </c>
      <c r="R500">
        <v>0.96892522713563101</v>
      </c>
      <c r="S500" t="s">
        <v>4129</v>
      </c>
      <c r="T500" t="s">
        <v>7256</v>
      </c>
      <c r="U500" t="s">
        <v>7256</v>
      </c>
      <c r="V500" t="s">
        <v>7256</v>
      </c>
      <c r="W500">
        <v>27</v>
      </c>
      <c r="X500" t="s">
        <v>7756</v>
      </c>
      <c r="Y500">
        <v>0.70408896080508754</v>
      </c>
      <c r="Z500" t="str">
        <f>HYPERLINK("Melting_Curves/meltCurve_sp_P08319_ADH4_HUMAN_.pdf", "Melting_Curves/meltCurve_sp_P08319_ADH4_HUMAN_.pdf")</f>
        <v>Melting_Curves/meltCurve_sp_P08319_ADH4_HUMAN_.pdf</v>
      </c>
      <c r="AA500" t="s">
        <v>11372</v>
      </c>
      <c r="AB500" t="s">
        <v>14926</v>
      </c>
    </row>
    <row r="501" spans="1:28" x14ac:dyDescent="0.25">
      <c r="A501" t="s">
        <v>505</v>
      </c>
      <c r="B501">
        <v>0.98018197421672304</v>
      </c>
      <c r="C501">
        <v>0.97079567827841895</v>
      </c>
      <c r="D501">
        <v>0.86884623721594101</v>
      </c>
      <c r="E501">
        <v>0.73067505483015405</v>
      </c>
      <c r="F501">
        <v>0.62973050994337298</v>
      </c>
      <c r="G501">
        <v>0.39237194351694898</v>
      </c>
      <c r="H501">
        <v>0.30465687351465498</v>
      </c>
      <c r="I501">
        <v>0.34473998750231499</v>
      </c>
      <c r="J501">
        <v>0.28218974514152401</v>
      </c>
      <c r="K501">
        <v>0.44887969502730801</v>
      </c>
      <c r="L501">
        <v>846.74258456644498</v>
      </c>
      <c r="M501">
        <v>16.526539503729101</v>
      </c>
      <c r="N501">
        <v>54.6793600534332</v>
      </c>
      <c r="O501">
        <v>50.502785206268399</v>
      </c>
      <c r="P501">
        <v>-5.5353288726306002E-2</v>
      </c>
      <c r="Q501">
        <v>0.32343920318045999</v>
      </c>
      <c r="R501">
        <v>0.95994124422893101</v>
      </c>
      <c r="S501" t="s">
        <v>4130</v>
      </c>
      <c r="T501" t="s">
        <v>7256</v>
      </c>
      <c r="U501" t="s">
        <v>7256</v>
      </c>
      <c r="V501" t="s">
        <v>7256</v>
      </c>
      <c r="W501">
        <v>3</v>
      </c>
      <c r="X501" t="s">
        <v>7757</v>
      </c>
      <c r="Y501">
        <v>0.59001620171040947</v>
      </c>
      <c r="Z501" t="str">
        <f>HYPERLINK("Melting_Curves/meltCurve_sp_P08519_APOA_HUMAN_.pdf", "Melting_Curves/meltCurve_sp_P08519_APOA_HUMAN_.pdf")</f>
        <v>Melting_Curves/meltCurve_sp_P08519_APOA_HUMAN_.pdf</v>
      </c>
      <c r="AA501" t="s">
        <v>11373</v>
      </c>
      <c r="AB501" t="s">
        <v>14927</v>
      </c>
    </row>
    <row r="502" spans="1:28" x14ac:dyDescent="0.25">
      <c r="A502" t="s">
        <v>506</v>
      </c>
      <c r="B502">
        <v>0.98018197421672304</v>
      </c>
      <c r="C502">
        <v>0.72978737747029099</v>
      </c>
      <c r="D502">
        <v>0.41142315990595402</v>
      </c>
      <c r="E502">
        <v>0.18497972104455501</v>
      </c>
      <c r="F502">
        <v>0.114100773527122</v>
      </c>
      <c r="G502">
        <v>6.5739097791387396E-2</v>
      </c>
      <c r="H502">
        <v>3.4933336447956202E-2</v>
      </c>
      <c r="I502">
        <v>2.9852664887050101E-2</v>
      </c>
      <c r="J502">
        <v>2.62990689087775E-2</v>
      </c>
      <c r="K502">
        <v>1.2173283340230399E-2</v>
      </c>
      <c r="L502">
        <v>868.58541098095498</v>
      </c>
      <c r="M502">
        <v>19.2323793748238</v>
      </c>
      <c r="N502">
        <v>45.328728083922698</v>
      </c>
      <c r="O502">
        <v>44.6828892837758</v>
      </c>
      <c r="P502">
        <v>-0.103948318326322</v>
      </c>
      <c r="Q502">
        <v>3.4017718087447801E-2</v>
      </c>
      <c r="R502">
        <v>0.99454310377029698</v>
      </c>
      <c r="S502" t="s">
        <v>4131</v>
      </c>
      <c r="T502" t="s">
        <v>7256</v>
      </c>
      <c r="U502" t="s">
        <v>7256</v>
      </c>
      <c r="V502" t="s">
        <v>7256</v>
      </c>
      <c r="W502">
        <v>10</v>
      </c>
      <c r="X502" t="s">
        <v>7758</v>
      </c>
      <c r="Y502">
        <v>0.21784311083951341</v>
      </c>
      <c r="Z502" t="str">
        <f>HYPERLINK("Melting_Curves/meltCurve_sp_P08559_3_ODPA_HUMAN_.pdf", "Melting_Curves/meltCurve_sp_P08559_3_ODPA_HUMAN_.pdf")</f>
        <v>Melting_Curves/meltCurve_sp_P08559_3_ODPA_HUMAN_.pdf</v>
      </c>
      <c r="AA502" t="s">
        <v>11374</v>
      </c>
      <c r="AB502" t="s">
        <v>14928</v>
      </c>
    </row>
    <row r="503" spans="1:28" x14ac:dyDescent="0.25">
      <c r="A503" t="s">
        <v>507</v>
      </c>
      <c r="B503">
        <v>0.98018197421672304</v>
      </c>
      <c r="C503">
        <v>0.89056514897472805</v>
      </c>
      <c r="D503">
        <v>0.98661054072104504</v>
      </c>
      <c r="E503">
        <v>0.89557420501963303</v>
      </c>
      <c r="F503">
        <v>0.78723888724406799</v>
      </c>
      <c r="G503">
        <v>0.53590243609994703</v>
      </c>
      <c r="H503">
        <v>0.39131630464685402</v>
      </c>
      <c r="I503">
        <v>0.402782273206992</v>
      </c>
      <c r="J503">
        <v>0.49602940046383398</v>
      </c>
      <c r="K503">
        <v>0.68201294425712899</v>
      </c>
      <c r="L503">
        <v>1721.0758330373701</v>
      </c>
      <c r="M503">
        <v>32.378062464056001</v>
      </c>
      <c r="N503">
        <v>60.788477115859401</v>
      </c>
      <c r="O503">
        <v>52.954077303602197</v>
      </c>
      <c r="P503">
        <v>-7.7741019600964897E-2</v>
      </c>
      <c r="Q503">
        <v>0.491423037640567</v>
      </c>
      <c r="R503">
        <v>0.85537984457229999</v>
      </c>
      <c r="S503" t="s">
        <v>4132</v>
      </c>
      <c r="T503" t="s">
        <v>7256</v>
      </c>
      <c r="U503" t="s">
        <v>7256</v>
      </c>
      <c r="V503" t="s">
        <v>7256</v>
      </c>
      <c r="W503">
        <v>3</v>
      </c>
      <c r="X503" t="s">
        <v>7759</v>
      </c>
      <c r="Y503">
        <v>0.71728934842801095</v>
      </c>
      <c r="Z503" t="str">
        <f>HYPERLINK("Melting_Curves/meltCurve_sp_P08579_RU2B_HUMAN_.pdf", "Melting_Curves/meltCurve_sp_P08579_RU2B_HUMAN_.pdf")</f>
        <v>Melting_Curves/meltCurve_sp_P08579_RU2B_HUMAN_.pdf</v>
      </c>
      <c r="AA503" t="s">
        <v>11375</v>
      </c>
      <c r="AB503" t="s">
        <v>14929</v>
      </c>
    </row>
    <row r="504" spans="1:28" x14ac:dyDescent="0.25">
      <c r="A504" t="s">
        <v>508</v>
      </c>
      <c r="B504">
        <v>0.98018197421672304</v>
      </c>
      <c r="C504">
        <v>0.92832439354153096</v>
      </c>
      <c r="D504">
        <v>0.81262395560965395</v>
      </c>
      <c r="E504">
        <v>0.55971428306382598</v>
      </c>
      <c r="F504">
        <v>0.37834140860821902</v>
      </c>
      <c r="G504">
        <v>0.26291608523846999</v>
      </c>
      <c r="H504">
        <v>0.20347775014652</v>
      </c>
      <c r="I504">
        <v>0.19017027653829399</v>
      </c>
      <c r="J504">
        <v>0.165048017990615</v>
      </c>
      <c r="K504">
        <v>0.12571318606845799</v>
      </c>
      <c r="L504">
        <v>742.53226890501196</v>
      </c>
      <c r="M504">
        <v>14.9048159886134</v>
      </c>
      <c r="N504">
        <v>50.963114508209898</v>
      </c>
      <c r="O504">
        <v>48.947292991777502</v>
      </c>
      <c r="P504">
        <v>-6.5303289724205502E-2</v>
      </c>
      <c r="Q504">
        <v>0.142266981112633</v>
      </c>
      <c r="R504">
        <v>0.99857509080972795</v>
      </c>
      <c r="S504" t="s">
        <v>4133</v>
      </c>
      <c r="T504" t="s">
        <v>7256</v>
      </c>
      <c r="U504" t="s">
        <v>7256</v>
      </c>
      <c r="V504" t="s">
        <v>7256</v>
      </c>
      <c r="W504">
        <v>17</v>
      </c>
      <c r="X504" t="s">
        <v>7760</v>
      </c>
      <c r="Y504">
        <v>0.44379309075742829</v>
      </c>
      <c r="Z504" t="str">
        <f>HYPERLINK("Melting_Curves/meltCurve_sp_P08603_CFAH_HUMAN_.pdf", "Melting_Curves/meltCurve_sp_P08603_CFAH_HUMAN_.pdf")</f>
        <v>Melting_Curves/meltCurve_sp_P08603_CFAH_HUMAN_.pdf</v>
      </c>
      <c r="AA504" t="s">
        <v>11376</v>
      </c>
      <c r="AB504" t="s">
        <v>14930</v>
      </c>
    </row>
    <row r="505" spans="1:28" x14ac:dyDescent="0.25">
      <c r="A505" t="s">
        <v>509</v>
      </c>
      <c r="B505">
        <v>0.98018197421672304</v>
      </c>
      <c r="C505">
        <v>0.92016646970543903</v>
      </c>
      <c r="D505">
        <v>0.91522433481670395</v>
      </c>
      <c r="E505">
        <v>0.63452465093135602</v>
      </c>
      <c r="F505">
        <v>0.27073048813860601</v>
      </c>
      <c r="G505">
        <v>0.169908840646533</v>
      </c>
      <c r="H505">
        <v>0.13204337950976999</v>
      </c>
      <c r="I505">
        <v>0.107646429410881</v>
      </c>
      <c r="J505">
        <v>0.11153024690039801</v>
      </c>
      <c r="K505">
        <v>9.37787570917612E-2</v>
      </c>
      <c r="L505">
        <v>1300.0407717058099</v>
      </c>
      <c r="M505">
        <v>25.7699535914285</v>
      </c>
      <c r="N505">
        <v>50.925085678564599</v>
      </c>
      <c r="O505">
        <v>50.147083145660901</v>
      </c>
      <c r="P505">
        <v>-0.11469368982247601</v>
      </c>
      <c r="Q505">
        <v>0.10725717075249699</v>
      </c>
      <c r="R505">
        <v>0.99349802165105805</v>
      </c>
      <c r="S505" t="s">
        <v>4134</v>
      </c>
      <c r="T505" t="s">
        <v>7256</v>
      </c>
      <c r="U505" t="s">
        <v>7256</v>
      </c>
      <c r="V505" t="s">
        <v>7256</v>
      </c>
      <c r="W505">
        <v>5</v>
      </c>
      <c r="X505" t="s">
        <v>7761</v>
      </c>
      <c r="Y505">
        <v>0.42571377161263141</v>
      </c>
      <c r="Z505" t="str">
        <f>HYPERLINK("Melting_Curves/meltCurve_sp_P08621_2_RU17_HUMAN_.pdf", "Melting_Curves/meltCurve_sp_P08621_2_RU17_HUMAN_.pdf")</f>
        <v>Melting_Curves/meltCurve_sp_P08621_2_RU17_HUMAN_.pdf</v>
      </c>
      <c r="AA505" t="s">
        <v>11377</v>
      </c>
      <c r="AB505" t="s">
        <v>14931</v>
      </c>
    </row>
    <row r="506" spans="1:28" x14ac:dyDescent="0.25">
      <c r="A506" t="s">
        <v>510</v>
      </c>
      <c r="B506">
        <v>0.98018197421672304</v>
      </c>
      <c r="C506">
        <v>0.93311263849632498</v>
      </c>
      <c r="D506">
        <v>0.91292870015733796</v>
      </c>
      <c r="E506">
        <v>0.75155292218578995</v>
      </c>
      <c r="F506">
        <v>0.51220659585205697</v>
      </c>
      <c r="G506">
        <v>0.308266523132667</v>
      </c>
      <c r="H506">
        <v>0.30879058604913801</v>
      </c>
      <c r="I506">
        <v>0.30478595543618098</v>
      </c>
      <c r="J506">
        <v>0.28025613743030398</v>
      </c>
      <c r="K506">
        <v>0.27088323555628302</v>
      </c>
      <c r="L506">
        <v>1077.3275506627599</v>
      </c>
      <c r="M506">
        <v>21.0430823333785</v>
      </c>
      <c r="N506">
        <v>53.1923177997759</v>
      </c>
      <c r="O506">
        <v>50.740652774469602</v>
      </c>
      <c r="P506">
        <v>-7.5377491037709299E-2</v>
      </c>
      <c r="Q506">
        <v>0.272995907851449</v>
      </c>
      <c r="R506">
        <v>0.99171480523655697</v>
      </c>
      <c r="S506" t="s">
        <v>4135</v>
      </c>
      <c r="T506" t="s">
        <v>7256</v>
      </c>
      <c r="U506" t="s">
        <v>7256</v>
      </c>
      <c r="V506" t="s">
        <v>7256</v>
      </c>
      <c r="W506">
        <v>7</v>
      </c>
      <c r="X506" t="s">
        <v>7762</v>
      </c>
      <c r="Y506">
        <v>0.55349220169113889</v>
      </c>
      <c r="Z506" t="str">
        <f>HYPERLINK("Melting_Curves/meltCurve_sp_P08651_2_NFIC_HUMAN_.pdf", "Melting_Curves/meltCurve_sp_P08651_2_NFIC_HUMAN_.pdf")</f>
        <v>Melting_Curves/meltCurve_sp_P08651_2_NFIC_HUMAN_.pdf</v>
      </c>
      <c r="AA506" t="s">
        <v>11378</v>
      </c>
      <c r="AB506" t="s">
        <v>14932</v>
      </c>
    </row>
    <row r="507" spans="1:28" x14ac:dyDescent="0.25">
      <c r="A507" t="s">
        <v>511</v>
      </c>
      <c r="B507">
        <v>0.98018197421672304</v>
      </c>
      <c r="C507">
        <v>0.98612365148671499</v>
      </c>
      <c r="D507">
        <v>0.71155929584359201</v>
      </c>
      <c r="E507">
        <v>0.60942412028684601</v>
      </c>
      <c r="F507">
        <v>0.62478802787881205</v>
      </c>
      <c r="G507">
        <v>0.451809581177607</v>
      </c>
      <c r="H507">
        <v>0.28122005019360902</v>
      </c>
      <c r="I507">
        <v>0.277736191570155</v>
      </c>
      <c r="J507">
        <v>0.51524471565733998</v>
      </c>
      <c r="K507">
        <v>0.56721369659664</v>
      </c>
      <c r="L507">
        <v>755.09090967715497</v>
      </c>
      <c r="M507">
        <v>15.825598262995101</v>
      </c>
      <c r="N507">
        <v>53.880679542748702</v>
      </c>
      <c r="O507">
        <v>46.9709022088038</v>
      </c>
      <c r="P507">
        <v>-4.9001703361925997E-2</v>
      </c>
      <c r="Q507">
        <v>0.41829288886218502</v>
      </c>
      <c r="R507">
        <v>0.81722868004316696</v>
      </c>
      <c r="S507" t="s">
        <v>4136</v>
      </c>
      <c r="T507" t="s">
        <v>7256</v>
      </c>
      <c r="U507" t="s">
        <v>7256</v>
      </c>
      <c r="V507" t="s">
        <v>7256</v>
      </c>
      <c r="W507">
        <v>33</v>
      </c>
      <c r="X507" t="s">
        <v>7763</v>
      </c>
      <c r="Y507">
        <v>0.58147554291166181</v>
      </c>
      <c r="Z507" t="str">
        <f>HYPERLINK("Melting_Curves/meltCurve_sp_P08670_VIME_HUMAN_.pdf", "Melting_Curves/meltCurve_sp_P08670_VIME_HUMAN_.pdf")</f>
        <v>Melting_Curves/meltCurve_sp_P08670_VIME_HUMAN_.pdf</v>
      </c>
      <c r="AA507" t="s">
        <v>11379</v>
      </c>
      <c r="AB507" t="s">
        <v>14933</v>
      </c>
    </row>
    <row r="508" spans="1:28" x14ac:dyDescent="0.25">
      <c r="A508" t="s">
        <v>512</v>
      </c>
      <c r="B508">
        <v>0.98018197421672304</v>
      </c>
      <c r="C508">
        <v>1.2047998352234</v>
      </c>
      <c r="D508">
        <v>1.1624887043157099</v>
      </c>
      <c r="E508">
        <v>1.0166745923268801</v>
      </c>
      <c r="F508">
        <v>0.765098939299373</v>
      </c>
      <c r="G508">
        <v>0.44793621896492503</v>
      </c>
      <c r="H508">
        <v>0.205229967919144</v>
      </c>
      <c r="I508">
        <v>0.148320237884179</v>
      </c>
      <c r="J508">
        <v>0.101867960618905</v>
      </c>
      <c r="K508">
        <v>0.10116652380364199</v>
      </c>
      <c r="L508">
        <v>1402.7380438566599</v>
      </c>
      <c r="M508">
        <v>25.137156542747601</v>
      </c>
      <c r="N508">
        <v>56.317366595326703</v>
      </c>
      <c r="O508">
        <v>55.453803776970403</v>
      </c>
      <c r="P508">
        <v>-0.101709950402215</v>
      </c>
      <c r="Q508">
        <v>0.10250329905118601</v>
      </c>
      <c r="R508">
        <v>0.95956552341907897</v>
      </c>
      <c r="S508" t="s">
        <v>4137</v>
      </c>
      <c r="T508" t="s">
        <v>7256</v>
      </c>
      <c r="U508" t="s">
        <v>7256</v>
      </c>
      <c r="V508" t="s">
        <v>7256</v>
      </c>
      <c r="W508">
        <v>5</v>
      </c>
      <c r="X508" t="s">
        <v>7764</v>
      </c>
      <c r="Y508">
        <v>0.58346751562584709</v>
      </c>
      <c r="Z508" t="str">
        <f>HYPERLINK("Melting_Curves/meltCurve_sp_P08697_A2AP_HUMAN_.pdf", "Melting_Curves/meltCurve_sp_P08697_A2AP_HUMAN_.pdf")</f>
        <v>Melting_Curves/meltCurve_sp_P08697_A2AP_HUMAN_.pdf</v>
      </c>
      <c r="AA508" t="s">
        <v>11380</v>
      </c>
      <c r="AB508" t="s">
        <v>14934</v>
      </c>
    </row>
    <row r="509" spans="1:28" x14ac:dyDescent="0.25">
      <c r="A509" t="s">
        <v>513</v>
      </c>
      <c r="B509">
        <v>0.98018197421672304</v>
      </c>
      <c r="C509">
        <v>0.94805291236847999</v>
      </c>
      <c r="D509">
        <v>0.79590639522422602</v>
      </c>
      <c r="E509">
        <v>0.75303514560093798</v>
      </c>
      <c r="F509">
        <v>0.55987118481156395</v>
      </c>
      <c r="G509">
        <v>0.39191931182338302</v>
      </c>
      <c r="H509">
        <v>0.34168334687222701</v>
      </c>
      <c r="I509">
        <v>0.27468544537928802</v>
      </c>
      <c r="J509">
        <v>0.24745114980195501</v>
      </c>
      <c r="K509">
        <v>0.25709943415435199</v>
      </c>
      <c r="L509">
        <v>585.79930381050599</v>
      </c>
      <c r="M509">
        <v>11.215962758675399</v>
      </c>
      <c r="N509">
        <v>54.624086529983103</v>
      </c>
      <c r="O509">
        <v>50.651305376654904</v>
      </c>
      <c r="P509">
        <v>-4.46205035118152E-2</v>
      </c>
      <c r="Q509">
        <v>0.19422717179453999</v>
      </c>
      <c r="R509">
        <v>0.98881639909935104</v>
      </c>
      <c r="S509" t="s">
        <v>4138</v>
      </c>
      <c r="T509" t="s">
        <v>7256</v>
      </c>
      <c r="U509" t="s">
        <v>7256</v>
      </c>
      <c r="V509" t="s">
        <v>7256</v>
      </c>
      <c r="W509">
        <v>14</v>
      </c>
      <c r="X509" t="s">
        <v>7765</v>
      </c>
      <c r="Y509">
        <v>0.54903277598764177</v>
      </c>
      <c r="Z509" t="str">
        <f>HYPERLINK("Melting_Curves/meltCurve_sp_P08727_K1C19_HUMAN_.pdf", "Melting_Curves/meltCurve_sp_P08727_K1C19_HUMAN_.pdf")</f>
        <v>Melting_Curves/meltCurve_sp_P08727_K1C19_HUMAN_.pdf</v>
      </c>
      <c r="AA509" t="s">
        <v>11381</v>
      </c>
      <c r="AB509" t="s">
        <v>14935</v>
      </c>
    </row>
    <row r="510" spans="1:28" x14ac:dyDescent="0.25">
      <c r="A510" t="s">
        <v>514</v>
      </c>
      <c r="B510">
        <v>0.98018197421672304</v>
      </c>
      <c r="C510">
        <v>0.93550700317020896</v>
      </c>
      <c r="D510">
        <v>0.93582753765697801</v>
      </c>
      <c r="E510">
        <v>0.84150809944274196</v>
      </c>
      <c r="F510">
        <v>0.66389913781160703</v>
      </c>
      <c r="G510">
        <v>0.44363742923500099</v>
      </c>
      <c r="H510">
        <v>0.41740663890237101</v>
      </c>
      <c r="I510">
        <v>0.29573150639603601</v>
      </c>
      <c r="J510">
        <v>0.21774471608953</v>
      </c>
      <c r="K510">
        <v>0.227405918393595</v>
      </c>
      <c r="L510">
        <v>666.450626300816</v>
      </c>
      <c r="M510">
        <v>12.1268911379114</v>
      </c>
      <c r="N510">
        <v>56.822613294631999</v>
      </c>
      <c r="O510">
        <v>53.526052978638802</v>
      </c>
      <c r="P510">
        <v>-4.73472516191129E-2</v>
      </c>
      <c r="Q510">
        <v>0.164262304763412</v>
      </c>
      <c r="R510">
        <v>0.98854297000594904</v>
      </c>
      <c r="S510" t="s">
        <v>4139</v>
      </c>
      <c r="T510" t="s">
        <v>7256</v>
      </c>
      <c r="U510" t="s">
        <v>7256</v>
      </c>
      <c r="V510" t="s">
        <v>7256</v>
      </c>
      <c r="W510">
        <v>12</v>
      </c>
      <c r="X510" t="s">
        <v>7766</v>
      </c>
      <c r="Y510">
        <v>0.60047343818203514</v>
      </c>
      <c r="Z510" t="str">
        <f>HYPERLINK("Melting_Curves/meltCurve_sp_P08729_K2C7_HUMAN_.pdf", "Melting_Curves/meltCurve_sp_P08729_K2C7_HUMAN_.pdf")</f>
        <v>Melting_Curves/meltCurve_sp_P08729_K2C7_HUMAN_.pdf</v>
      </c>
      <c r="AA510" t="s">
        <v>11382</v>
      </c>
      <c r="AB510" t="s">
        <v>14936</v>
      </c>
    </row>
    <row r="511" spans="1:28" x14ac:dyDescent="0.25">
      <c r="A511" t="s">
        <v>515</v>
      </c>
      <c r="B511">
        <v>0.98018197421672304</v>
      </c>
      <c r="C511">
        <v>0.89264879702910005</v>
      </c>
      <c r="D511">
        <v>0.84897401817343998</v>
      </c>
      <c r="E511">
        <v>0.99575792258252604</v>
      </c>
      <c r="F511">
        <v>0.55463373274555305</v>
      </c>
      <c r="G511">
        <v>4.5886337252906202E-2</v>
      </c>
      <c r="H511">
        <v>1.1759577092936999</v>
      </c>
      <c r="I511">
        <v>0.102339928565923</v>
      </c>
      <c r="J511">
        <v>18.2947776162212</v>
      </c>
      <c r="K511">
        <v>4.8204871878617803</v>
      </c>
      <c r="L511">
        <v>15000</v>
      </c>
      <c r="M511">
        <v>230.60740932648599</v>
      </c>
      <c r="O511">
        <v>65.040718977547201</v>
      </c>
      <c r="P511">
        <v>0.44319814279901198</v>
      </c>
      <c r="Q511">
        <v>1.5</v>
      </c>
      <c r="R511">
        <v>-5.1439941063604798E-2</v>
      </c>
      <c r="S511" t="s">
        <v>4140</v>
      </c>
      <c r="T511" t="s">
        <v>7256</v>
      </c>
      <c r="U511" t="s">
        <v>7256</v>
      </c>
      <c r="V511" t="s">
        <v>7256</v>
      </c>
      <c r="W511">
        <v>20</v>
      </c>
      <c r="X511" t="s">
        <v>7767</v>
      </c>
      <c r="Y511">
        <v>1.082506056072351</v>
      </c>
      <c r="Z511" t="str">
        <f>HYPERLINK("Melting_Curves/meltCurve_sp_P08779_K1C16_HUMAN_.pdf", "Melting_Curves/meltCurve_sp_P08779_K1C16_HUMAN_.pdf")</f>
        <v>Melting_Curves/meltCurve_sp_P08779_K1C16_HUMAN_.pdf</v>
      </c>
      <c r="AA511" t="s">
        <v>11383</v>
      </c>
      <c r="AB511" t="s">
        <v>14937</v>
      </c>
    </row>
    <row r="512" spans="1:28" x14ac:dyDescent="0.25">
      <c r="A512" t="s">
        <v>516</v>
      </c>
      <c r="B512">
        <v>0.98018197421672304</v>
      </c>
      <c r="C512">
        <v>0.77293525506414995</v>
      </c>
      <c r="D512">
        <v>0.90868056107135298</v>
      </c>
      <c r="E512">
        <v>0.93674108156045299</v>
      </c>
      <c r="F512">
        <v>0.62295467135542004</v>
      </c>
      <c r="G512">
        <v>0.64729796065384104</v>
      </c>
      <c r="H512">
        <v>0.360970643926249</v>
      </c>
      <c r="I512">
        <v>0.15759423859637101</v>
      </c>
      <c r="J512">
        <v>5.2312349233247298E-2</v>
      </c>
      <c r="K512">
        <v>2.71726458424137E-2</v>
      </c>
      <c r="L512">
        <v>764.08821781545703</v>
      </c>
      <c r="M512">
        <v>13.3160247000122</v>
      </c>
      <c r="N512">
        <v>57.381110800552101</v>
      </c>
      <c r="O512">
        <v>56.133325032200197</v>
      </c>
      <c r="P512">
        <v>-5.9314886384639498E-2</v>
      </c>
      <c r="Q512">
        <v>0</v>
      </c>
      <c r="R512">
        <v>0.92025973735217304</v>
      </c>
      <c r="S512" t="s">
        <v>4141</v>
      </c>
      <c r="T512" t="s">
        <v>7256</v>
      </c>
      <c r="U512" t="s">
        <v>7256</v>
      </c>
      <c r="V512" t="s">
        <v>7256</v>
      </c>
      <c r="W512">
        <v>25</v>
      </c>
      <c r="X512" t="s">
        <v>7768</v>
      </c>
      <c r="Y512">
        <v>0.59482753620886297</v>
      </c>
      <c r="Z512" t="str">
        <f>HYPERLINK("Melting_Curves/meltCurve_sp_P09110_THIK_HUMAN_.pdf", "Melting_Curves/meltCurve_sp_P09110_THIK_HUMAN_.pdf")</f>
        <v>Melting_Curves/meltCurve_sp_P09110_THIK_HUMAN_.pdf</v>
      </c>
      <c r="AA512" t="s">
        <v>11384</v>
      </c>
      <c r="AB512" t="s">
        <v>14938</v>
      </c>
    </row>
    <row r="513" spans="1:28" x14ac:dyDescent="0.25">
      <c r="A513" t="s">
        <v>517</v>
      </c>
      <c r="B513">
        <v>0.98018197421672304</v>
      </c>
      <c r="C513">
        <v>0.72474204751791105</v>
      </c>
      <c r="D513">
        <v>0.84772483793734799</v>
      </c>
      <c r="E513">
        <v>0.34494336246738599</v>
      </c>
      <c r="F513">
        <v>0.185899888669182</v>
      </c>
      <c r="G513">
        <v>0.133041246897149</v>
      </c>
      <c r="H513">
        <v>9.3252690207069999E-2</v>
      </c>
      <c r="I513">
        <v>7.84768817462181E-2</v>
      </c>
      <c r="J513">
        <v>0.10923829066342999</v>
      </c>
      <c r="K513">
        <v>7.1960117177606697E-2</v>
      </c>
      <c r="L513">
        <v>849.65719103978904</v>
      </c>
      <c r="M513">
        <v>17.677265515918599</v>
      </c>
      <c r="N513">
        <v>48.487811705304999</v>
      </c>
      <c r="O513">
        <v>47.462543322225798</v>
      </c>
      <c r="P513">
        <v>-8.6464941760840602E-2</v>
      </c>
      <c r="Q513">
        <v>7.1434088158295397E-2</v>
      </c>
      <c r="R513">
        <v>0.95264224107810003</v>
      </c>
      <c r="S513" t="s">
        <v>4142</v>
      </c>
      <c r="T513" t="s">
        <v>7256</v>
      </c>
      <c r="U513" t="s">
        <v>7256</v>
      </c>
      <c r="V513" t="s">
        <v>7256</v>
      </c>
      <c r="W513">
        <v>2</v>
      </c>
      <c r="X513" t="s">
        <v>7769</v>
      </c>
      <c r="Y513">
        <v>0.33813587508373022</v>
      </c>
      <c r="Z513" t="str">
        <f>HYPERLINK("Melting_Curves/meltCurve_sp_P09132_SRP19_HUMAN_.pdf", "Melting_Curves/meltCurve_sp_P09132_SRP19_HUMAN_.pdf")</f>
        <v>Melting_Curves/meltCurve_sp_P09132_SRP19_HUMAN_.pdf</v>
      </c>
      <c r="AA513" t="s">
        <v>11385</v>
      </c>
      <c r="AB513" t="s">
        <v>14939</v>
      </c>
    </row>
    <row r="514" spans="1:28" x14ac:dyDescent="0.25">
      <c r="A514" t="s">
        <v>518</v>
      </c>
      <c r="B514">
        <v>0.98018197421672304</v>
      </c>
      <c r="C514">
        <v>0.87606651503864297</v>
      </c>
      <c r="D514">
        <v>0.81138511532433899</v>
      </c>
      <c r="E514">
        <v>0.23892447821695501</v>
      </c>
      <c r="F514">
        <v>9.7665854753956602E-2</v>
      </c>
      <c r="G514">
        <v>5.3690041299323699E-2</v>
      </c>
      <c r="H514">
        <v>2.9954800391298199E-2</v>
      </c>
      <c r="I514">
        <v>1.85608064660816E-2</v>
      </c>
      <c r="J514">
        <v>2.0168319116439699E-2</v>
      </c>
      <c r="K514">
        <v>9.3634386318157108E-3</v>
      </c>
      <c r="L514">
        <v>1333.1361152188499</v>
      </c>
      <c r="M514">
        <v>27.782484718078098</v>
      </c>
      <c r="N514">
        <v>48.063925071872802</v>
      </c>
      <c r="O514">
        <v>47.738245494124001</v>
      </c>
      <c r="P514">
        <v>-0.14224113646453801</v>
      </c>
      <c r="Q514">
        <v>2.2365394364119599E-2</v>
      </c>
      <c r="R514">
        <v>0.99262786153793703</v>
      </c>
      <c r="S514" t="s">
        <v>4143</v>
      </c>
      <c r="T514" t="s">
        <v>7256</v>
      </c>
      <c r="U514" t="s">
        <v>7256</v>
      </c>
      <c r="V514" t="s">
        <v>7256</v>
      </c>
      <c r="W514">
        <v>17</v>
      </c>
      <c r="X514" t="s">
        <v>7770</v>
      </c>
      <c r="Y514">
        <v>0.28948338874321039</v>
      </c>
      <c r="Z514" t="str">
        <f>HYPERLINK("Melting_Curves/meltCurve_sp_P09210_GSTA2_HUMAN_.pdf", "Melting_Curves/meltCurve_sp_P09210_GSTA2_HUMAN_.pdf")</f>
        <v>Melting_Curves/meltCurve_sp_P09210_GSTA2_HUMAN_.pdf</v>
      </c>
      <c r="AA514" t="s">
        <v>11386</v>
      </c>
      <c r="AB514" t="s">
        <v>14940</v>
      </c>
    </row>
    <row r="515" spans="1:28" x14ac:dyDescent="0.25">
      <c r="A515" t="s">
        <v>519</v>
      </c>
      <c r="B515">
        <v>0.98018197421672304</v>
      </c>
      <c r="C515">
        <v>0.88517251570415101</v>
      </c>
      <c r="D515">
        <v>0.82374852404133903</v>
      </c>
      <c r="E515">
        <v>0.63706133338336102</v>
      </c>
      <c r="F515">
        <v>0.32636289502209498</v>
      </c>
      <c r="G515">
        <v>0.237406432033438</v>
      </c>
      <c r="H515">
        <v>0.29797344602370202</v>
      </c>
      <c r="I515">
        <v>0.26349400304853898</v>
      </c>
      <c r="J515">
        <v>0.21034791831501501</v>
      </c>
      <c r="K515">
        <v>0.30334503434769899</v>
      </c>
      <c r="L515">
        <v>933.03625814279599</v>
      </c>
      <c r="M515">
        <v>19.0017870296514</v>
      </c>
      <c r="N515">
        <v>50.887189110295203</v>
      </c>
      <c r="O515">
        <v>48.5684190857395</v>
      </c>
      <c r="P515">
        <v>-7.4022941860380498E-2</v>
      </c>
      <c r="Q515">
        <v>0.24322193446663501</v>
      </c>
      <c r="R515">
        <v>0.96930934235171395</v>
      </c>
      <c r="S515" t="s">
        <v>4144</v>
      </c>
      <c r="T515" t="s">
        <v>7256</v>
      </c>
      <c r="U515" t="s">
        <v>7256</v>
      </c>
      <c r="V515" t="s">
        <v>7256</v>
      </c>
      <c r="W515">
        <v>1</v>
      </c>
      <c r="X515" t="s">
        <v>7771</v>
      </c>
      <c r="Y515">
        <v>0.48458496640680471</v>
      </c>
      <c r="Z515" t="str">
        <f>HYPERLINK("Melting_Curves/meltCurve_sp_P09234_RU1C_HUMAN_.pdf", "Melting_Curves/meltCurve_sp_P09234_RU1C_HUMAN_.pdf")</f>
        <v>Melting_Curves/meltCurve_sp_P09234_RU1C_HUMAN_.pdf</v>
      </c>
      <c r="AA515" t="s">
        <v>11387</v>
      </c>
      <c r="AB515" t="s">
        <v>14941</v>
      </c>
    </row>
    <row r="516" spans="1:28" x14ac:dyDescent="0.25">
      <c r="A516" t="s">
        <v>520</v>
      </c>
      <c r="B516">
        <v>0.98018197421672304</v>
      </c>
      <c r="C516">
        <v>0.86548388528902798</v>
      </c>
      <c r="D516">
        <v>0.70159911880300696</v>
      </c>
      <c r="E516">
        <v>0.34997819501224903</v>
      </c>
      <c r="F516">
        <v>0.145794362533265</v>
      </c>
      <c r="G516">
        <v>6.9095344282250407E-2</v>
      </c>
      <c r="H516">
        <v>4.1874607937845303E-2</v>
      </c>
      <c r="I516">
        <v>3.1563799991669098E-2</v>
      </c>
      <c r="J516">
        <v>3.7770703635875799E-2</v>
      </c>
      <c r="K516">
        <v>3.1779018196677E-2</v>
      </c>
      <c r="L516">
        <v>868.36913039169201</v>
      </c>
      <c r="M516">
        <v>18.117896299161998</v>
      </c>
      <c r="N516">
        <v>48.050871224049203</v>
      </c>
      <c r="O516">
        <v>47.356378422506303</v>
      </c>
      <c r="P516">
        <v>-9.3499889228650407E-2</v>
      </c>
      <c r="Q516">
        <v>2.2491072174037698E-2</v>
      </c>
      <c r="R516">
        <v>0.99843753043349903</v>
      </c>
      <c r="S516" t="s">
        <v>4145</v>
      </c>
      <c r="T516" t="s">
        <v>7256</v>
      </c>
      <c r="U516" t="s">
        <v>7256</v>
      </c>
      <c r="V516" t="s">
        <v>7256</v>
      </c>
      <c r="W516">
        <v>20</v>
      </c>
      <c r="X516" t="s">
        <v>7772</v>
      </c>
      <c r="Y516">
        <v>0.29798575387801962</v>
      </c>
      <c r="Z516" t="str">
        <f>HYPERLINK("Melting_Curves/meltCurve_sp_P09327_VILI_HUMAN_.pdf", "Melting_Curves/meltCurve_sp_P09327_VILI_HUMAN_.pdf")</f>
        <v>Melting_Curves/meltCurve_sp_P09327_VILI_HUMAN_.pdf</v>
      </c>
      <c r="AA516" t="s">
        <v>11388</v>
      </c>
      <c r="AB516" t="s">
        <v>14942</v>
      </c>
    </row>
    <row r="517" spans="1:28" x14ac:dyDescent="0.25">
      <c r="A517" t="s">
        <v>521</v>
      </c>
      <c r="B517">
        <v>0.98018197421672304</v>
      </c>
      <c r="C517">
        <v>1.04085424899628</v>
      </c>
      <c r="D517">
        <v>1.00397736754323</v>
      </c>
      <c r="E517">
        <v>0.84626654856549699</v>
      </c>
      <c r="F517">
        <v>0.86188905715235098</v>
      </c>
      <c r="G517">
        <v>0.77306507255296697</v>
      </c>
      <c r="H517">
        <v>0.53726660894435896</v>
      </c>
      <c r="I517">
        <v>0.48581876960641102</v>
      </c>
      <c r="J517">
        <v>0.53170880677122301</v>
      </c>
      <c r="K517">
        <v>0.55135879422438205</v>
      </c>
      <c r="L517">
        <v>872.67029905944003</v>
      </c>
      <c r="M517">
        <v>15.624194306233001</v>
      </c>
      <c r="O517">
        <v>54.9628292979165</v>
      </c>
      <c r="P517">
        <v>-3.6776781471301499E-2</v>
      </c>
      <c r="Q517">
        <v>0.482550930260643</v>
      </c>
      <c r="R517">
        <v>0.94343330416938997</v>
      </c>
      <c r="S517" t="s">
        <v>4146</v>
      </c>
      <c r="T517" t="s">
        <v>7256</v>
      </c>
      <c r="U517" t="s">
        <v>7256</v>
      </c>
      <c r="V517" t="s">
        <v>7256</v>
      </c>
      <c r="W517">
        <v>7</v>
      </c>
      <c r="X517" t="s">
        <v>7773</v>
      </c>
      <c r="Y517">
        <v>0.76496718203979153</v>
      </c>
      <c r="Z517" t="str">
        <f>HYPERLINK("Melting_Curves/meltCurve_sp_P09382_LEG1_HUMAN_.pdf", "Melting_Curves/meltCurve_sp_P09382_LEG1_HUMAN_.pdf")</f>
        <v>Melting_Curves/meltCurve_sp_P09382_LEG1_HUMAN_.pdf</v>
      </c>
      <c r="AA517" t="s">
        <v>11389</v>
      </c>
      <c r="AB517" t="s">
        <v>14943</v>
      </c>
    </row>
    <row r="518" spans="1:28" x14ac:dyDescent="0.25">
      <c r="A518" t="s">
        <v>522</v>
      </c>
      <c r="B518">
        <v>0.98018197421672304</v>
      </c>
      <c r="C518">
        <v>1.00098982443468</v>
      </c>
      <c r="D518">
        <v>1.00931377465232</v>
      </c>
      <c r="E518">
        <v>0.84865731358861396</v>
      </c>
      <c r="F518">
        <v>0.359134896081442</v>
      </c>
      <c r="G518">
        <v>7.6678553222140206E-2</v>
      </c>
      <c r="H518">
        <v>3.85608354716208E-2</v>
      </c>
      <c r="I518">
        <v>2.7362670420692101E-2</v>
      </c>
      <c r="J518">
        <v>3.2371546198860901E-2</v>
      </c>
      <c r="K518">
        <v>1.9389968051171401E-2</v>
      </c>
      <c r="L518">
        <v>2049.6819407215798</v>
      </c>
      <c r="M518">
        <v>39.325861802467102</v>
      </c>
      <c r="N518">
        <v>52.205764309826399</v>
      </c>
      <c r="O518">
        <v>51.986234567267601</v>
      </c>
      <c r="P518">
        <v>-0.18323190930618199</v>
      </c>
      <c r="Q518">
        <v>3.11195132414907E-2</v>
      </c>
      <c r="R518">
        <v>0.999489293487409</v>
      </c>
      <c r="S518" t="s">
        <v>4147</v>
      </c>
      <c r="T518" t="s">
        <v>7256</v>
      </c>
      <c r="U518" t="s">
        <v>7256</v>
      </c>
      <c r="V518" t="s">
        <v>7256</v>
      </c>
      <c r="W518">
        <v>11</v>
      </c>
      <c r="X518" t="s">
        <v>7774</v>
      </c>
      <c r="Y518">
        <v>0.42617204189973718</v>
      </c>
      <c r="Z518" t="str">
        <f>HYPERLINK("Melting_Curves/meltCurve_sp_P09417_DHPR_HUMAN_.pdf", "Melting_Curves/meltCurve_sp_P09417_DHPR_HUMAN_.pdf")</f>
        <v>Melting_Curves/meltCurve_sp_P09417_DHPR_HUMAN_.pdf</v>
      </c>
      <c r="AA518" t="s">
        <v>11390</v>
      </c>
      <c r="AB518" t="s">
        <v>14944</v>
      </c>
    </row>
    <row r="519" spans="1:28" x14ac:dyDescent="0.25">
      <c r="A519" t="s">
        <v>523</v>
      </c>
      <c r="B519">
        <v>0.98018197421672304</v>
      </c>
      <c r="C519">
        <v>0.94218023828888198</v>
      </c>
      <c r="D519">
        <v>0.98550630797553795</v>
      </c>
      <c r="E519">
        <v>0.88373288438338404</v>
      </c>
      <c r="F519">
        <v>0.92701596102700801</v>
      </c>
      <c r="G519">
        <v>0.82967238567903301</v>
      </c>
      <c r="H519">
        <v>0.609830403053228</v>
      </c>
      <c r="I519">
        <v>0.69580459604503797</v>
      </c>
      <c r="J519">
        <v>0.65076278922384301</v>
      </c>
      <c r="K519">
        <v>0.80884424420338397</v>
      </c>
      <c r="L519">
        <v>1084.19880628649</v>
      </c>
      <c r="M519">
        <v>19.9188209085629</v>
      </c>
      <c r="O519">
        <v>53.891165655151497</v>
      </c>
      <c r="P519">
        <v>-2.8672864360358E-2</v>
      </c>
      <c r="Q519">
        <v>0.68970795351719505</v>
      </c>
      <c r="R519">
        <v>0.75950415816351102</v>
      </c>
      <c r="S519" t="s">
        <v>4148</v>
      </c>
      <c r="T519" t="s">
        <v>7256</v>
      </c>
      <c r="U519" t="s">
        <v>7256</v>
      </c>
      <c r="V519" t="s">
        <v>7256</v>
      </c>
      <c r="W519">
        <v>14</v>
      </c>
      <c r="X519" t="s">
        <v>7775</v>
      </c>
      <c r="Y519">
        <v>0.84317947739562149</v>
      </c>
      <c r="Z519" t="str">
        <f>HYPERLINK("Melting_Curves/meltCurve_sp_P09429_HMGB1_HUMAN_.pdf", "Melting_Curves/meltCurve_sp_P09429_HMGB1_HUMAN_.pdf")</f>
        <v>Melting_Curves/meltCurve_sp_P09429_HMGB1_HUMAN_.pdf</v>
      </c>
      <c r="AA519" t="s">
        <v>11391</v>
      </c>
      <c r="AB519" t="s">
        <v>14945</v>
      </c>
    </row>
    <row r="520" spans="1:28" x14ac:dyDescent="0.25">
      <c r="A520" t="s">
        <v>524</v>
      </c>
      <c r="B520">
        <v>0.98018197421672304</v>
      </c>
      <c r="C520">
        <v>0.93919487676248703</v>
      </c>
      <c r="D520">
        <v>0.90725389844391502</v>
      </c>
      <c r="E520">
        <v>0.84754027907206797</v>
      </c>
      <c r="F520">
        <v>0.77886848239747597</v>
      </c>
      <c r="G520">
        <v>0.69343238374975502</v>
      </c>
      <c r="H520">
        <v>0.53304397584044305</v>
      </c>
      <c r="I520">
        <v>0.56383990914759397</v>
      </c>
      <c r="J520">
        <v>0.42713985375234798</v>
      </c>
      <c r="K520">
        <v>0.15993331382161599</v>
      </c>
      <c r="L520">
        <v>474.17936033139699</v>
      </c>
      <c r="M520">
        <v>7.5860467855167899</v>
      </c>
      <c r="N520">
        <v>62.506779688354499</v>
      </c>
      <c r="O520">
        <v>58.606588713680203</v>
      </c>
      <c r="P520">
        <v>-3.2404633897334799E-2</v>
      </c>
      <c r="Q520">
        <v>0</v>
      </c>
      <c r="R520">
        <v>0.93622388062624595</v>
      </c>
      <c r="S520" t="s">
        <v>4149</v>
      </c>
      <c r="T520" t="s">
        <v>7256</v>
      </c>
      <c r="U520" t="s">
        <v>7256</v>
      </c>
      <c r="V520" t="s">
        <v>7256</v>
      </c>
      <c r="W520">
        <v>26</v>
      </c>
      <c r="X520" t="s">
        <v>7776</v>
      </c>
      <c r="Y520">
        <v>0.70299787916673506</v>
      </c>
      <c r="Z520" t="str">
        <f>HYPERLINK("Melting_Curves/meltCurve_sp_P09467_F16P1_HUMAN_.pdf", "Melting_Curves/meltCurve_sp_P09467_F16P1_HUMAN_.pdf")</f>
        <v>Melting_Curves/meltCurve_sp_P09467_F16P1_HUMAN_.pdf</v>
      </c>
      <c r="AA520" t="s">
        <v>11392</v>
      </c>
      <c r="AB520" t="s">
        <v>14946</v>
      </c>
    </row>
    <row r="521" spans="1:28" x14ac:dyDescent="0.25">
      <c r="A521" t="s">
        <v>525</v>
      </c>
      <c r="B521">
        <v>0.98018197421672304</v>
      </c>
      <c r="C521">
        <v>0.90090790695033796</v>
      </c>
      <c r="D521">
        <v>0.88008983289815401</v>
      </c>
      <c r="E521">
        <v>0.73791678127621796</v>
      </c>
      <c r="F521">
        <v>0.70892790818990103</v>
      </c>
      <c r="G521">
        <v>0.56859181473462495</v>
      </c>
      <c r="H521">
        <v>0.49472213779428598</v>
      </c>
      <c r="I521">
        <v>0.53684288616218501</v>
      </c>
      <c r="J521">
        <v>0.62466161332297099</v>
      </c>
      <c r="K521">
        <v>0.71095780901428995</v>
      </c>
      <c r="L521">
        <v>751.74807334919706</v>
      </c>
      <c r="M521">
        <v>15.626008155001299</v>
      </c>
      <c r="O521">
        <v>47.3415247028477</v>
      </c>
      <c r="P521">
        <v>-3.4354812640394097E-2</v>
      </c>
      <c r="Q521">
        <v>0.583701944963952</v>
      </c>
      <c r="R521">
        <v>0.84626087920314597</v>
      </c>
      <c r="S521" t="s">
        <v>4150</v>
      </c>
      <c r="T521" t="s">
        <v>7256</v>
      </c>
      <c r="U521" t="s">
        <v>7256</v>
      </c>
      <c r="V521" t="s">
        <v>7256</v>
      </c>
      <c r="W521">
        <v>24</v>
      </c>
      <c r="X521" t="s">
        <v>7777</v>
      </c>
      <c r="Y521">
        <v>0.70605219391286123</v>
      </c>
      <c r="Z521" t="str">
        <f>HYPERLINK("Melting_Curves/meltCurve_sp_P09493_3_TPM1_HUMAN_.pdf", "Melting_Curves/meltCurve_sp_P09493_3_TPM1_HUMAN_.pdf")</f>
        <v>Melting_Curves/meltCurve_sp_P09493_3_TPM1_HUMAN_.pdf</v>
      </c>
      <c r="AA521" t="s">
        <v>11393</v>
      </c>
      <c r="AB521" t="s">
        <v>14947</v>
      </c>
    </row>
    <row r="522" spans="1:28" x14ac:dyDescent="0.25">
      <c r="A522" t="s">
        <v>526</v>
      </c>
      <c r="B522">
        <v>0.98018197421672304</v>
      </c>
      <c r="C522">
        <v>1.0070529472934</v>
      </c>
      <c r="D522">
        <v>0.89900508398812695</v>
      </c>
      <c r="E522">
        <v>0.76402843215624505</v>
      </c>
      <c r="F522">
        <v>0.68260602044825902</v>
      </c>
      <c r="G522">
        <v>0.51868142213379997</v>
      </c>
      <c r="H522">
        <v>0.52180445847171297</v>
      </c>
      <c r="I522">
        <v>0.59952406720388796</v>
      </c>
      <c r="J522">
        <v>0.74539557661742095</v>
      </c>
      <c r="K522">
        <v>0.87852068077952905</v>
      </c>
      <c r="L522">
        <v>1350.18050009632</v>
      </c>
      <c r="M522">
        <v>28.164944701097699</v>
      </c>
      <c r="O522">
        <v>47.6985937392407</v>
      </c>
      <c r="P522">
        <v>-5.0764941005902502E-2</v>
      </c>
      <c r="Q522">
        <v>0.65611191012030401</v>
      </c>
      <c r="R522">
        <v>0.65260448679949301</v>
      </c>
      <c r="S522" t="s">
        <v>4151</v>
      </c>
      <c r="T522" t="s">
        <v>7256</v>
      </c>
      <c r="U522" t="s">
        <v>7256</v>
      </c>
      <c r="V522" t="s">
        <v>7256</v>
      </c>
      <c r="W522">
        <v>11</v>
      </c>
      <c r="X522" t="s">
        <v>7778</v>
      </c>
      <c r="Y522">
        <v>0.74947024483951963</v>
      </c>
      <c r="Z522" t="str">
        <f>HYPERLINK("Melting_Curves/meltCurve_sp_P09496_2_CLCA_HUMAN_.pdf", "Melting_Curves/meltCurve_sp_P09496_2_CLCA_HUMAN_.pdf")</f>
        <v>Melting_Curves/meltCurve_sp_P09496_2_CLCA_HUMAN_.pdf</v>
      </c>
      <c r="AA522" t="s">
        <v>11394</v>
      </c>
      <c r="AB522" t="s">
        <v>14948</v>
      </c>
    </row>
    <row r="523" spans="1:28" x14ac:dyDescent="0.25">
      <c r="A523" t="s">
        <v>527</v>
      </c>
      <c r="B523">
        <v>0.98018197421672304</v>
      </c>
      <c r="C523">
        <v>0.93157521359470996</v>
      </c>
      <c r="D523">
        <v>0.90636797679290404</v>
      </c>
      <c r="E523">
        <v>0.77245678712835097</v>
      </c>
      <c r="F523">
        <v>0.66929577508063498</v>
      </c>
      <c r="G523">
        <v>0.51667672316102098</v>
      </c>
      <c r="H523">
        <v>0.48841712988093</v>
      </c>
      <c r="I523">
        <v>0.51773391005518199</v>
      </c>
      <c r="J523">
        <v>0.67577324423215201</v>
      </c>
      <c r="K523">
        <v>0.71696864973636898</v>
      </c>
      <c r="L523">
        <v>1057.10536303043</v>
      </c>
      <c r="M523">
        <v>21.5984584830939</v>
      </c>
      <c r="O523">
        <v>48.529796651443903</v>
      </c>
      <c r="P523">
        <v>-4.62955114612335E-2</v>
      </c>
      <c r="Q523">
        <v>0.58392266770744095</v>
      </c>
      <c r="R523">
        <v>0.82078011314404997</v>
      </c>
      <c r="S523" t="s">
        <v>4152</v>
      </c>
      <c r="T523" t="s">
        <v>7256</v>
      </c>
      <c r="U523" t="s">
        <v>7256</v>
      </c>
      <c r="V523" t="s">
        <v>7256</v>
      </c>
      <c r="W523">
        <v>11</v>
      </c>
      <c r="X523" t="s">
        <v>7779</v>
      </c>
      <c r="Y523">
        <v>0.7129453599151554</v>
      </c>
      <c r="Z523" t="str">
        <f>HYPERLINK("Melting_Curves/meltCurve_sp_P09497_2_CLCB_HUMAN_.pdf", "Melting_Curves/meltCurve_sp_P09497_2_CLCB_HUMAN_.pdf")</f>
        <v>Melting_Curves/meltCurve_sp_P09497_2_CLCB_HUMAN_.pdf</v>
      </c>
      <c r="AA523" t="s">
        <v>11395</v>
      </c>
      <c r="AB523" t="s">
        <v>14949</v>
      </c>
    </row>
    <row r="524" spans="1:28" x14ac:dyDescent="0.25">
      <c r="A524" t="s">
        <v>528</v>
      </c>
      <c r="B524">
        <v>0.98018197421672304</v>
      </c>
      <c r="C524">
        <v>0.90107481283336699</v>
      </c>
      <c r="D524">
        <v>0.82731384464782098</v>
      </c>
      <c r="E524">
        <v>0.52649759128223195</v>
      </c>
      <c r="F524">
        <v>0.160517745735616</v>
      </c>
      <c r="G524">
        <v>0.17123306021950099</v>
      </c>
      <c r="H524">
        <v>8.5110727997918703E-2</v>
      </c>
      <c r="I524">
        <v>8.9520364349754994E-2</v>
      </c>
      <c r="J524">
        <v>0.17927278287506901</v>
      </c>
      <c r="K524">
        <v>0.12518168871271201</v>
      </c>
      <c r="L524">
        <v>1127.3653985998999</v>
      </c>
      <c r="M524">
        <v>22.975842257715701</v>
      </c>
      <c r="N524">
        <v>49.612555560108298</v>
      </c>
      <c r="O524">
        <v>48.700263830491501</v>
      </c>
      <c r="P524">
        <v>-0.10479000245639999</v>
      </c>
      <c r="Q524">
        <v>0.111553169872472</v>
      </c>
      <c r="R524">
        <v>0.98029745363559195</v>
      </c>
      <c r="S524" t="s">
        <v>4153</v>
      </c>
      <c r="T524" t="s">
        <v>7256</v>
      </c>
      <c r="U524" t="s">
        <v>7256</v>
      </c>
      <c r="V524" t="s">
        <v>7256</v>
      </c>
      <c r="W524">
        <v>4</v>
      </c>
      <c r="X524" t="s">
        <v>7780</v>
      </c>
      <c r="Y524">
        <v>0.38945313887346039</v>
      </c>
      <c r="Z524" t="str">
        <f>HYPERLINK("Melting_Curves/meltCurve_sp_P09525_ANXA4_HUMAN_.pdf", "Melting_Curves/meltCurve_sp_P09525_ANXA4_HUMAN_.pdf")</f>
        <v>Melting_Curves/meltCurve_sp_P09525_ANXA4_HUMAN_.pdf</v>
      </c>
      <c r="AA524" t="s">
        <v>11396</v>
      </c>
      <c r="AB524" t="s">
        <v>14950</v>
      </c>
    </row>
    <row r="525" spans="1:28" x14ac:dyDescent="0.25">
      <c r="A525" t="s">
        <v>529</v>
      </c>
      <c r="B525">
        <v>0.98018197421672304</v>
      </c>
      <c r="C525">
        <v>1.01270569591364</v>
      </c>
      <c r="D525">
        <v>0.90472383828101699</v>
      </c>
      <c r="E525">
        <v>0.68602259126475795</v>
      </c>
      <c r="F525">
        <v>0.46059365229434102</v>
      </c>
      <c r="G525">
        <v>0.212584699802013</v>
      </c>
      <c r="H525">
        <v>5.6470882850589599E-2</v>
      </c>
      <c r="I525">
        <v>3.9610336496140097E-2</v>
      </c>
      <c r="J525">
        <v>5.2097377268617899E-2</v>
      </c>
      <c r="K525">
        <v>3.7564727802550303E-2</v>
      </c>
      <c r="L525">
        <v>919.07137434921594</v>
      </c>
      <c r="M525">
        <v>17.576847355578298</v>
      </c>
      <c r="N525">
        <v>52.374292930963698</v>
      </c>
      <c r="O525">
        <v>51.6260085107808</v>
      </c>
      <c r="P525">
        <v>-8.3916443644453095E-2</v>
      </c>
      <c r="Q525">
        <v>1.4149421906457699E-2</v>
      </c>
      <c r="R525">
        <v>0.99776886067454296</v>
      </c>
      <c r="S525" t="s">
        <v>4154</v>
      </c>
      <c r="T525" t="s">
        <v>7256</v>
      </c>
      <c r="U525" t="s">
        <v>7256</v>
      </c>
      <c r="V525" t="s">
        <v>7256</v>
      </c>
      <c r="W525">
        <v>13</v>
      </c>
      <c r="X525" t="s">
        <v>7781</v>
      </c>
      <c r="Y525">
        <v>0.43497614332252149</v>
      </c>
      <c r="Z525" t="str">
        <f>HYPERLINK("Melting_Curves/meltCurve_sp_P09543_2_CN37_HUMAN_.pdf", "Melting_Curves/meltCurve_sp_P09543_2_CN37_HUMAN_.pdf")</f>
        <v>Melting_Curves/meltCurve_sp_P09543_2_CN37_HUMAN_.pdf</v>
      </c>
      <c r="AA525" t="s">
        <v>11397</v>
      </c>
      <c r="AB525" t="s">
        <v>14951</v>
      </c>
    </row>
    <row r="526" spans="1:28" x14ac:dyDescent="0.25">
      <c r="A526" t="s">
        <v>530</v>
      </c>
      <c r="B526">
        <v>0.98018197421672304</v>
      </c>
      <c r="C526">
        <v>0.94985354131236499</v>
      </c>
      <c r="D526">
        <v>0.795511735143413</v>
      </c>
      <c r="E526">
        <v>0.69312670407091503</v>
      </c>
      <c r="F526">
        <v>0.59648987001502796</v>
      </c>
      <c r="G526">
        <v>0.42352069164883299</v>
      </c>
      <c r="H526">
        <v>0.234138891337483</v>
      </c>
      <c r="I526">
        <v>0.17102836538162</v>
      </c>
      <c r="J526">
        <v>0.223597480405755</v>
      </c>
      <c r="K526">
        <v>0.175394574817024</v>
      </c>
      <c r="L526">
        <v>541.16431847452202</v>
      </c>
      <c r="M526">
        <v>10.128954980330899</v>
      </c>
      <c r="N526">
        <v>54.343963101166999</v>
      </c>
      <c r="O526">
        <v>51.470401069990302</v>
      </c>
      <c r="P526">
        <v>-4.5356151854041703E-2</v>
      </c>
      <c r="Q526">
        <v>7.8515529069559498E-2</v>
      </c>
      <c r="R526">
        <v>0.98621623114230805</v>
      </c>
      <c r="S526" t="s">
        <v>4155</v>
      </c>
      <c r="T526" t="s">
        <v>7256</v>
      </c>
      <c r="U526" t="s">
        <v>7256</v>
      </c>
      <c r="V526" t="s">
        <v>7256</v>
      </c>
      <c r="W526">
        <v>8</v>
      </c>
      <c r="X526" t="s">
        <v>7782</v>
      </c>
      <c r="Y526">
        <v>0.52062374351292839</v>
      </c>
      <c r="Z526" t="str">
        <f>HYPERLINK("Melting_Curves/meltCurve_sp_P09601_HMOX1_HUMAN_.pdf", "Melting_Curves/meltCurve_sp_P09601_HMOX1_HUMAN_.pdf")</f>
        <v>Melting_Curves/meltCurve_sp_P09601_HMOX1_HUMAN_.pdf</v>
      </c>
      <c r="AA526" t="s">
        <v>11398</v>
      </c>
      <c r="AB526" t="s">
        <v>14952</v>
      </c>
    </row>
    <row r="527" spans="1:28" x14ac:dyDescent="0.25">
      <c r="A527" t="s">
        <v>531</v>
      </c>
      <c r="B527">
        <v>0.98018197421672304</v>
      </c>
      <c r="C527">
        <v>1.00240808150114</v>
      </c>
      <c r="D527">
        <v>0.93790430669842295</v>
      </c>
      <c r="E527">
        <v>0.85117279549510905</v>
      </c>
      <c r="F527">
        <v>0.79341950005681205</v>
      </c>
      <c r="G527">
        <v>0.74397975575317699</v>
      </c>
      <c r="H527">
        <v>0.57635302527608601</v>
      </c>
      <c r="I527">
        <v>0.66007094653401199</v>
      </c>
      <c r="J527">
        <v>0.60998386896117895</v>
      </c>
      <c r="K527">
        <v>0.51788450251235496</v>
      </c>
      <c r="L527">
        <v>531.16576859842701</v>
      </c>
      <c r="M527">
        <v>9.60829925168232</v>
      </c>
      <c r="O527">
        <v>53.046478394404097</v>
      </c>
      <c r="P527">
        <v>-2.27083169622639E-2</v>
      </c>
      <c r="Q527">
        <v>0.498802360767027</v>
      </c>
      <c r="R527">
        <v>0.954431349803054</v>
      </c>
      <c r="S527" t="s">
        <v>4156</v>
      </c>
      <c r="T527" t="s">
        <v>7256</v>
      </c>
      <c r="U527" t="s">
        <v>7256</v>
      </c>
      <c r="V527" t="s">
        <v>7256</v>
      </c>
      <c r="W527">
        <v>25</v>
      </c>
      <c r="X527" t="s">
        <v>7783</v>
      </c>
      <c r="Y527">
        <v>0.76655501793531244</v>
      </c>
      <c r="Z527" t="str">
        <f>HYPERLINK("Melting_Curves/meltCurve_sp_P09622_DLDH_HUMAN_.pdf", "Melting_Curves/meltCurve_sp_P09622_DLDH_HUMAN_.pdf")</f>
        <v>Melting_Curves/meltCurve_sp_P09622_DLDH_HUMAN_.pdf</v>
      </c>
      <c r="AA527" t="s">
        <v>11399</v>
      </c>
      <c r="AB527" t="s">
        <v>14953</v>
      </c>
    </row>
    <row r="528" spans="1:28" x14ac:dyDescent="0.25">
      <c r="A528" t="s">
        <v>532</v>
      </c>
      <c r="B528">
        <v>0.98018197421672304</v>
      </c>
      <c r="C528">
        <v>0.977689730220617</v>
      </c>
      <c r="D528">
        <v>0.94024690621471196</v>
      </c>
      <c r="E528">
        <v>0.80767413927099396</v>
      </c>
      <c r="F528">
        <v>0.80570546974044199</v>
      </c>
      <c r="G528">
        <v>0.545716991904447</v>
      </c>
      <c r="H528">
        <v>0.26480971907524198</v>
      </c>
      <c r="I528">
        <v>0.197670286160815</v>
      </c>
      <c r="J528">
        <v>0.18714328851838599</v>
      </c>
      <c r="K528">
        <v>0.24794583639784301</v>
      </c>
      <c r="L528">
        <v>919.43017076057595</v>
      </c>
      <c r="M528">
        <v>16.470077852192102</v>
      </c>
      <c r="N528">
        <v>57.058044358928697</v>
      </c>
      <c r="O528">
        <v>55.020776412694097</v>
      </c>
      <c r="P528">
        <v>-6.3629033537141402E-2</v>
      </c>
      <c r="Q528">
        <v>0.14981002134806101</v>
      </c>
      <c r="R528">
        <v>0.97784814367793904</v>
      </c>
      <c r="S528" t="s">
        <v>4157</v>
      </c>
      <c r="T528" t="s">
        <v>7256</v>
      </c>
      <c r="U528" t="s">
        <v>7256</v>
      </c>
      <c r="V528" t="s">
        <v>7256</v>
      </c>
      <c r="W528">
        <v>11</v>
      </c>
      <c r="X528" t="s">
        <v>7784</v>
      </c>
      <c r="Y528">
        <v>0.61226261543020088</v>
      </c>
      <c r="Z528" t="str">
        <f>HYPERLINK("Melting_Curves/meltCurve_sp_P09651_3_ROA1_HUMAN_.pdf", "Melting_Curves/meltCurve_sp_P09651_3_ROA1_HUMAN_.pdf")</f>
        <v>Melting_Curves/meltCurve_sp_P09651_3_ROA1_HUMAN_.pdf</v>
      </c>
      <c r="AA528" t="s">
        <v>11400</v>
      </c>
      <c r="AB528" t="s">
        <v>14954</v>
      </c>
    </row>
    <row r="529" spans="1:28" x14ac:dyDescent="0.25">
      <c r="A529" t="s">
        <v>533</v>
      </c>
      <c r="B529">
        <v>0.98018197421672304</v>
      </c>
      <c r="C529">
        <v>0.90710806925836496</v>
      </c>
      <c r="D529">
        <v>0.883629227728431</v>
      </c>
      <c r="E529">
        <v>0.75825751165701105</v>
      </c>
      <c r="F529">
        <v>0.60189993090793403</v>
      </c>
      <c r="G529">
        <v>0.33523990069342902</v>
      </c>
      <c r="H529">
        <v>0.13223314002733899</v>
      </c>
      <c r="I529">
        <v>0.11308182927489099</v>
      </c>
      <c r="J529">
        <v>0.127266552963196</v>
      </c>
      <c r="K529">
        <v>0.13387246018286</v>
      </c>
      <c r="L529">
        <v>782.88381533105303</v>
      </c>
      <c r="M529">
        <v>14.640321448436801</v>
      </c>
      <c r="N529">
        <v>53.962879414808299</v>
      </c>
      <c r="O529">
        <v>52.506542922005103</v>
      </c>
      <c r="P529">
        <v>-6.5389077923392103E-2</v>
      </c>
      <c r="Q529">
        <v>6.2050196314567103E-2</v>
      </c>
      <c r="R529">
        <v>0.98786519284090601</v>
      </c>
      <c r="S529" t="s">
        <v>4158</v>
      </c>
      <c r="T529" t="s">
        <v>7256</v>
      </c>
      <c r="U529" t="s">
        <v>7256</v>
      </c>
      <c r="V529" t="s">
        <v>7256</v>
      </c>
      <c r="W529">
        <v>8</v>
      </c>
      <c r="X529" t="s">
        <v>7785</v>
      </c>
      <c r="Y529">
        <v>0.50372783813444932</v>
      </c>
      <c r="Z529" t="str">
        <f>HYPERLINK("Melting_Curves/meltCurve_sp_P09661_RU2A_HUMAN_.pdf", "Melting_Curves/meltCurve_sp_P09661_RU2A_HUMAN_.pdf")</f>
        <v>Melting_Curves/meltCurve_sp_P09661_RU2A_HUMAN_.pdf</v>
      </c>
      <c r="AA529" t="s">
        <v>11401</v>
      </c>
      <c r="AB529" t="s">
        <v>14955</v>
      </c>
    </row>
    <row r="530" spans="1:28" x14ac:dyDescent="0.25">
      <c r="A530" t="s">
        <v>534</v>
      </c>
      <c r="B530">
        <v>0.98018197421672304</v>
      </c>
      <c r="C530">
        <v>0.96154322648410795</v>
      </c>
      <c r="D530">
        <v>0.92615668996132505</v>
      </c>
      <c r="E530">
        <v>0.77807699624703897</v>
      </c>
      <c r="F530">
        <v>0.76252629586586496</v>
      </c>
      <c r="G530">
        <v>0.65419757863344496</v>
      </c>
      <c r="H530">
        <v>0.41240352639376598</v>
      </c>
      <c r="I530">
        <v>0.41806842352885298</v>
      </c>
      <c r="J530">
        <v>0.27194467562714703</v>
      </c>
      <c r="K530">
        <v>0.24748978231256299</v>
      </c>
      <c r="L530">
        <v>479.16370749167498</v>
      </c>
      <c r="M530">
        <v>7.9878186209371602</v>
      </c>
      <c r="N530">
        <v>59.986803590157201</v>
      </c>
      <c r="O530">
        <v>56.577187099112699</v>
      </c>
      <c r="P530">
        <v>-3.5336257760793098E-2</v>
      </c>
      <c r="Q530">
        <v>0</v>
      </c>
      <c r="R530">
        <v>0.98410618209413703</v>
      </c>
      <c r="S530" t="s">
        <v>4159</v>
      </c>
      <c r="T530" t="s">
        <v>7256</v>
      </c>
      <c r="U530" t="s">
        <v>7256</v>
      </c>
      <c r="V530" t="s">
        <v>7256</v>
      </c>
      <c r="W530">
        <v>3</v>
      </c>
      <c r="X530" t="s">
        <v>7786</v>
      </c>
      <c r="Y530">
        <v>0.65115375112949181</v>
      </c>
      <c r="Z530" t="str">
        <f>HYPERLINK("Melting_Curves/meltCurve_sp_P09668_CATH_HUMAN_.pdf", "Melting_Curves/meltCurve_sp_P09668_CATH_HUMAN_.pdf")</f>
        <v>Melting_Curves/meltCurve_sp_P09668_CATH_HUMAN_.pdf</v>
      </c>
      <c r="AA530" t="s">
        <v>11402</v>
      </c>
      <c r="AB530" t="s">
        <v>14956</v>
      </c>
    </row>
    <row r="531" spans="1:28" x14ac:dyDescent="0.25">
      <c r="A531" t="s">
        <v>535</v>
      </c>
      <c r="B531">
        <v>0.98018197421672304</v>
      </c>
      <c r="C531">
        <v>0.901740904241224</v>
      </c>
      <c r="D531">
        <v>0.79382028572841701</v>
      </c>
      <c r="E531">
        <v>0.484121829392681</v>
      </c>
      <c r="F531">
        <v>0.235686240335994</v>
      </c>
      <c r="G531">
        <v>0.13374035722218</v>
      </c>
      <c r="H531">
        <v>8.7635719836741802E-2</v>
      </c>
      <c r="I531">
        <v>7.0054716875841E-2</v>
      </c>
      <c r="J531">
        <v>6.3648150707664802E-2</v>
      </c>
      <c r="K531">
        <v>4.6238585255351503E-2</v>
      </c>
      <c r="L531">
        <v>853.73303921232196</v>
      </c>
      <c r="M531">
        <v>17.330754396155299</v>
      </c>
      <c r="N531">
        <v>49.552140196456499</v>
      </c>
      <c r="O531">
        <v>48.619318634954197</v>
      </c>
      <c r="P531">
        <v>-8.4807915506662307E-2</v>
      </c>
      <c r="Q531">
        <v>4.8381445601382203E-2</v>
      </c>
      <c r="R531">
        <v>0.99808833417231801</v>
      </c>
      <c r="S531" t="s">
        <v>4160</v>
      </c>
      <c r="T531" t="s">
        <v>7256</v>
      </c>
      <c r="U531" t="s">
        <v>7256</v>
      </c>
      <c r="V531" t="s">
        <v>7256</v>
      </c>
      <c r="W531">
        <v>6</v>
      </c>
      <c r="X531" t="s">
        <v>7787</v>
      </c>
      <c r="Y531">
        <v>0.3598217724406047</v>
      </c>
      <c r="Z531" t="str">
        <f>HYPERLINK("Melting_Curves/meltCurve_sp_P09871_C1S_HUMAN_.pdf", "Melting_Curves/meltCurve_sp_P09871_C1S_HUMAN_.pdf")</f>
        <v>Melting_Curves/meltCurve_sp_P09871_C1S_HUMAN_.pdf</v>
      </c>
      <c r="AA531" t="s">
        <v>11403</v>
      </c>
      <c r="AB531" t="s">
        <v>14957</v>
      </c>
    </row>
    <row r="532" spans="1:28" x14ac:dyDescent="0.25">
      <c r="A532" t="s">
        <v>536</v>
      </c>
      <c r="B532">
        <v>0.98018197421672304</v>
      </c>
      <c r="C532">
        <v>0.91701195283505499</v>
      </c>
      <c r="D532">
        <v>0.89213383663812396</v>
      </c>
      <c r="E532">
        <v>0.63557701060388805</v>
      </c>
      <c r="F532">
        <v>0.422483753482084</v>
      </c>
      <c r="G532">
        <v>0.35173303491435098</v>
      </c>
      <c r="H532">
        <v>0.25733046938433901</v>
      </c>
      <c r="I532">
        <v>0.25407326825482901</v>
      </c>
      <c r="J532">
        <v>0.302760071494101</v>
      </c>
      <c r="K532">
        <v>0.349425730207232</v>
      </c>
      <c r="L532">
        <v>1011.62278369643</v>
      </c>
      <c r="M532">
        <v>20.368170471246899</v>
      </c>
      <c r="N532">
        <v>51.829857507513502</v>
      </c>
      <c r="O532">
        <v>49.195516757503398</v>
      </c>
      <c r="P532">
        <v>-7.3874880603433002E-2</v>
      </c>
      <c r="Q532">
        <v>0.28629749883799399</v>
      </c>
      <c r="R532">
        <v>0.98473744239141803</v>
      </c>
      <c r="S532" t="s">
        <v>4161</v>
      </c>
      <c r="T532" t="s">
        <v>7256</v>
      </c>
      <c r="U532" t="s">
        <v>7256</v>
      </c>
      <c r="V532" t="s">
        <v>7256</v>
      </c>
      <c r="W532">
        <v>6</v>
      </c>
      <c r="X532" t="s">
        <v>7788</v>
      </c>
      <c r="Y532">
        <v>0.52586988764516318</v>
      </c>
      <c r="Z532" t="str">
        <f>HYPERLINK("Melting_Curves/meltCurve_sp_P09874_PARP1_HUMAN_.pdf", "Melting_Curves/meltCurve_sp_P09874_PARP1_HUMAN_.pdf")</f>
        <v>Melting_Curves/meltCurve_sp_P09874_PARP1_HUMAN_.pdf</v>
      </c>
      <c r="AA532" t="s">
        <v>11404</v>
      </c>
      <c r="AB532" t="s">
        <v>14958</v>
      </c>
    </row>
    <row r="533" spans="1:28" x14ac:dyDescent="0.25">
      <c r="A533" t="s">
        <v>537</v>
      </c>
      <c r="B533">
        <v>0.98018197421672304</v>
      </c>
      <c r="C533">
        <v>0.94831770861301601</v>
      </c>
      <c r="D533">
        <v>0.79888403666088703</v>
      </c>
      <c r="E533">
        <v>0.597656239448773</v>
      </c>
      <c r="F533">
        <v>0.39329216108061599</v>
      </c>
      <c r="G533">
        <v>0.21941453653837401</v>
      </c>
      <c r="H533">
        <v>0.146175324521858</v>
      </c>
      <c r="I533">
        <v>0.12403441891396499</v>
      </c>
      <c r="J533">
        <v>0.120027897344895</v>
      </c>
      <c r="K533">
        <v>0.111207960273807</v>
      </c>
      <c r="L533">
        <v>742.19352251205896</v>
      </c>
      <c r="M533">
        <v>14.6979989831931</v>
      </c>
      <c r="N533">
        <v>51.1713155146413</v>
      </c>
      <c r="O533">
        <v>49.589113622580001</v>
      </c>
      <c r="P533">
        <v>-6.7575807863861595E-2</v>
      </c>
      <c r="Q533">
        <v>8.8132244608714702E-2</v>
      </c>
      <c r="R533">
        <v>0.99861083998253397</v>
      </c>
      <c r="S533" t="s">
        <v>4162</v>
      </c>
      <c r="T533" t="s">
        <v>7256</v>
      </c>
      <c r="U533" t="s">
        <v>7256</v>
      </c>
      <c r="V533" t="s">
        <v>7256</v>
      </c>
      <c r="W533">
        <v>2</v>
      </c>
      <c r="X533" t="s">
        <v>7789</v>
      </c>
      <c r="Y533">
        <v>0.42933128077159488</v>
      </c>
      <c r="Z533" t="str">
        <f>HYPERLINK("Melting_Curves/meltCurve_sp_P09913_IFIT2_HUMAN_.pdf", "Melting_Curves/meltCurve_sp_P09913_IFIT2_HUMAN_.pdf")</f>
        <v>Melting_Curves/meltCurve_sp_P09913_IFIT2_HUMAN_.pdf</v>
      </c>
      <c r="AA533" t="s">
        <v>11405</v>
      </c>
      <c r="AB533" t="s">
        <v>14959</v>
      </c>
    </row>
    <row r="534" spans="1:28" x14ac:dyDescent="0.25">
      <c r="A534" t="s">
        <v>538</v>
      </c>
      <c r="B534">
        <v>0.98018197421672304</v>
      </c>
      <c r="C534">
        <v>0.98175186396645597</v>
      </c>
      <c r="D534">
        <v>0.98772296709737095</v>
      </c>
      <c r="E534">
        <v>0.89644030698968102</v>
      </c>
      <c r="F534">
        <v>0.83937659242443696</v>
      </c>
      <c r="G534">
        <v>0.449371807718359</v>
      </c>
      <c r="H534">
        <v>7.4757160834252906E-2</v>
      </c>
      <c r="I534">
        <v>5.6167943432299E-2</v>
      </c>
      <c r="J534">
        <v>5.4100207344745598E-2</v>
      </c>
      <c r="K534">
        <v>3.7023777726678503E-2</v>
      </c>
      <c r="L534">
        <v>1484.0072167553201</v>
      </c>
      <c r="M534">
        <v>26.399737960941799</v>
      </c>
      <c r="N534">
        <v>56.295282686781498</v>
      </c>
      <c r="O534">
        <v>55.8933778845022</v>
      </c>
      <c r="P534">
        <v>-0.11584599814020199</v>
      </c>
      <c r="Q534">
        <v>1.89365742079592E-2</v>
      </c>
      <c r="R534">
        <v>0.99442554955630102</v>
      </c>
      <c r="S534" t="s">
        <v>4163</v>
      </c>
      <c r="T534" t="s">
        <v>7256</v>
      </c>
      <c r="U534" t="s">
        <v>7256</v>
      </c>
      <c r="V534" t="s">
        <v>7256</v>
      </c>
      <c r="W534">
        <v>24</v>
      </c>
      <c r="X534" t="s">
        <v>7790</v>
      </c>
      <c r="Y534">
        <v>0.55733271650695182</v>
      </c>
      <c r="Z534" t="str">
        <f>HYPERLINK("Melting_Curves/meltCurve_sp_P09960_LKHA4_HUMAN_.pdf", "Melting_Curves/meltCurve_sp_P09960_LKHA4_HUMAN_.pdf")</f>
        <v>Melting_Curves/meltCurve_sp_P09960_LKHA4_HUMAN_.pdf</v>
      </c>
      <c r="AA534" t="s">
        <v>11406</v>
      </c>
      <c r="AB534" t="s">
        <v>14960</v>
      </c>
    </row>
    <row r="535" spans="1:28" x14ac:dyDescent="0.25">
      <c r="A535" t="s">
        <v>539</v>
      </c>
      <c r="B535">
        <v>0.98018197421672304</v>
      </c>
      <c r="C535">
        <v>0.96028357123984598</v>
      </c>
      <c r="D535">
        <v>0.92638438531754896</v>
      </c>
      <c r="E535">
        <v>0.82254746262829403</v>
      </c>
      <c r="F535">
        <v>0.41699656307918598</v>
      </c>
      <c r="G535">
        <v>0.119862837658762</v>
      </c>
      <c r="H535">
        <v>6.3561614976748004E-2</v>
      </c>
      <c r="I535">
        <v>5.1348262492448699E-2</v>
      </c>
      <c r="J535">
        <v>4.84046279137278E-2</v>
      </c>
      <c r="K535">
        <v>3.5302566875901498E-2</v>
      </c>
      <c r="L535">
        <v>1560.72818004839</v>
      </c>
      <c r="M535">
        <v>29.857049620468601</v>
      </c>
      <c r="N535">
        <v>52.437078562301998</v>
      </c>
      <c r="O535">
        <v>52.040544673145099</v>
      </c>
      <c r="P535">
        <v>-0.13704852982028001</v>
      </c>
      <c r="Q535">
        <v>4.4509474815877297E-2</v>
      </c>
      <c r="R535">
        <v>0.99654785517669797</v>
      </c>
      <c r="S535" t="s">
        <v>4164</v>
      </c>
      <c r="T535" t="s">
        <v>7256</v>
      </c>
      <c r="U535" t="s">
        <v>7256</v>
      </c>
      <c r="V535" t="s">
        <v>7256</v>
      </c>
      <c r="W535">
        <v>22</v>
      </c>
      <c r="X535" t="s">
        <v>7791</v>
      </c>
      <c r="Y535">
        <v>0.44160086182973118</v>
      </c>
      <c r="Z535" t="str">
        <f>HYPERLINK("Melting_Curves/meltCurve_sp_P09972_ALDOC_HUMAN_.pdf", "Melting_Curves/meltCurve_sp_P09972_ALDOC_HUMAN_.pdf")</f>
        <v>Melting_Curves/meltCurve_sp_P09972_ALDOC_HUMAN_.pdf</v>
      </c>
      <c r="AA535" t="s">
        <v>11407</v>
      </c>
      <c r="AB535" t="s">
        <v>14961</v>
      </c>
    </row>
    <row r="536" spans="1:28" x14ac:dyDescent="0.25">
      <c r="A536" t="s">
        <v>540</v>
      </c>
      <c r="B536">
        <v>0.98018197421672304</v>
      </c>
      <c r="C536">
        <v>0.943097045497576</v>
      </c>
      <c r="D536">
        <v>0.91479353575021805</v>
      </c>
      <c r="E536">
        <v>0.80144900404955399</v>
      </c>
      <c r="F536">
        <v>0.73985697525050198</v>
      </c>
      <c r="G536">
        <v>0.59733789984062202</v>
      </c>
      <c r="H536">
        <v>0.37019614489461</v>
      </c>
      <c r="I536">
        <v>0.18296630283089799</v>
      </c>
      <c r="J536">
        <v>0.17451882219622999</v>
      </c>
      <c r="K536">
        <v>6.4729314990713799E-2</v>
      </c>
      <c r="L536">
        <v>668.42113034068905</v>
      </c>
      <c r="M536">
        <v>11.597963158570099</v>
      </c>
      <c r="N536">
        <v>57.632623457484897</v>
      </c>
      <c r="O536">
        <v>55.999180183317002</v>
      </c>
      <c r="P536">
        <v>-5.1791620698539403E-2</v>
      </c>
      <c r="Q536">
        <v>0</v>
      </c>
      <c r="R536">
        <v>0.98525498671130696</v>
      </c>
      <c r="S536" t="s">
        <v>4165</v>
      </c>
      <c r="T536" t="s">
        <v>7256</v>
      </c>
      <c r="U536" t="s">
        <v>7256</v>
      </c>
      <c r="V536" t="s">
        <v>7256</v>
      </c>
      <c r="W536">
        <v>6</v>
      </c>
      <c r="X536" t="s">
        <v>7792</v>
      </c>
      <c r="Y536">
        <v>0.60179999316682287</v>
      </c>
      <c r="Z536" t="str">
        <f>HYPERLINK("Melting_Curves/meltCurve_sp_P0C024_NUDT7_HUMAN_.pdf", "Melting_Curves/meltCurve_sp_P0C024_NUDT7_HUMAN_.pdf")</f>
        <v>Melting_Curves/meltCurve_sp_P0C024_NUDT7_HUMAN_.pdf</v>
      </c>
      <c r="AA536" t="s">
        <v>11408</v>
      </c>
      <c r="AB536" t="s">
        <v>14962</v>
      </c>
    </row>
    <row r="537" spans="1:28" x14ac:dyDescent="0.25">
      <c r="A537" t="s">
        <v>541</v>
      </c>
      <c r="B537">
        <v>0.98018197421672304</v>
      </c>
      <c r="C537">
        <v>0.96740965367114296</v>
      </c>
      <c r="D537">
        <v>0.86570588342392096</v>
      </c>
      <c r="E537">
        <v>0.75245703491368698</v>
      </c>
      <c r="F537">
        <v>0.62585777291711997</v>
      </c>
      <c r="G537">
        <v>0.47335321061976499</v>
      </c>
      <c r="H537">
        <v>0.22532513291060799</v>
      </c>
      <c r="I537">
        <v>0.11690041715404199</v>
      </c>
      <c r="J537">
        <v>0.10693037914148799</v>
      </c>
      <c r="K537">
        <v>8.5349806520735996E-2</v>
      </c>
      <c r="L537">
        <v>639.21634569138405</v>
      </c>
      <c r="M537">
        <v>11.5872054330745</v>
      </c>
      <c r="N537">
        <v>55.165704045687399</v>
      </c>
      <c r="O537">
        <v>53.599404261174897</v>
      </c>
      <c r="P537">
        <v>-5.4060322113169398E-2</v>
      </c>
      <c r="Q537">
        <v>0</v>
      </c>
      <c r="R537">
        <v>0.99184127158138402</v>
      </c>
      <c r="S537" t="s">
        <v>4166</v>
      </c>
      <c r="T537" t="s">
        <v>7256</v>
      </c>
      <c r="U537" t="s">
        <v>7256</v>
      </c>
      <c r="V537" t="s">
        <v>7256</v>
      </c>
      <c r="W537">
        <v>47</v>
      </c>
      <c r="X537" t="s">
        <v>7793</v>
      </c>
      <c r="Y537">
        <v>0.52899678396038974</v>
      </c>
      <c r="Z537" t="str">
        <f>HYPERLINK("Melting_Curves/meltCurve_sp_P0C0L5_CO4B_HUMAN_.pdf", "Melting_Curves/meltCurve_sp_P0C0L5_CO4B_HUMAN_.pdf")</f>
        <v>Melting_Curves/meltCurve_sp_P0C0L5_CO4B_HUMAN_.pdf</v>
      </c>
      <c r="AA537" t="s">
        <v>11409</v>
      </c>
      <c r="AB537" t="s">
        <v>14963</v>
      </c>
    </row>
    <row r="538" spans="1:28" x14ac:dyDescent="0.25">
      <c r="A538" t="s">
        <v>542</v>
      </c>
      <c r="B538">
        <v>0.98018197421672304</v>
      </c>
      <c r="C538">
        <v>0.89644704862274605</v>
      </c>
      <c r="D538">
        <v>0.932345630841524</v>
      </c>
      <c r="E538">
        <v>0.84741255483762701</v>
      </c>
      <c r="F538">
        <v>0.76141789457179498</v>
      </c>
      <c r="G538">
        <v>0.68379834051872501</v>
      </c>
      <c r="H538">
        <v>0.548594775199028</v>
      </c>
      <c r="I538">
        <v>0.49866409981912102</v>
      </c>
      <c r="J538">
        <v>0.47502153806491298</v>
      </c>
      <c r="K538">
        <v>0.49014862885611199</v>
      </c>
      <c r="L538">
        <v>481.32174080080398</v>
      </c>
      <c r="M538">
        <v>8.5767729540906892</v>
      </c>
      <c r="N538">
        <v>65.803321603606193</v>
      </c>
      <c r="O538">
        <v>53.318211342320197</v>
      </c>
      <c r="P538">
        <v>-2.5820910327935001E-2</v>
      </c>
      <c r="Q538">
        <v>0.35848758914235401</v>
      </c>
      <c r="R538">
        <v>0.97936103202469105</v>
      </c>
      <c r="S538" t="s">
        <v>4167</v>
      </c>
      <c r="T538" t="s">
        <v>7256</v>
      </c>
      <c r="U538" t="s">
        <v>7256</v>
      </c>
      <c r="V538" t="s">
        <v>7256</v>
      </c>
      <c r="W538">
        <v>4</v>
      </c>
      <c r="X538" t="s">
        <v>7794</v>
      </c>
      <c r="Y538">
        <v>0.71579290782957883</v>
      </c>
      <c r="Z538" t="str">
        <f>HYPERLINK("Melting_Curves/meltCurve_sp_P0CG05_LAC2_HUMAN_.pdf", "Melting_Curves/meltCurve_sp_P0CG05_LAC2_HUMAN_.pdf")</f>
        <v>Melting_Curves/meltCurve_sp_P0CG05_LAC2_HUMAN_.pdf</v>
      </c>
      <c r="AA538" t="s">
        <v>11410</v>
      </c>
      <c r="AB538" t="s">
        <v>14964</v>
      </c>
    </row>
    <row r="539" spans="1:28" x14ac:dyDescent="0.25">
      <c r="A539" t="s">
        <v>543</v>
      </c>
      <c r="B539">
        <v>0.98018197421672304</v>
      </c>
      <c r="C539">
        <v>0.99677921577190298</v>
      </c>
      <c r="D539">
        <v>0.95375407269170698</v>
      </c>
      <c r="E539">
        <v>0.69981311211609298</v>
      </c>
      <c r="F539">
        <v>0.47805042947083798</v>
      </c>
      <c r="G539">
        <v>0.32270317862317499</v>
      </c>
      <c r="H539">
        <v>0.21205390140555699</v>
      </c>
      <c r="I539">
        <v>9.1923721867366096E-2</v>
      </c>
      <c r="J539">
        <v>6.6608196361289507E-2</v>
      </c>
      <c r="K539">
        <v>5.5747659965015399E-2</v>
      </c>
      <c r="L539">
        <v>764.36727328858797</v>
      </c>
      <c r="M539">
        <v>14.415815911486799</v>
      </c>
      <c r="N539">
        <v>53.306168896288298</v>
      </c>
      <c r="O539">
        <v>52.033826240864897</v>
      </c>
      <c r="P539">
        <v>-6.67149613602422E-2</v>
      </c>
      <c r="Q539">
        <v>3.6884196407462197E-2</v>
      </c>
      <c r="R539">
        <v>0.99335382295174202</v>
      </c>
      <c r="S539" t="s">
        <v>4168</v>
      </c>
      <c r="T539" t="s">
        <v>7256</v>
      </c>
      <c r="U539" t="s">
        <v>7256</v>
      </c>
      <c r="V539" t="s">
        <v>7256</v>
      </c>
      <c r="W539">
        <v>2</v>
      </c>
      <c r="X539" t="s">
        <v>7795</v>
      </c>
      <c r="Y539">
        <v>0.47682528634536792</v>
      </c>
      <c r="Z539" t="str">
        <f>HYPERLINK("Melting_Curves/meltCurve_sp_P0CW22_RS17L_HUMAN_.pdf", "Melting_Curves/meltCurve_sp_P0CW22_RS17L_HUMAN_.pdf")</f>
        <v>Melting_Curves/meltCurve_sp_P0CW22_RS17L_HUMAN_.pdf</v>
      </c>
      <c r="AA539" t="s">
        <v>11411</v>
      </c>
      <c r="AB539" t="s">
        <v>14965</v>
      </c>
    </row>
    <row r="540" spans="1:28" x14ac:dyDescent="0.25">
      <c r="A540" t="s">
        <v>544</v>
      </c>
      <c r="B540">
        <v>0.98018197421672304</v>
      </c>
      <c r="C540">
        <v>0.91251053782924696</v>
      </c>
      <c r="D540">
        <v>0.86103247910439895</v>
      </c>
      <c r="E540">
        <v>0.55165230436072998</v>
      </c>
      <c r="F540">
        <v>0.37925230721158498</v>
      </c>
      <c r="G540">
        <v>0.210342760242162</v>
      </c>
      <c r="H540">
        <v>0.133750017275306</v>
      </c>
      <c r="I540">
        <v>0.12796386962946399</v>
      </c>
      <c r="J540">
        <v>0.13334408622879501</v>
      </c>
      <c r="K540">
        <v>9.6789244195725696E-2</v>
      </c>
      <c r="L540">
        <v>811.08557769447896</v>
      </c>
      <c r="M540">
        <v>16.1465501089722</v>
      </c>
      <c r="N540">
        <v>50.919246474008801</v>
      </c>
      <c r="O540">
        <v>49.481189045039301</v>
      </c>
      <c r="P540">
        <v>-7.3605351932170798E-2</v>
      </c>
      <c r="Q540">
        <v>9.7812297851008798E-2</v>
      </c>
      <c r="R540">
        <v>0.99747896340662001</v>
      </c>
      <c r="S540" t="s">
        <v>4169</v>
      </c>
      <c r="T540" t="s">
        <v>7256</v>
      </c>
      <c r="U540" t="s">
        <v>7256</v>
      </c>
      <c r="V540" t="s">
        <v>7256</v>
      </c>
      <c r="W540">
        <v>3</v>
      </c>
      <c r="X540" t="s">
        <v>7796</v>
      </c>
      <c r="Y540">
        <v>0.4242789552465594</v>
      </c>
      <c r="Z540" t="str">
        <f>HYPERLINK("Melting_Curves/meltCurve_sp_P0DJI8_SAA1_HUMAN_.pdf", "Melting_Curves/meltCurve_sp_P0DJI8_SAA1_HUMAN_.pdf")</f>
        <v>Melting_Curves/meltCurve_sp_P0DJI8_SAA1_HUMAN_.pdf</v>
      </c>
      <c r="AA540" t="s">
        <v>11412</v>
      </c>
      <c r="AB540" t="s">
        <v>14966</v>
      </c>
    </row>
    <row r="541" spans="1:28" x14ac:dyDescent="0.25">
      <c r="A541" t="s">
        <v>545</v>
      </c>
      <c r="B541">
        <v>0.98018197421672304</v>
      </c>
      <c r="C541">
        <v>0.94407161273537499</v>
      </c>
      <c r="D541">
        <v>0.937667668434364</v>
      </c>
      <c r="E541">
        <v>0.82182271291395903</v>
      </c>
      <c r="F541">
        <v>0.85461768309672703</v>
      </c>
      <c r="G541">
        <v>0.71672590067032205</v>
      </c>
      <c r="H541">
        <v>0.55104034957991099</v>
      </c>
      <c r="I541">
        <v>0.59764569958345304</v>
      </c>
      <c r="J541">
        <v>0.75692983858655505</v>
      </c>
      <c r="K541">
        <v>0.78319135154723396</v>
      </c>
      <c r="L541">
        <v>787.83472147256896</v>
      </c>
      <c r="M541">
        <v>15.6508538025913</v>
      </c>
      <c r="O541">
        <v>49.537806945445404</v>
      </c>
      <c r="P541">
        <v>-2.5779964511337398E-2</v>
      </c>
      <c r="Q541">
        <v>0.67363475490577096</v>
      </c>
      <c r="R541">
        <v>0.71607533094173403</v>
      </c>
      <c r="S541" t="s">
        <v>4170</v>
      </c>
      <c r="T541" t="s">
        <v>7256</v>
      </c>
      <c r="U541" t="s">
        <v>7256</v>
      </c>
      <c r="V541" t="s">
        <v>7256</v>
      </c>
      <c r="W541">
        <v>8</v>
      </c>
      <c r="X541" t="s">
        <v>7797</v>
      </c>
      <c r="Y541">
        <v>0.79324924988805923</v>
      </c>
      <c r="Z541" t="str">
        <f>HYPERLINK("Melting_Curves/meltCurve_sp_P10109_ADX_HUMAN_.pdf", "Melting_Curves/meltCurve_sp_P10109_ADX_HUMAN_.pdf")</f>
        <v>Melting_Curves/meltCurve_sp_P10109_ADX_HUMAN_.pdf</v>
      </c>
      <c r="AA541" t="s">
        <v>11413</v>
      </c>
      <c r="AB541" t="s">
        <v>14967</v>
      </c>
    </row>
    <row r="542" spans="1:28" x14ac:dyDescent="0.25">
      <c r="A542" t="s">
        <v>546</v>
      </c>
      <c r="B542">
        <v>0.98018197421672304</v>
      </c>
      <c r="C542">
        <v>0.94802820167100399</v>
      </c>
      <c r="D542">
        <v>0.85314986522677805</v>
      </c>
      <c r="E542">
        <v>0.74342846600254398</v>
      </c>
      <c r="F542">
        <v>0.51267438749959104</v>
      </c>
      <c r="G542">
        <v>0.33475427826055598</v>
      </c>
      <c r="H542">
        <v>0.20761743175275199</v>
      </c>
      <c r="I542">
        <v>0.17570639520738099</v>
      </c>
      <c r="J542">
        <v>0.18812288246554401</v>
      </c>
      <c r="K542">
        <v>0.16345647699930499</v>
      </c>
      <c r="L542">
        <v>742.39889749854603</v>
      </c>
      <c r="M542">
        <v>14.201119840357</v>
      </c>
      <c r="N542">
        <v>53.409133557700301</v>
      </c>
      <c r="O542">
        <v>51.273630022541397</v>
      </c>
      <c r="P542">
        <v>-6.0253317923303601E-2</v>
      </c>
      <c r="Q542">
        <v>0.129922230427022</v>
      </c>
      <c r="R542">
        <v>0.99529535165247196</v>
      </c>
      <c r="S542" t="s">
        <v>4171</v>
      </c>
      <c r="T542" t="s">
        <v>7256</v>
      </c>
      <c r="U542" t="s">
        <v>7256</v>
      </c>
      <c r="V542" t="s">
        <v>7256</v>
      </c>
      <c r="W542">
        <v>4</v>
      </c>
      <c r="X542" t="s">
        <v>7798</v>
      </c>
      <c r="Y542">
        <v>0.50686536863900467</v>
      </c>
      <c r="Z542" t="str">
        <f>HYPERLINK("Melting_Curves/meltCurve_sp_P10153_RNAS2_HUMAN_.pdf", "Melting_Curves/meltCurve_sp_P10153_RNAS2_HUMAN_.pdf")</f>
        <v>Melting_Curves/meltCurve_sp_P10153_RNAS2_HUMAN_.pdf</v>
      </c>
      <c r="AA542" t="s">
        <v>11414</v>
      </c>
      <c r="AB542" t="s">
        <v>14968</v>
      </c>
    </row>
    <row r="543" spans="1:28" x14ac:dyDescent="0.25">
      <c r="A543" t="s">
        <v>547</v>
      </c>
      <c r="B543">
        <v>0.98018197421672304</v>
      </c>
      <c r="C543">
        <v>0.87318350410596002</v>
      </c>
      <c r="D543">
        <v>0.85106465188963898</v>
      </c>
      <c r="E543">
        <v>0.823361080698646</v>
      </c>
      <c r="F543">
        <v>0.63604304976847703</v>
      </c>
      <c r="G543">
        <v>0.50450806783754099</v>
      </c>
      <c r="H543">
        <v>0.30353550784043598</v>
      </c>
      <c r="I543">
        <v>0.191126230421888</v>
      </c>
      <c r="J543">
        <v>6.1297386821009998E-2</v>
      </c>
      <c r="K543">
        <v>3.92287239576136E-2</v>
      </c>
      <c r="L543">
        <v>634.64692936537597</v>
      </c>
      <c r="M543">
        <v>11.350918878421099</v>
      </c>
      <c r="N543">
        <v>55.911516688649698</v>
      </c>
      <c r="O543">
        <v>54.260490656902</v>
      </c>
      <c r="P543">
        <v>-5.2313905898420797E-2</v>
      </c>
      <c r="Q543">
        <v>0</v>
      </c>
      <c r="R543">
        <v>0.97638235360186199</v>
      </c>
      <c r="S543" t="s">
        <v>4172</v>
      </c>
      <c r="T543" t="s">
        <v>7256</v>
      </c>
      <c r="U543" t="s">
        <v>7256</v>
      </c>
      <c r="V543" t="s">
        <v>7256</v>
      </c>
      <c r="W543">
        <v>17</v>
      </c>
      <c r="X543" t="s">
        <v>7799</v>
      </c>
      <c r="Y543">
        <v>0.55147696123933843</v>
      </c>
      <c r="Z543" t="str">
        <f>HYPERLINK("Melting_Curves/meltCurve_sp_P10155_3_RO60_HUMAN_.pdf", "Melting_Curves/meltCurve_sp_P10155_3_RO60_HUMAN_.pdf")</f>
        <v>Melting_Curves/meltCurve_sp_P10155_3_RO60_HUMAN_.pdf</v>
      </c>
      <c r="AA543" t="s">
        <v>11415</v>
      </c>
      <c r="AB543" t="s">
        <v>14969</v>
      </c>
    </row>
    <row r="544" spans="1:28" x14ac:dyDescent="0.25">
      <c r="A544" t="s">
        <v>548</v>
      </c>
      <c r="B544">
        <v>0.98018197421672304</v>
      </c>
      <c r="C544">
        <v>0.99645598402009306</v>
      </c>
      <c r="D544">
        <v>0.92781344682224498</v>
      </c>
      <c r="E544">
        <v>0.82648005438847605</v>
      </c>
      <c r="F544">
        <v>0.69832489092849503</v>
      </c>
      <c r="G544">
        <v>0.50816447912434104</v>
      </c>
      <c r="H544">
        <v>0.263552563764475</v>
      </c>
      <c r="I544">
        <v>0.14762656492769</v>
      </c>
      <c r="J544">
        <v>0.16255981573512401</v>
      </c>
      <c r="K544">
        <v>0.13197976710680401</v>
      </c>
      <c r="L544">
        <v>753.50359278768201</v>
      </c>
      <c r="M544">
        <v>13.4640346564798</v>
      </c>
      <c r="N544">
        <v>56.404577144402701</v>
      </c>
      <c r="O544">
        <v>54.7728870512179</v>
      </c>
      <c r="P544">
        <v>-5.8396872680117201E-2</v>
      </c>
      <c r="Q544">
        <v>4.9891883416097398E-2</v>
      </c>
      <c r="R544">
        <v>0.99439501643850103</v>
      </c>
      <c r="S544" t="s">
        <v>4173</v>
      </c>
      <c r="T544" t="s">
        <v>7256</v>
      </c>
      <c r="U544" t="s">
        <v>7256</v>
      </c>
      <c r="V544" t="s">
        <v>7256</v>
      </c>
      <c r="W544">
        <v>24</v>
      </c>
      <c r="X544" t="s">
        <v>7800</v>
      </c>
      <c r="Y544">
        <v>0.57382424262153964</v>
      </c>
      <c r="Z544" t="str">
        <f>HYPERLINK("Melting_Curves/meltCurve_sp_P10253_LYAG_HUMAN_.pdf", "Melting_Curves/meltCurve_sp_P10253_LYAG_HUMAN_.pdf")</f>
        <v>Melting_Curves/meltCurve_sp_P10253_LYAG_HUMAN_.pdf</v>
      </c>
      <c r="AA544" t="s">
        <v>11416</v>
      </c>
      <c r="AB544" t="s">
        <v>14970</v>
      </c>
    </row>
    <row r="545" spans="1:28" x14ac:dyDescent="0.25">
      <c r="A545" t="s">
        <v>549</v>
      </c>
      <c r="B545">
        <v>0.98018197421672304</v>
      </c>
      <c r="C545">
        <v>0.90075673190935601</v>
      </c>
      <c r="D545">
        <v>0.65769383895594402</v>
      </c>
      <c r="E545">
        <v>0.46716388560119598</v>
      </c>
      <c r="F545">
        <v>0.235908584339239</v>
      </c>
      <c r="G545">
        <v>7.9692407566491999E-2</v>
      </c>
      <c r="H545">
        <v>4.49386486282164E-2</v>
      </c>
      <c r="I545">
        <v>2.4053165276890099E-2</v>
      </c>
      <c r="J545">
        <v>2.5344670404807298E-2</v>
      </c>
      <c r="K545">
        <v>9.0290916419871192E-3</v>
      </c>
      <c r="L545">
        <v>713.93511696987105</v>
      </c>
      <c r="M545">
        <v>14.620575031870199</v>
      </c>
      <c r="N545">
        <v>48.830850665473399</v>
      </c>
      <c r="O545">
        <v>47.944593067910503</v>
      </c>
      <c r="P545">
        <v>-7.6245307189915706E-2</v>
      </c>
      <c r="Q545">
        <v>0</v>
      </c>
      <c r="R545">
        <v>0.99451803629482505</v>
      </c>
      <c r="S545" t="s">
        <v>4174</v>
      </c>
      <c r="T545" t="s">
        <v>7256</v>
      </c>
      <c r="U545" t="s">
        <v>7256</v>
      </c>
      <c r="V545" t="s">
        <v>7256</v>
      </c>
      <c r="W545">
        <v>3</v>
      </c>
      <c r="X545" t="s">
        <v>7801</v>
      </c>
      <c r="Y545">
        <v>0.32043229787235988</v>
      </c>
      <c r="Z545" t="str">
        <f>HYPERLINK("Melting_Curves/meltCurve_sp_P10398_ARAF_HUMAN_.pdf", "Melting_Curves/meltCurve_sp_P10398_ARAF_HUMAN_.pdf")</f>
        <v>Melting_Curves/meltCurve_sp_P10398_ARAF_HUMAN_.pdf</v>
      </c>
      <c r="AA545" t="s">
        <v>11417</v>
      </c>
      <c r="AB545" t="s">
        <v>14971</v>
      </c>
    </row>
    <row r="546" spans="1:28" x14ac:dyDescent="0.25">
      <c r="A546" t="s">
        <v>550</v>
      </c>
      <c r="B546">
        <v>0.98018197421672304</v>
      </c>
      <c r="C546">
        <v>0.94234482410854203</v>
      </c>
      <c r="D546">
        <v>0.87535767649500396</v>
      </c>
      <c r="E546">
        <v>0.68118844699475001</v>
      </c>
      <c r="F546">
        <v>0.52128877223008696</v>
      </c>
      <c r="G546">
        <v>0.35992549423614001</v>
      </c>
      <c r="H546">
        <v>0.37154905784515302</v>
      </c>
      <c r="I546">
        <v>0.38794544955146099</v>
      </c>
      <c r="J546">
        <v>0.38190646566311898</v>
      </c>
      <c r="K546">
        <v>0.46020455095315499</v>
      </c>
      <c r="L546">
        <v>1000.35687618734</v>
      </c>
      <c r="M546">
        <v>20.231946141619801</v>
      </c>
      <c r="N546">
        <v>53.296415425366199</v>
      </c>
      <c r="O546">
        <v>48.968973811010201</v>
      </c>
      <c r="P546">
        <v>-6.36134942402138E-2</v>
      </c>
      <c r="Q546">
        <v>0.38414413634600297</v>
      </c>
      <c r="R546">
        <v>0.97847573604859295</v>
      </c>
      <c r="S546" t="s">
        <v>4175</v>
      </c>
      <c r="T546" t="s">
        <v>7256</v>
      </c>
      <c r="U546" t="s">
        <v>7256</v>
      </c>
      <c r="V546" t="s">
        <v>7256</v>
      </c>
      <c r="W546">
        <v>6</v>
      </c>
      <c r="X546" t="s">
        <v>7802</v>
      </c>
      <c r="Y546">
        <v>0.58642560475143446</v>
      </c>
      <c r="Z546" t="str">
        <f>HYPERLINK("Melting_Curves/meltCurve_sp_P10412_H14_HUMAN_.pdf", "Melting_Curves/meltCurve_sp_P10412_H14_HUMAN_.pdf")</f>
        <v>Melting_Curves/meltCurve_sp_P10412_H14_HUMAN_.pdf</v>
      </c>
      <c r="AA546" t="s">
        <v>11418</v>
      </c>
      <c r="AB546" t="s">
        <v>14972</v>
      </c>
    </row>
    <row r="547" spans="1:28" x14ac:dyDescent="0.25">
      <c r="A547" t="s">
        <v>551</v>
      </c>
      <c r="B547">
        <v>0.98018197421672304</v>
      </c>
      <c r="C547">
        <v>0.89619458409034303</v>
      </c>
      <c r="D547">
        <v>0.87384181899189495</v>
      </c>
      <c r="E547">
        <v>0.55825864743772902</v>
      </c>
      <c r="F547">
        <v>0.48568709068006899</v>
      </c>
      <c r="G547">
        <v>0.24966676387356601</v>
      </c>
      <c r="H547">
        <v>0.17557517155722999</v>
      </c>
      <c r="I547">
        <v>0.120066709904796</v>
      </c>
      <c r="J547">
        <v>0.109626189550348</v>
      </c>
      <c r="K547">
        <v>6.3002554294174201E-2</v>
      </c>
      <c r="L547">
        <v>633.22715457942002</v>
      </c>
      <c r="M547">
        <v>12.271559610789099</v>
      </c>
      <c r="N547">
        <v>51.962098858215199</v>
      </c>
      <c r="O547">
        <v>50.288315995551997</v>
      </c>
      <c r="P547">
        <v>-5.8526837798290002E-2</v>
      </c>
      <c r="Q547">
        <v>4.0850426499329101E-2</v>
      </c>
      <c r="R547">
        <v>0.99211876177532798</v>
      </c>
      <c r="S547" t="s">
        <v>4176</v>
      </c>
      <c r="T547" t="s">
        <v>7256</v>
      </c>
      <c r="U547" t="s">
        <v>7256</v>
      </c>
      <c r="V547" t="s">
        <v>7256</v>
      </c>
      <c r="W547">
        <v>6</v>
      </c>
      <c r="X547" t="s">
        <v>7803</v>
      </c>
      <c r="Y547">
        <v>0.4409896816758973</v>
      </c>
      <c r="Z547" t="str">
        <f>HYPERLINK("Melting_Curves/meltCurve_sp_P10515_ODP2_HUMAN_.pdf", "Melting_Curves/meltCurve_sp_P10515_ODP2_HUMAN_.pdf")</f>
        <v>Melting_Curves/meltCurve_sp_P10515_ODP2_HUMAN_.pdf</v>
      </c>
      <c r="AA547" t="s">
        <v>11419</v>
      </c>
      <c r="AB547" t="s">
        <v>14973</v>
      </c>
    </row>
    <row r="548" spans="1:28" x14ac:dyDescent="0.25">
      <c r="A548" t="s">
        <v>552</v>
      </c>
      <c r="B548">
        <v>0.98018197421672304</v>
      </c>
      <c r="C548">
        <v>0.74636307069872299</v>
      </c>
      <c r="D548">
        <v>0.81585787787453401</v>
      </c>
      <c r="E548">
        <v>0.60742717139481095</v>
      </c>
      <c r="F548">
        <v>0.12086133277649901</v>
      </c>
      <c r="G548">
        <v>6.6207881737770605E-2</v>
      </c>
      <c r="H548">
        <v>4.8678691077335599E-2</v>
      </c>
      <c r="I548">
        <v>2.39962466120387E-2</v>
      </c>
      <c r="J548">
        <v>7.8893187883203597E-2</v>
      </c>
      <c r="K548">
        <v>2.1440900055869499E-2</v>
      </c>
      <c r="L548">
        <v>856.21591505975698</v>
      </c>
      <c r="M548">
        <v>17.272289861305499</v>
      </c>
      <c r="N548">
        <v>49.618993765033998</v>
      </c>
      <c r="O548">
        <v>48.9214732505366</v>
      </c>
      <c r="P548">
        <v>-8.7548995253335704E-2</v>
      </c>
      <c r="Q548">
        <v>8.1737074930775307E-3</v>
      </c>
      <c r="R548">
        <v>0.94169924191844101</v>
      </c>
      <c r="S548" t="s">
        <v>4177</v>
      </c>
      <c r="T548" t="s">
        <v>7256</v>
      </c>
      <c r="U548" t="s">
        <v>7256</v>
      </c>
      <c r="V548" t="s">
        <v>7256</v>
      </c>
      <c r="W548">
        <v>1</v>
      </c>
      <c r="X548" t="s">
        <v>7804</v>
      </c>
      <c r="Y548">
        <v>0.34304575707808183</v>
      </c>
      <c r="Z548" t="str">
        <f>HYPERLINK("Melting_Curves/meltCurve_sp_P10586_2_PTPRF_HUMAN_.pdf", "Melting_Curves/meltCurve_sp_P10586_2_PTPRF_HUMAN_.pdf")</f>
        <v>Melting_Curves/meltCurve_sp_P10586_2_PTPRF_HUMAN_.pdf</v>
      </c>
      <c r="AA548" t="s">
        <v>11420</v>
      </c>
      <c r="AB548" t="s">
        <v>14974</v>
      </c>
    </row>
    <row r="549" spans="1:28" x14ac:dyDescent="0.25">
      <c r="A549" t="s">
        <v>553</v>
      </c>
      <c r="B549">
        <v>0.98018197421672304</v>
      </c>
      <c r="C549">
        <v>1.00538469402557</v>
      </c>
      <c r="D549">
        <v>0.93205558935719901</v>
      </c>
      <c r="E549">
        <v>0.80043148520038498</v>
      </c>
      <c r="F549">
        <v>0.74547655502898003</v>
      </c>
      <c r="G549">
        <v>0.544205912682721</v>
      </c>
      <c r="H549">
        <v>0.49323462912940103</v>
      </c>
      <c r="I549">
        <v>0.57222654683448104</v>
      </c>
      <c r="J549">
        <v>0.63481318169402901</v>
      </c>
      <c r="K549">
        <v>0.90802716814709705</v>
      </c>
      <c r="L549">
        <v>1298.5058502987899</v>
      </c>
      <c r="M549">
        <v>26.169682920031999</v>
      </c>
      <c r="O549">
        <v>49.331695213574399</v>
      </c>
      <c r="P549">
        <v>-4.8234166893087002E-2</v>
      </c>
      <c r="Q549">
        <v>0.63630490498710301</v>
      </c>
      <c r="R549">
        <v>0.655527467252215</v>
      </c>
      <c r="S549" t="s">
        <v>4178</v>
      </c>
      <c r="T549" t="s">
        <v>7256</v>
      </c>
      <c r="U549" t="s">
        <v>7256</v>
      </c>
      <c r="V549" t="s">
        <v>7256</v>
      </c>
      <c r="W549">
        <v>7</v>
      </c>
      <c r="X549" t="s">
        <v>7805</v>
      </c>
      <c r="Y549">
        <v>0.75586564700130821</v>
      </c>
      <c r="Z549" t="str">
        <f>HYPERLINK("Melting_Curves/meltCurve_sp_P10606_COX5B_HUMAN_.pdf", "Melting_Curves/meltCurve_sp_P10606_COX5B_HUMAN_.pdf")</f>
        <v>Melting_Curves/meltCurve_sp_P10606_COX5B_HUMAN_.pdf</v>
      </c>
      <c r="AA549" t="s">
        <v>11421</v>
      </c>
      <c r="AB549" t="s">
        <v>14975</v>
      </c>
    </row>
    <row r="550" spans="1:28" x14ac:dyDescent="0.25">
      <c r="A550" t="s">
        <v>554</v>
      </c>
      <c r="B550">
        <v>0.98018197421672304</v>
      </c>
      <c r="C550">
        <v>1.0392270497132501</v>
      </c>
      <c r="D550">
        <v>0.88101179325078005</v>
      </c>
      <c r="E550">
        <v>0.41025102801402902</v>
      </c>
      <c r="F550">
        <v>0.10511604916664399</v>
      </c>
      <c r="G550">
        <v>5.7671643984843202E-2</v>
      </c>
      <c r="H550">
        <v>3.5913437440805301E-2</v>
      </c>
      <c r="I550">
        <v>3.00245461391602E-2</v>
      </c>
      <c r="J550">
        <v>3.4988506160700497E-2</v>
      </c>
      <c r="K550">
        <v>2.9813593441670502E-2</v>
      </c>
      <c r="L550">
        <v>1533.61852970206</v>
      </c>
      <c r="M550">
        <v>31.170684038226799</v>
      </c>
      <c r="N550">
        <v>49.304811407847097</v>
      </c>
      <c r="O550">
        <v>48.999495853573201</v>
      </c>
      <c r="P550">
        <v>-0.15396991014198799</v>
      </c>
      <c r="Q550">
        <v>3.18588136719637E-2</v>
      </c>
      <c r="R550">
        <v>0.99770905595834602</v>
      </c>
      <c r="S550" t="s">
        <v>4179</v>
      </c>
      <c r="T550" t="s">
        <v>7256</v>
      </c>
      <c r="U550" t="s">
        <v>7256</v>
      </c>
      <c r="V550" t="s">
        <v>7256</v>
      </c>
      <c r="W550">
        <v>7</v>
      </c>
      <c r="X550" t="s">
        <v>7806</v>
      </c>
      <c r="Y550">
        <v>0.33424611673336169</v>
      </c>
      <c r="Z550" t="str">
        <f>HYPERLINK("Melting_Curves/meltCurve_sp_P10619_PPGB_HUMAN_.pdf", "Melting_Curves/meltCurve_sp_P10619_PPGB_HUMAN_.pdf")</f>
        <v>Melting_Curves/meltCurve_sp_P10619_PPGB_HUMAN_.pdf</v>
      </c>
      <c r="AA550" t="s">
        <v>11422</v>
      </c>
      <c r="AB550" t="s">
        <v>14976</v>
      </c>
    </row>
    <row r="551" spans="1:28" x14ac:dyDescent="0.25">
      <c r="A551" t="s">
        <v>555</v>
      </c>
      <c r="B551">
        <v>0.98018197421672304</v>
      </c>
      <c r="C551">
        <v>1.0514038209910099</v>
      </c>
      <c r="D551">
        <v>0.71313108350820897</v>
      </c>
      <c r="E551">
        <v>0.39994904414495902</v>
      </c>
      <c r="F551">
        <v>0.21103614601390799</v>
      </c>
      <c r="G551">
        <v>9.4074407545967895E-2</v>
      </c>
      <c r="H551">
        <v>4.26218888452825E-2</v>
      </c>
      <c r="I551">
        <v>3.2439497797199401E-2</v>
      </c>
      <c r="J551">
        <v>3.4174806909601597E-2</v>
      </c>
      <c r="K551">
        <v>2.9091498497760399E-2</v>
      </c>
      <c r="L551">
        <v>968.96363391749105</v>
      </c>
      <c r="M551">
        <v>19.890147377908502</v>
      </c>
      <c r="N551">
        <v>48.878181357231803</v>
      </c>
      <c r="O551">
        <v>48.231354389965603</v>
      </c>
      <c r="P551">
        <v>-9.9803978376074506E-2</v>
      </c>
      <c r="Q551">
        <v>3.1978959130154402E-2</v>
      </c>
      <c r="R551">
        <v>0.988894033914551</v>
      </c>
      <c r="S551" t="s">
        <v>4180</v>
      </c>
      <c r="T551" t="s">
        <v>7256</v>
      </c>
      <c r="U551" t="s">
        <v>7256</v>
      </c>
      <c r="V551" t="s">
        <v>7256</v>
      </c>
      <c r="W551">
        <v>8</v>
      </c>
      <c r="X551" t="s">
        <v>7807</v>
      </c>
      <c r="Y551">
        <v>0.32696905518226321</v>
      </c>
      <c r="Z551" t="str">
        <f>HYPERLINK("Melting_Curves/meltCurve_sp_P10632_2_CP2C8_HUMAN_.pdf", "Melting_Curves/meltCurve_sp_P10632_2_CP2C8_HUMAN_.pdf")</f>
        <v>Melting_Curves/meltCurve_sp_P10632_2_CP2C8_HUMAN_.pdf</v>
      </c>
      <c r="AA551" t="s">
        <v>11423</v>
      </c>
      <c r="AB551" t="s">
        <v>14977</v>
      </c>
    </row>
    <row r="552" spans="1:28" x14ac:dyDescent="0.25">
      <c r="A552" t="s">
        <v>556</v>
      </c>
      <c r="B552">
        <v>0.98018197421672304</v>
      </c>
      <c r="C552">
        <v>0.94917926760631499</v>
      </c>
      <c r="D552">
        <v>0.76149973063402798</v>
      </c>
      <c r="E552">
        <v>0.44156047936686899</v>
      </c>
      <c r="F552">
        <v>0.249546739784136</v>
      </c>
      <c r="G552">
        <v>0.12231928781771099</v>
      </c>
      <c r="H552">
        <v>7.5273131016046504E-2</v>
      </c>
      <c r="I552">
        <v>6.8979382935559996E-2</v>
      </c>
      <c r="J552">
        <v>8.7266291733350598E-2</v>
      </c>
      <c r="K552">
        <v>7.1143203788784803E-2</v>
      </c>
      <c r="L552">
        <v>898.33692986061396</v>
      </c>
      <c r="M552">
        <v>18.3816945683648</v>
      </c>
      <c r="N552">
        <v>49.2400714218183</v>
      </c>
      <c r="O552">
        <v>48.3038900337991</v>
      </c>
      <c r="P552">
        <v>-8.9021731413385402E-2</v>
      </c>
      <c r="Q552">
        <v>6.4308137106663305E-2</v>
      </c>
      <c r="R552">
        <v>0.99919864174512896</v>
      </c>
      <c r="S552" t="s">
        <v>4181</v>
      </c>
      <c r="T552" t="s">
        <v>7256</v>
      </c>
      <c r="U552" t="s">
        <v>7256</v>
      </c>
      <c r="V552" t="s">
        <v>7256</v>
      </c>
      <c r="W552">
        <v>11</v>
      </c>
      <c r="X552" t="s">
        <v>7808</v>
      </c>
      <c r="Y552">
        <v>0.35657713408896641</v>
      </c>
      <c r="Z552" t="str">
        <f>HYPERLINK("Melting_Curves/meltCurve_sp_P10644_KAP0_HUMAN_.pdf", "Melting_Curves/meltCurve_sp_P10644_KAP0_HUMAN_.pdf")</f>
        <v>Melting_Curves/meltCurve_sp_P10644_KAP0_HUMAN_.pdf</v>
      </c>
      <c r="AA552" t="s">
        <v>11424</v>
      </c>
      <c r="AB552" t="s">
        <v>14978</v>
      </c>
    </row>
    <row r="553" spans="1:28" x14ac:dyDescent="0.25">
      <c r="A553" t="s">
        <v>557</v>
      </c>
      <c r="B553">
        <v>0.98018197421672304</v>
      </c>
      <c r="C553">
        <v>0.92196986174811801</v>
      </c>
      <c r="D553">
        <v>0.83389589723315904</v>
      </c>
      <c r="E553">
        <v>0.60497690818421201</v>
      </c>
      <c r="F553">
        <v>0.35943464502837302</v>
      </c>
      <c r="G553">
        <v>0.181056943783897</v>
      </c>
      <c r="H553">
        <v>0.14758717591075199</v>
      </c>
      <c r="I553">
        <v>9.87212089392146E-2</v>
      </c>
      <c r="J553">
        <v>0.20564326204608299</v>
      </c>
      <c r="K553">
        <v>7.9259256836298905E-2</v>
      </c>
      <c r="L553">
        <v>853.94424663184702</v>
      </c>
      <c r="M553">
        <v>16.993992797118899</v>
      </c>
      <c r="N553">
        <v>50.966064635739201</v>
      </c>
      <c r="O553">
        <v>49.569431431507702</v>
      </c>
      <c r="P553">
        <v>-7.6608093555639994E-2</v>
      </c>
      <c r="Q553">
        <v>0.10622895617469801</v>
      </c>
      <c r="R553">
        <v>0.98890199754282104</v>
      </c>
      <c r="S553" t="s">
        <v>4182</v>
      </c>
      <c r="T553" t="s">
        <v>7256</v>
      </c>
      <c r="U553" t="s">
        <v>7256</v>
      </c>
      <c r="V553" t="s">
        <v>7256</v>
      </c>
      <c r="W553">
        <v>1</v>
      </c>
      <c r="X553" t="s">
        <v>7809</v>
      </c>
      <c r="Y553">
        <v>0.42850013889414718</v>
      </c>
      <c r="Z553" t="str">
        <f>HYPERLINK("Melting_Curves/meltCurve_sp_P10746_HEM4_HUMAN_.pdf", "Melting_Curves/meltCurve_sp_P10746_HEM4_HUMAN_.pdf")</f>
        <v>Melting_Curves/meltCurve_sp_P10746_HEM4_HUMAN_.pdf</v>
      </c>
      <c r="AA553" t="s">
        <v>11425</v>
      </c>
      <c r="AB553" t="s">
        <v>14979</v>
      </c>
    </row>
    <row r="554" spans="1:28" x14ac:dyDescent="0.25">
      <c r="A554" t="s">
        <v>558</v>
      </c>
      <c r="B554">
        <v>0.98018197421672304</v>
      </c>
      <c r="C554">
        <v>1.0397395097795099</v>
      </c>
      <c r="D554">
        <v>1.01920978563552</v>
      </c>
      <c r="E554">
        <v>0.88579728966140903</v>
      </c>
      <c r="F554">
        <v>0.816285620594984</v>
      </c>
      <c r="G554">
        <v>0.46826974805166599</v>
      </c>
      <c r="H554">
        <v>0.109513390170981</v>
      </c>
      <c r="I554">
        <v>6.4991584763572405E-2</v>
      </c>
      <c r="J554">
        <v>8.5707614792522493E-2</v>
      </c>
      <c r="K554">
        <v>4.1006622278362097E-2</v>
      </c>
      <c r="L554">
        <v>1323.1603386939801</v>
      </c>
      <c r="M554">
        <v>23.539035068270699</v>
      </c>
      <c r="N554">
        <v>56.345872905464603</v>
      </c>
      <c r="O554">
        <v>55.810345284005798</v>
      </c>
      <c r="P554">
        <v>-0.102562180435731</v>
      </c>
      <c r="Q554">
        <v>2.7329206371924899E-2</v>
      </c>
      <c r="R554">
        <v>0.99308182653662402</v>
      </c>
      <c r="S554" t="s">
        <v>4183</v>
      </c>
      <c r="T554" t="s">
        <v>7256</v>
      </c>
      <c r="U554" t="s">
        <v>7256</v>
      </c>
      <c r="V554" t="s">
        <v>7256</v>
      </c>
      <c r="W554">
        <v>10</v>
      </c>
      <c r="X554" t="s">
        <v>7810</v>
      </c>
      <c r="Y554">
        <v>0.56274338692492332</v>
      </c>
      <c r="Z554" t="str">
        <f>HYPERLINK("Melting_Curves/meltCurve_sp_P10768_ESTD_HUMAN_.pdf", "Melting_Curves/meltCurve_sp_P10768_ESTD_HUMAN_.pdf")</f>
        <v>Melting_Curves/meltCurve_sp_P10768_ESTD_HUMAN_.pdf</v>
      </c>
      <c r="AA554" t="s">
        <v>11426</v>
      </c>
      <c r="AB554" t="s">
        <v>14980</v>
      </c>
    </row>
    <row r="555" spans="1:28" x14ac:dyDescent="0.25">
      <c r="A555" t="s">
        <v>559</v>
      </c>
      <c r="B555">
        <v>0.98018197421672304</v>
      </c>
      <c r="C555">
        <v>0.71411325001436698</v>
      </c>
      <c r="D555">
        <v>0.96354896550202396</v>
      </c>
      <c r="E555">
        <v>0.68968461729104802</v>
      </c>
      <c r="F555">
        <v>0.50235092427313</v>
      </c>
      <c r="G555">
        <v>0.38546903599363103</v>
      </c>
      <c r="H555">
        <v>0.28213891212832498</v>
      </c>
      <c r="I555">
        <v>0.190401624759265</v>
      </c>
      <c r="J555">
        <v>5.9411458998826903E-2</v>
      </c>
      <c r="K555">
        <v>4.0147810982503002E-2</v>
      </c>
      <c r="L555">
        <v>530.37076108660995</v>
      </c>
      <c r="M555">
        <v>9.8609355169906099</v>
      </c>
      <c r="N555">
        <v>53.785034551128</v>
      </c>
      <c r="O555">
        <v>51.713162380757097</v>
      </c>
      <c r="P555">
        <v>-4.76957625315561E-2</v>
      </c>
      <c r="Q555">
        <v>0</v>
      </c>
      <c r="R555">
        <v>0.93518040428347604</v>
      </c>
      <c r="S555" t="s">
        <v>4184</v>
      </c>
      <c r="T555" t="s">
        <v>7256</v>
      </c>
      <c r="U555" t="s">
        <v>7256</v>
      </c>
      <c r="V555" t="s">
        <v>7256</v>
      </c>
      <c r="W555">
        <v>52</v>
      </c>
      <c r="X555" t="s">
        <v>7811</v>
      </c>
      <c r="Y555">
        <v>0.49091276471004253</v>
      </c>
      <c r="Z555" t="str">
        <f>HYPERLINK("Melting_Curves/meltCurve_sp_P10809_CH60_HUMAN_.pdf", "Melting_Curves/meltCurve_sp_P10809_CH60_HUMAN_.pdf")</f>
        <v>Melting_Curves/meltCurve_sp_P10809_CH60_HUMAN_.pdf</v>
      </c>
      <c r="AA555" t="s">
        <v>11427</v>
      </c>
      <c r="AB555" t="s">
        <v>14981</v>
      </c>
    </row>
    <row r="556" spans="1:28" x14ac:dyDescent="0.25">
      <c r="A556" t="s">
        <v>560</v>
      </c>
      <c r="B556">
        <v>0.98018197421672304</v>
      </c>
      <c r="C556">
        <v>1.00085492490846</v>
      </c>
      <c r="D556">
        <v>0.90937604002769001</v>
      </c>
      <c r="E556">
        <v>0.66565534453360098</v>
      </c>
      <c r="F556">
        <v>0.49336790031855698</v>
      </c>
      <c r="G556">
        <v>0.31997357595175802</v>
      </c>
      <c r="H556">
        <v>0.225671629473437</v>
      </c>
      <c r="I556">
        <v>0.21183147573504901</v>
      </c>
      <c r="J556">
        <v>0.199147916100053</v>
      </c>
      <c r="K556">
        <v>0.17213929349204701</v>
      </c>
      <c r="L556">
        <v>864.36343925123504</v>
      </c>
      <c r="M556">
        <v>16.8103768110857</v>
      </c>
      <c r="N556">
        <v>52.787191745489899</v>
      </c>
      <c r="O556">
        <v>50.707347743231097</v>
      </c>
      <c r="P556">
        <v>-6.8242835730953702E-2</v>
      </c>
      <c r="Q556">
        <v>0.17665395379041901</v>
      </c>
      <c r="R556">
        <v>0.99820093179868596</v>
      </c>
      <c r="S556" t="s">
        <v>4185</v>
      </c>
      <c r="T556" t="s">
        <v>7256</v>
      </c>
      <c r="U556" t="s">
        <v>7256</v>
      </c>
      <c r="V556" t="s">
        <v>7256</v>
      </c>
      <c r="W556">
        <v>6</v>
      </c>
      <c r="X556" t="s">
        <v>7812</v>
      </c>
      <c r="Y556">
        <v>0.50557507236301624</v>
      </c>
      <c r="Z556" t="str">
        <f>HYPERLINK("Melting_Curves/meltCurve_sp_P10909_4_CLUS_HUMAN_.pdf", "Melting_Curves/meltCurve_sp_P10909_4_CLUS_HUMAN_.pdf")</f>
        <v>Melting_Curves/meltCurve_sp_P10909_4_CLUS_HUMAN_.pdf</v>
      </c>
      <c r="AA556" t="s">
        <v>11428</v>
      </c>
      <c r="AB556" t="s">
        <v>14982</v>
      </c>
    </row>
    <row r="557" spans="1:28" x14ac:dyDescent="0.25">
      <c r="A557" t="s">
        <v>561</v>
      </c>
      <c r="B557">
        <v>0.98018197421672304</v>
      </c>
      <c r="C557">
        <v>0.91087745685409105</v>
      </c>
      <c r="D557">
        <v>0.90515226107605995</v>
      </c>
      <c r="E557">
        <v>0.73969895919928597</v>
      </c>
      <c r="F557">
        <v>0.51525118370498801</v>
      </c>
      <c r="G557">
        <v>0.305145673584302</v>
      </c>
      <c r="H557">
        <v>0.20358730200361699</v>
      </c>
      <c r="I557">
        <v>0.12632159054252301</v>
      </c>
      <c r="J557">
        <v>7.7619245780787993E-2</v>
      </c>
      <c r="K557">
        <v>6.6962643866137997E-2</v>
      </c>
      <c r="L557">
        <v>692.85041534654704</v>
      </c>
      <c r="M557">
        <v>12.983914312768</v>
      </c>
      <c r="N557">
        <v>53.5541403354948</v>
      </c>
      <c r="O557">
        <v>52.1439667165467</v>
      </c>
      <c r="P557">
        <v>-6.0846050634800398E-2</v>
      </c>
      <c r="Q557">
        <v>2.2731901980664999E-2</v>
      </c>
      <c r="R557">
        <v>0.99639002331430204</v>
      </c>
      <c r="S557" t="s">
        <v>4186</v>
      </c>
      <c r="T557" t="s">
        <v>7256</v>
      </c>
      <c r="U557" t="s">
        <v>7256</v>
      </c>
      <c r="V557" t="s">
        <v>7256</v>
      </c>
      <c r="W557">
        <v>39</v>
      </c>
      <c r="X557" t="s">
        <v>7813</v>
      </c>
      <c r="Y557">
        <v>0.48278872967902148</v>
      </c>
      <c r="Z557" t="str">
        <f>HYPERLINK("Melting_Curves/meltCurve_sp_P11021_GRP78_HUMAN_.pdf", "Melting_Curves/meltCurve_sp_P11021_GRP78_HUMAN_.pdf")</f>
        <v>Melting_Curves/meltCurve_sp_P11021_GRP78_HUMAN_.pdf</v>
      </c>
      <c r="AA557" t="s">
        <v>11429</v>
      </c>
      <c r="AB557" t="s">
        <v>14983</v>
      </c>
    </row>
    <row r="558" spans="1:28" x14ac:dyDescent="0.25">
      <c r="A558" t="s">
        <v>562</v>
      </c>
      <c r="B558">
        <v>0.98018197421672304</v>
      </c>
      <c r="C558">
        <v>0.95464782810809101</v>
      </c>
      <c r="D558">
        <v>1.2084548139262501</v>
      </c>
      <c r="E558">
        <v>0.76419904601986799</v>
      </c>
      <c r="F558">
        <v>0.732837235326532</v>
      </c>
      <c r="G558">
        <v>0.14888584584257999</v>
      </c>
      <c r="H558">
        <v>0.64808262723992804</v>
      </c>
      <c r="I558">
        <v>0</v>
      </c>
      <c r="J558">
        <v>0.24830755288464301</v>
      </c>
      <c r="K558">
        <v>2.8653533367575199</v>
      </c>
      <c r="L558">
        <v>12058.1364165128</v>
      </c>
      <c r="M558">
        <v>250</v>
      </c>
      <c r="O558">
        <v>48.229469268334398</v>
      </c>
      <c r="P558">
        <v>-0.29478964464655999</v>
      </c>
      <c r="Q558">
        <v>0.77251927834127698</v>
      </c>
      <c r="R558">
        <v>2.59989363974674E-2</v>
      </c>
      <c r="S558" t="s">
        <v>4187</v>
      </c>
      <c r="T558" t="s">
        <v>7256</v>
      </c>
      <c r="U558" t="s">
        <v>7256</v>
      </c>
      <c r="V558" t="s">
        <v>7256</v>
      </c>
      <c r="W558">
        <v>1</v>
      </c>
      <c r="X558" t="s">
        <v>7814</v>
      </c>
      <c r="Y558">
        <v>0.83496338162546124</v>
      </c>
      <c r="Z558" t="str">
        <f>HYPERLINK("Melting_Curves/meltCurve_sp_P11047_LAMC1_HUMAN_.pdf", "Melting_Curves/meltCurve_sp_P11047_LAMC1_HUMAN_.pdf")</f>
        <v>Melting_Curves/meltCurve_sp_P11047_LAMC1_HUMAN_.pdf</v>
      </c>
      <c r="AA558" t="s">
        <v>11430</v>
      </c>
      <c r="AB558" t="s">
        <v>14984</v>
      </c>
    </row>
    <row r="559" spans="1:28" x14ac:dyDescent="0.25">
      <c r="A559" t="s">
        <v>563</v>
      </c>
      <c r="B559">
        <v>0.98018197421672304</v>
      </c>
      <c r="C559">
        <v>0.76961967531971298</v>
      </c>
      <c r="D559">
        <v>0.98949518847207196</v>
      </c>
      <c r="E559">
        <v>0.64109943479537701</v>
      </c>
      <c r="F559">
        <v>0.22464752598908899</v>
      </c>
      <c r="G559">
        <v>8.2765350232462703E-2</v>
      </c>
      <c r="H559">
        <v>4.2975819041532998E-2</v>
      </c>
      <c r="I559">
        <v>3.3306375206878298E-2</v>
      </c>
      <c r="J559">
        <v>4.1822453815414003E-2</v>
      </c>
      <c r="K559">
        <v>3.2456041235454001E-2</v>
      </c>
      <c r="L559">
        <v>1642.40346509755</v>
      </c>
      <c r="M559">
        <v>32.350484918573798</v>
      </c>
      <c r="N559">
        <v>50.8958330739665</v>
      </c>
      <c r="O559">
        <v>50.576236362191104</v>
      </c>
      <c r="P559">
        <v>-0.15372037769576599</v>
      </c>
      <c r="Q559">
        <v>3.87086041300597E-2</v>
      </c>
      <c r="R559">
        <v>0.96524364719096301</v>
      </c>
      <c r="S559" t="s">
        <v>4188</v>
      </c>
      <c r="T559" t="s">
        <v>7256</v>
      </c>
      <c r="U559" t="s">
        <v>7256</v>
      </c>
      <c r="V559" t="s">
        <v>7256</v>
      </c>
      <c r="W559">
        <v>41</v>
      </c>
      <c r="X559" t="s">
        <v>7815</v>
      </c>
      <c r="Y559">
        <v>0.38895578898826089</v>
      </c>
      <c r="Z559" t="str">
        <f>HYPERLINK("Melting_Curves/meltCurve_sp_P11142_HSP7C_HUMAN_.pdf", "Melting_Curves/meltCurve_sp_P11142_HSP7C_HUMAN_.pdf")</f>
        <v>Melting_Curves/meltCurve_sp_P11142_HSP7C_HUMAN_.pdf</v>
      </c>
      <c r="AA559" t="s">
        <v>11431</v>
      </c>
      <c r="AB559" t="s">
        <v>14985</v>
      </c>
    </row>
    <row r="560" spans="1:28" x14ac:dyDescent="0.25">
      <c r="A560" t="s">
        <v>564</v>
      </c>
      <c r="B560">
        <v>0.98018197421672304</v>
      </c>
      <c r="C560">
        <v>0.89311853470597602</v>
      </c>
      <c r="D560">
        <v>0.87321395872483998</v>
      </c>
      <c r="E560">
        <v>0.67868457854542497</v>
      </c>
      <c r="F560">
        <v>0.488296193776181</v>
      </c>
      <c r="G560">
        <v>0.32717413468568002</v>
      </c>
      <c r="H560">
        <v>0.26984308968765303</v>
      </c>
      <c r="I560">
        <v>0.27788825727196897</v>
      </c>
      <c r="J560">
        <v>0.33859437656876501</v>
      </c>
      <c r="K560">
        <v>0.41761217454690502</v>
      </c>
      <c r="L560">
        <v>929.98296583855904</v>
      </c>
      <c r="M560">
        <v>18.661246976163699</v>
      </c>
      <c r="N560">
        <v>52.570318406784999</v>
      </c>
      <c r="O560">
        <v>49.273281491482798</v>
      </c>
      <c r="P560">
        <v>-6.5272646499167294E-2</v>
      </c>
      <c r="Q560">
        <v>0.31064405621677699</v>
      </c>
      <c r="R560">
        <v>0.96239113726400605</v>
      </c>
      <c r="S560" t="s">
        <v>4189</v>
      </c>
      <c r="T560" t="s">
        <v>7256</v>
      </c>
      <c r="U560" t="s">
        <v>7256</v>
      </c>
      <c r="V560" t="s">
        <v>7256</v>
      </c>
      <c r="W560">
        <v>7</v>
      </c>
      <c r="X560" t="s">
        <v>7816</v>
      </c>
      <c r="Y560">
        <v>0.54762940390754999</v>
      </c>
      <c r="Z560" t="str">
        <f>HYPERLINK("Melting_Curves/meltCurve_sp_P11171_4_41_HUMAN_.pdf", "Melting_Curves/meltCurve_sp_P11171_4_41_HUMAN_.pdf")</f>
        <v>Melting_Curves/meltCurve_sp_P11171_4_41_HUMAN_.pdf</v>
      </c>
      <c r="AA560" t="s">
        <v>11432</v>
      </c>
      <c r="AB560" t="s">
        <v>14986</v>
      </c>
    </row>
    <row r="561" spans="1:28" x14ac:dyDescent="0.25">
      <c r="A561" t="s">
        <v>565</v>
      </c>
      <c r="B561">
        <v>0.98018197421672304</v>
      </c>
      <c r="C561">
        <v>0.96173075005078901</v>
      </c>
      <c r="D561">
        <v>0.79901322274252795</v>
      </c>
      <c r="E561">
        <v>0.46477288023001401</v>
      </c>
      <c r="F561">
        <v>0.204189012673509</v>
      </c>
      <c r="G561">
        <v>0.10476297256054599</v>
      </c>
      <c r="H561">
        <v>5.7808515913187003E-2</v>
      </c>
      <c r="I561">
        <v>4.10582363094553E-2</v>
      </c>
      <c r="J561">
        <v>4.5831108245188601E-2</v>
      </c>
      <c r="K561">
        <v>3.3851623655454501E-2</v>
      </c>
      <c r="L561">
        <v>981.76730565049604</v>
      </c>
      <c r="M561">
        <v>19.929617762493798</v>
      </c>
      <c r="N561">
        <v>49.442727087161998</v>
      </c>
      <c r="O561">
        <v>48.773779218964698</v>
      </c>
      <c r="P561">
        <v>-9.8562714244175495E-2</v>
      </c>
      <c r="Q561">
        <v>3.5181019763930198E-2</v>
      </c>
      <c r="R561">
        <v>0.99913178468288699</v>
      </c>
      <c r="S561" t="s">
        <v>4190</v>
      </c>
      <c r="T561" t="s">
        <v>7256</v>
      </c>
      <c r="U561" t="s">
        <v>7256</v>
      </c>
      <c r="V561" t="s">
        <v>7256</v>
      </c>
      <c r="W561">
        <v>20</v>
      </c>
      <c r="X561" t="s">
        <v>7817</v>
      </c>
      <c r="Y561">
        <v>0.34662520646863981</v>
      </c>
      <c r="Z561" t="str">
        <f>HYPERLINK("Melting_Curves/meltCurve_sp_P11172_UMPS_HUMAN_.pdf", "Melting_Curves/meltCurve_sp_P11172_UMPS_HUMAN_.pdf")</f>
        <v>Melting_Curves/meltCurve_sp_P11172_UMPS_HUMAN_.pdf</v>
      </c>
      <c r="AA561" t="s">
        <v>11433</v>
      </c>
      <c r="AB561" t="s">
        <v>14987</v>
      </c>
    </row>
    <row r="562" spans="1:28" x14ac:dyDescent="0.25">
      <c r="A562" t="s">
        <v>566</v>
      </c>
      <c r="B562">
        <v>0.98018197421672304</v>
      </c>
      <c r="C562">
        <v>0.68058864697327903</v>
      </c>
      <c r="D562">
        <v>0.38170927691564799</v>
      </c>
      <c r="E562">
        <v>0.19388843293262001</v>
      </c>
      <c r="F562">
        <v>0.123870732300272</v>
      </c>
      <c r="G562">
        <v>6.23736270900693E-2</v>
      </c>
      <c r="H562">
        <v>6.9908692454770202E-2</v>
      </c>
      <c r="I562">
        <v>3.2653610370831199E-2</v>
      </c>
      <c r="J562">
        <v>4.01396783986947E-2</v>
      </c>
      <c r="K562">
        <v>2.65753877916555E-2</v>
      </c>
      <c r="L562">
        <v>861.24211600821695</v>
      </c>
      <c r="M562">
        <v>19.2570537565393</v>
      </c>
      <c r="N562">
        <v>44.968898205993902</v>
      </c>
      <c r="O562">
        <v>44.249549681973299</v>
      </c>
      <c r="P562">
        <v>-0.103374583486289</v>
      </c>
      <c r="Q562">
        <v>4.9884596455572403E-2</v>
      </c>
      <c r="R562">
        <v>0.99037981672623099</v>
      </c>
      <c r="S562" t="s">
        <v>4191</v>
      </c>
      <c r="T562" t="s">
        <v>7256</v>
      </c>
      <c r="U562" t="s">
        <v>7256</v>
      </c>
      <c r="V562" t="s">
        <v>7256</v>
      </c>
      <c r="W562">
        <v>6</v>
      </c>
      <c r="X562" t="s">
        <v>7818</v>
      </c>
      <c r="Y562">
        <v>0.21762958769241139</v>
      </c>
      <c r="Z562" t="str">
        <f>HYPERLINK("Melting_Curves/meltCurve_sp_P11177_3_ODPB_HUMAN_.pdf", "Melting_Curves/meltCurve_sp_P11177_3_ODPB_HUMAN_.pdf")</f>
        <v>Melting_Curves/meltCurve_sp_P11177_3_ODPB_HUMAN_.pdf</v>
      </c>
      <c r="AA562" t="s">
        <v>11434</v>
      </c>
      <c r="AB562" t="s">
        <v>14988</v>
      </c>
    </row>
    <row r="563" spans="1:28" x14ac:dyDescent="0.25">
      <c r="A563" t="s">
        <v>567</v>
      </c>
      <c r="B563">
        <v>0.98018197421672304</v>
      </c>
      <c r="C563">
        <v>0.82886761056777003</v>
      </c>
      <c r="D563">
        <v>0.85331466716503102</v>
      </c>
      <c r="E563">
        <v>0.57728550112917199</v>
      </c>
      <c r="F563">
        <v>0.39515475792044003</v>
      </c>
      <c r="G563">
        <v>0.18140155604573199</v>
      </c>
      <c r="H563">
        <v>8.4892418505958106E-2</v>
      </c>
      <c r="I563">
        <v>5.9454842468773299E-2</v>
      </c>
      <c r="J563">
        <v>7.8356914155510202E-2</v>
      </c>
      <c r="K563">
        <v>8.3852014565477806E-2</v>
      </c>
      <c r="L563">
        <v>697.29644683535196</v>
      </c>
      <c r="M563">
        <v>13.7232555551206</v>
      </c>
      <c r="N563">
        <v>51.012038653174002</v>
      </c>
      <c r="O563">
        <v>49.768816921175898</v>
      </c>
      <c r="P563">
        <v>-6.7132705667691195E-2</v>
      </c>
      <c r="Q563">
        <v>2.6284614304238701E-2</v>
      </c>
      <c r="R563">
        <v>0.98736649557968703</v>
      </c>
      <c r="S563" t="s">
        <v>4192</v>
      </c>
      <c r="T563" t="s">
        <v>7256</v>
      </c>
      <c r="U563" t="s">
        <v>7256</v>
      </c>
      <c r="V563" t="s">
        <v>7256</v>
      </c>
      <c r="W563">
        <v>8</v>
      </c>
      <c r="X563" t="s">
        <v>7819</v>
      </c>
      <c r="Y563">
        <v>0.40336427519706908</v>
      </c>
      <c r="Z563" t="str">
        <f>HYPERLINK("Melting_Curves/meltCurve_sp_P11182_ODB2_HUMAN_.pdf", "Melting_Curves/meltCurve_sp_P11182_ODB2_HUMAN_.pdf")</f>
        <v>Melting_Curves/meltCurve_sp_P11182_ODB2_HUMAN_.pdf</v>
      </c>
      <c r="AA563" t="s">
        <v>11435</v>
      </c>
      <c r="AB563" t="s">
        <v>14989</v>
      </c>
    </row>
    <row r="564" spans="1:28" x14ac:dyDescent="0.25">
      <c r="A564" t="s">
        <v>568</v>
      </c>
      <c r="B564">
        <v>0.98018197421672304</v>
      </c>
      <c r="C564">
        <v>0.92902621647490302</v>
      </c>
      <c r="D564">
        <v>0.891561373811943</v>
      </c>
      <c r="E564">
        <v>0.81328714778576106</v>
      </c>
      <c r="F564">
        <v>0.64972104510173001</v>
      </c>
      <c r="G564">
        <v>0.33436888566630901</v>
      </c>
      <c r="H564">
        <v>0.137780995411212</v>
      </c>
      <c r="I564">
        <v>9.6445776398314406E-2</v>
      </c>
      <c r="J564">
        <v>7.7054354620537197E-2</v>
      </c>
      <c r="K564">
        <v>5.6672567599615899E-2</v>
      </c>
      <c r="L564">
        <v>847.25633700295498</v>
      </c>
      <c r="M564">
        <v>15.5395323780564</v>
      </c>
      <c r="N564">
        <v>54.602958297286399</v>
      </c>
      <c r="O564">
        <v>53.643655372786597</v>
      </c>
      <c r="P564">
        <v>-7.1608183591878399E-2</v>
      </c>
      <c r="Q564">
        <v>1.12992387897999E-2</v>
      </c>
      <c r="R564">
        <v>0.99313117678788598</v>
      </c>
      <c r="S564" t="s">
        <v>4193</v>
      </c>
      <c r="T564" t="s">
        <v>7256</v>
      </c>
      <c r="U564" t="s">
        <v>7256</v>
      </c>
      <c r="V564" t="s">
        <v>7256</v>
      </c>
      <c r="W564">
        <v>33</v>
      </c>
      <c r="X564" t="s">
        <v>7820</v>
      </c>
      <c r="Y564">
        <v>0.50879598796314618</v>
      </c>
      <c r="Z564" t="str">
        <f>HYPERLINK("Melting_Curves/meltCurve_sp_P11216_PYGB_HUMAN_.pdf", "Melting_Curves/meltCurve_sp_P11216_PYGB_HUMAN_.pdf")</f>
        <v>Melting_Curves/meltCurve_sp_P11216_PYGB_HUMAN_.pdf</v>
      </c>
      <c r="AA564" t="s">
        <v>11436</v>
      </c>
      <c r="AB564" t="s">
        <v>14990</v>
      </c>
    </row>
    <row r="565" spans="1:28" x14ac:dyDescent="0.25">
      <c r="A565" t="s">
        <v>569</v>
      </c>
      <c r="B565">
        <v>0.98018197421672304</v>
      </c>
      <c r="C565">
        <v>0.83947763365037398</v>
      </c>
      <c r="D565">
        <v>0.88075421293877898</v>
      </c>
      <c r="E565">
        <v>0.70521104073188201</v>
      </c>
      <c r="F565">
        <v>0.50819135713769403</v>
      </c>
      <c r="G565">
        <v>0.32850442463727603</v>
      </c>
      <c r="H565">
        <v>0.36280006310483798</v>
      </c>
      <c r="I565">
        <v>0.36059848543209</v>
      </c>
      <c r="J565">
        <v>0.43864772543612801</v>
      </c>
      <c r="K565">
        <v>0.39575532435845701</v>
      </c>
      <c r="L565">
        <v>850.315105293952</v>
      </c>
      <c r="M565">
        <v>17.197273889373498</v>
      </c>
      <c r="N565">
        <v>53.442626258479898</v>
      </c>
      <c r="O565">
        <v>48.790709609441201</v>
      </c>
      <c r="P565">
        <v>-5.6233090380912398E-2</v>
      </c>
      <c r="Q565">
        <v>0.36187784685799002</v>
      </c>
      <c r="R565">
        <v>0.94143761503860302</v>
      </c>
      <c r="S565" t="s">
        <v>4194</v>
      </c>
      <c r="T565" t="s">
        <v>7256</v>
      </c>
      <c r="U565" t="s">
        <v>7256</v>
      </c>
      <c r="V565" t="s">
        <v>7256</v>
      </c>
      <c r="W565">
        <v>3</v>
      </c>
      <c r="X565" t="s">
        <v>7821</v>
      </c>
      <c r="Y565">
        <v>0.57475836676396397</v>
      </c>
      <c r="Z565" t="str">
        <f>HYPERLINK("Melting_Curves/meltCurve_sp_P11226_MBL2_HUMAN_.pdf", "Melting_Curves/meltCurve_sp_P11226_MBL2_HUMAN_.pdf")</f>
        <v>Melting_Curves/meltCurve_sp_P11226_MBL2_HUMAN_.pdf</v>
      </c>
      <c r="AA565" t="s">
        <v>11437</v>
      </c>
      <c r="AB565" t="s">
        <v>14991</v>
      </c>
    </row>
    <row r="566" spans="1:28" x14ac:dyDescent="0.25">
      <c r="A566" t="s">
        <v>570</v>
      </c>
      <c r="B566">
        <v>0.98018197421672304</v>
      </c>
      <c r="C566">
        <v>0.94275573555506997</v>
      </c>
      <c r="D566">
        <v>0.90659060834554195</v>
      </c>
      <c r="E566">
        <v>0.71690064479712401</v>
      </c>
      <c r="F566">
        <v>0.44323536605494501</v>
      </c>
      <c r="G566">
        <v>0.13177403144875499</v>
      </c>
      <c r="H566">
        <v>6.4009739826865406E-2</v>
      </c>
      <c r="I566">
        <v>5.5075318529244098E-2</v>
      </c>
      <c r="J566">
        <v>5.4741100774908798E-2</v>
      </c>
      <c r="K566">
        <v>2.6142035563962201E-2</v>
      </c>
      <c r="L566">
        <v>1058.71321510389</v>
      </c>
      <c r="M566">
        <v>20.336361996293501</v>
      </c>
      <c r="N566">
        <v>52.187736607032299</v>
      </c>
      <c r="O566">
        <v>51.564555122431898</v>
      </c>
      <c r="P566">
        <v>-9.6208163209584002E-2</v>
      </c>
      <c r="Q566">
        <v>2.42541912405384E-2</v>
      </c>
      <c r="R566">
        <v>0.99641268837420005</v>
      </c>
      <c r="S566" t="s">
        <v>4195</v>
      </c>
      <c r="T566" t="s">
        <v>7256</v>
      </c>
      <c r="U566" t="s">
        <v>7256</v>
      </c>
      <c r="V566" t="s">
        <v>7256</v>
      </c>
      <c r="W566">
        <v>9</v>
      </c>
      <c r="X566" t="s">
        <v>7822</v>
      </c>
      <c r="Y566">
        <v>0.42960935282464269</v>
      </c>
      <c r="Z566" t="str">
        <f>HYPERLINK("Melting_Curves/meltCurve_sp_P11245_ARY2_HUMAN_.pdf", "Melting_Curves/meltCurve_sp_P11245_ARY2_HUMAN_.pdf")</f>
        <v>Melting_Curves/meltCurve_sp_P11245_ARY2_HUMAN_.pdf</v>
      </c>
      <c r="AA566" t="s">
        <v>11438</v>
      </c>
      <c r="AB566" t="s">
        <v>14992</v>
      </c>
    </row>
    <row r="567" spans="1:28" x14ac:dyDescent="0.25">
      <c r="A567" t="s">
        <v>571</v>
      </c>
      <c r="B567">
        <v>0.98018197421672304</v>
      </c>
      <c r="C567">
        <v>0.76102171975056199</v>
      </c>
      <c r="D567">
        <v>0.85039560051652097</v>
      </c>
      <c r="E567">
        <v>0.69799540705801</v>
      </c>
      <c r="F567">
        <v>0.68160836746922604</v>
      </c>
      <c r="G567">
        <v>0.37725083473529197</v>
      </c>
      <c r="H567">
        <v>0.49056326934754502</v>
      </c>
      <c r="I567">
        <v>0.47423761433865702</v>
      </c>
      <c r="J567">
        <v>0.53123601073031301</v>
      </c>
      <c r="K567">
        <v>0.63469762541985297</v>
      </c>
      <c r="L567">
        <v>560.20195350368101</v>
      </c>
      <c r="M567">
        <v>11.8934109203506</v>
      </c>
      <c r="O567">
        <v>45.829500789133697</v>
      </c>
      <c r="P567">
        <v>-3.2656994759696301E-2</v>
      </c>
      <c r="Q567">
        <v>0.49677014067428998</v>
      </c>
      <c r="R567">
        <v>0.74740199664788898</v>
      </c>
      <c r="S567" t="s">
        <v>4196</v>
      </c>
      <c r="T567" t="s">
        <v>7256</v>
      </c>
      <c r="U567" t="s">
        <v>7256</v>
      </c>
      <c r="V567" t="s">
        <v>7256</v>
      </c>
      <c r="W567">
        <v>3</v>
      </c>
      <c r="X567" t="s">
        <v>7823</v>
      </c>
      <c r="Y567">
        <v>0.63720957937736145</v>
      </c>
      <c r="Z567" t="str">
        <f>HYPERLINK("Melting_Curves/meltCurve_sp_P11274_2_BCR_HUMAN_.pdf", "Melting_Curves/meltCurve_sp_P11274_2_BCR_HUMAN_.pdf")</f>
        <v>Melting_Curves/meltCurve_sp_P11274_2_BCR_HUMAN_.pdf</v>
      </c>
      <c r="AA567" t="s">
        <v>11439</v>
      </c>
      <c r="AB567" t="s">
        <v>14993</v>
      </c>
    </row>
    <row r="568" spans="1:28" x14ac:dyDescent="0.25">
      <c r="A568" t="s">
        <v>572</v>
      </c>
      <c r="B568">
        <v>0.98018197421672304</v>
      </c>
      <c r="C568">
        <v>1.2028326930103801</v>
      </c>
      <c r="D568">
        <v>0.93167483562659703</v>
      </c>
      <c r="E568">
        <v>1.0189275086437299</v>
      </c>
      <c r="F568">
        <v>0.93641336530844399</v>
      </c>
      <c r="G568">
        <v>0.41416531012769298</v>
      </c>
      <c r="H568">
        <v>0.121243649922203</v>
      </c>
      <c r="I568">
        <v>9.3308940221004E-2</v>
      </c>
      <c r="J568">
        <v>0.104851347784333</v>
      </c>
      <c r="K568">
        <v>4.0913720342125003E-2</v>
      </c>
      <c r="L568">
        <v>2352.8877335860302</v>
      </c>
      <c r="M568">
        <v>41.825961498560801</v>
      </c>
      <c r="N568">
        <v>56.4874551107035</v>
      </c>
      <c r="O568">
        <v>56.126129278484697</v>
      </c>
      <c r="P568">
        <v>-0.171530386407724</v>
      </c>
      <c r="Q568">
        <v>7.9297599409873396E-2</v>
      </c>
      <c r="R568">
        <v>0.97528989756497597</v>
      </c>
      <c r="S568" t="s">
        <v>4197</v>
      </c>
      <c r="T568" t="s">
        <v>7256</v>
      </c>
      <c r="U568" t="s">
        <v>7256</v>
      </c>
      <c r="V568" t="s">
        <v>7256</v>
      </c>
      <c r="W568">
        <v>7</v>
      </c>
      <c r="X568" t="s">
        <v>7824</v>
      </c>
      <c r="Y568">
        <v>0.58139591265367441</v>
      </c>
      <c r="Z568" t="str">
        <f>HYPERLINK("Melting_Curves/meltCurve_sp_P11277_3_SPTB1_HUMAN_.pdf", "Melting_Curves/meltCurve_sp_P11277_3_SPTB1_HUMAN_.pdf")</f>
        <v>Melting_Curves/meltCurve_sp_P11277_3_SPTB1_HUMAN_.pdf</v>
      </c>
      <c r="AA568" t="s">
        <v>11440</v>
      </c>
      <c r="AB568" t="s">
        <v>14994</v>
      </c>
    </row>
    <row r="569" spans="1:28" x14ac:dyDescent="0.25">
      <c r="A569" t="s">
        <v>573</v>
      </c>
      <c r="B569">
        <v>0.98018197421672304</v>
      </c>
      <c r="C569">
        <v>0.95192943821575304</v>
      </c>
      <c r="D569">
        <v>0.82626602495221502</v>
      </c>
      <c r="E569">
        <v>0.62991702970197705</v>
      </c>
      <c r="F569">
        <v>0.39574204609786601</v>
      </c>
      <c r="G569">
        <v>0.21087764427960801</v>
      </c>
      <c r="H569">
        <v>9.4290251747475101E-2</v>
      </c>
      <c r="I569">
        <v>6.9543366179654398E-2</v>
      </c>
      <c r="J569">
        <v>5.4085335576168597E-2</v>
      </c>
      <c r="K569">
        <v>3.8290570067239599E-2</v>
      </c>
      <c r="L569">
        <v>737.96081750257997</v>
      </c>
      <c r="M569">
        <v>14.3425302989705</v>
      </c>
      <c r="N569">
        <v>51.5485189520627</v>
      </c>
      <c r="O569">
        <v>50.483386988408903</v>
      </c>
      <c r="P569">
        <v>-7.0099429556226403E-2</v>
      </c>
      <c r="Q569">
        <v>1.31642015147379E-2</v>
      </c>
      <c r="R569">
        <v>0.99903921157375797</v>
      </c>
      <c r="S569" t="s">
        <v>4198</v>
      </c>
      <c r="T569" t="s">
        <v>7256</v>
      </c>
      <c r="U569" t="s">
        <v>7256</v>
      </c>
      <c r="V569" t="s">
        <v>7256</v>
      </c>
      <c r="W569">
        <v>26</v>
      </c>
      <c r="X569" t="s">
        <v>7825</v>
      </c>
      <c r="Y569">
        <v>0.41400997065001283</v>
      </c>
      <c r="Z569" t="str">
        <f>HYPERLINK("Melting_Curves/meltCurve_sp_P11310_ACADM_HUMAN_.pdf", "Melting_Curves/meltCurve_sp_P11310_ACADM_HUMAN_.pdf")</f>
        <v>Melting_Curves/meltCurve_sp_P11310_ACADM_HUMAN_.pdf</v>
      </c>
      <c r="AA569" t="s">
        <v>11441</v>
      </c>
      <c r="AB569" t="s">
        <v>14995</v>
      </c>
    </row>
    <row r="570" spans="1:28" x14ac:dyDescent="0.25">
      <c r="A570" t="s">
        <v>574</v>
      </c>
      <c r="B570">
        <v>0.98018197421672304</v>
      </c>
      <c r="C570">
        <v>0.92651548190588195</v>
      </c>
      <c r="D570">
        <v>0.80685282809619097</v>
      </c>
      <c r="E570">
        <v>0.68877736231054398</v>
      </c>
      <c r="F570">
        <v>0.28224847113926499</v>
      </c>
      <c r="G570">
        <v>0.16787250852517199</v>
      </c>
      <c r="H570">
        <v>0.107893538520438</v>
      </c>
      <c r="I570">
        <v>8.5902370619481E-2</v>
      </c>
      <c r="J570">
        <v>0.131025986267999</v>
      </c>
      <c r="K570">
        <v>0.11799026577181899</v>
      </c>
      <c r="L570">
        <v>971.96318106693104</v>
      </c>
      <c r="M570">
        <v>19.2530989325885</v>
      </c>
      <c r="N570">
        <v>51.007830293724602</v>
      </c>
      <c r="O570">
        <v>49.948302255528603</v>
      </c>
      <c r="P570">
        <v>-8.7716468890257901E-2</v>
      </c>
      <c r="Q570">
        <v>8.9783317667412002E-2</v>
      </c>
      <c r="R570">
        <v>0.98033310147823105</v>
      </c>
      <c r="S570" t="s">
        <v>4199</v>
      </c>
      <c r="T570" t="s">
        <v>7256</v>
      </c>
      <c r="U570" t="s">
        <v>7256</v>
      </c>
      <c r="V570" t="s">
        <v>7256</v>
      </c>
      <c r="W570">
        <v>1</v>
      </c>
      <c r="X570" t="s">
        <v>7826</v>
      </c>
      <c r="Y570">
        <v>0.42145944808691099</v>
      </c>
      <c r="Z570" t="str">
        <f>HYPERLINK("Melting_Curves/meltCurve_sp_P11413_G6PD_HUMAN_.pdf", "Melting_Curves/meltCurve_sp_P11413_G6PD_HUMAN_.pdf")</f>
        <v>Melting_Curves/meltCurve_sp_P11413_G6PD_HUMAN_.pdf</v>
      </c>
      <c r="AA570" t="s">
        <v>11442</v>
      </c>
      <c r="AB570" t="s">
        <v>14996</v>
      </c>
    </row>
    <row r="571" spans="1:28" x14ac:dyDescent="0.25">
      <c r="A571" t="s">
        <v>575</v>
      </c>
      <c r="B571">
        <v>0.98018197421672304</v>
      </c>
      <c r="C571">
        <v>1.0105250691338401</v>
      </c>
      <c r="D571">
        <v>0.84809558628669701</v>
      </c>
      <c r="E571">
        <v>0.73937370441427097</v>
      </c>
      <c r="F571">
        <v>0.50863474174693102</v>
      </c>
      <c r="G571">
        <v>0.31819648883804202</v>
      </c>
      <c r="H571">
        <v>0.24594023186813699</v>
      </c>
      <c r="I571">
        <v>0.243436612728196</v>
      </c>
      <c r="J571">
        <v>0.27512655321967</v>
      </c>
      <c r="K571">
        <v>0.21085289949261801</v>
      </c>
      <c r="L571">
        <v>890.290829533193</v>
      </c>
      <c r="M571">
        <v>17.318617179276099</v>
      </c>
      <c r="N571">
        <v>53.163093327906999</v>
      </c>
      <c r="O571">
        <v>50.735864833796597</v>
      </c>
      <c r="P571">
        <v>-6.6749314975513604E-2</v>
      </c>
      <c r="Q571">
        <v>0.21786141176840401</v>
      </c>
      <c r="R571">
        <v>0.98999708757205496</v>
      </c>
      <c r="S571" t="s">
        <v>4200</v>
      </c>
      <c r="T571" t="s">
        <v>7256</v>
      </c>
      <c r="U571" t="s">
        <v>7256</v>
      </c>
      <c r="V571" t="s">
        <v>7256</v>
      </c>
      <c r="W571">
        <v>4</v>
      </c>
      <c r="X571" t="s">
        <v>7827</v>
      </c>
      <c r="Y571">
        <v>0.52927647393294419</v>
      </c>
      <c r="Z571" t="str">
        <f>HYPERLINK("Melting_Curves/meltCurve_sp_P11441_UBL4A_HUMAN_.pdf", "Melting_Curves/meltCurve_sp_P11441_UBL4A_HUMAN_.pdf")</f>
        <v>Melting_Curves/meltCurve_sp_P11441_UBL4A_HUMAN_.pdf</v>
      </c>
      <c r="AA571" t="s">
        <v>11443</v>
      </c>
      <c r="AB571" t="s">
        <v>14997</v>
      </c>
    </row>
    <row r="572" spans="1:28" x14ac:dyDescent="0.25">
      <c r="A572" t="s">
        <v>576</v>
      </c>
      <c r="B572">
        <v>0.98018197421672304</v>
      </c>
      <c r="C572">
        <v>0.84691439724921402</v>
      </c>
      <c r="D572">
        <v>0.47754247292894503</v>
      </c>
      <c r="E572">
        <v>0.16891263355955899</v>
      </c>
      <c r="F572">
        <v>8.9667004182800006E-2</v>
      </c>
      <c r="G572">
        <v>5.9585561493428398E-2</v>
      </c>
      <c r="H572">
        <v>3.8997127099418702E-2</v>
      </c>
      <c r="I572">
        <v>3.07016969943067E-2</v>
      </c>
      <c r="J572">
        <v>3.4176824586762203E-2</v>
      </c>
      <c r="K572">
        <v>2.6773569482603898E-2</v>
      </c>
      <c r="L572">
        <v>1068.09574375187</v>
      </c>
      <c r="M572">
        <v>23.3258510263435</v>
      </c>
      <c r="N572">
        <v>45.947803750278801</v>
      </c>
      <c r="O572">
        <v>45.457640027242299</v>
      </c>
      <c r="P572">
        <v>-0.123354398131739</v>
      </c>
      <c r="Q572">
        <v>3.8439941848009702E-2</v>
      </c>
      <c r="R572">
        <v>0.99895597374555001</v>
      </c>
      <c r="S572" t="s">
        <v>4201</v>
      </c>
      <c r="T572" t="s">
        <v>7256</v>
      </c>
      <c r="U572" t="s">
        <v>7256</v>
      </c>
      <c r="V572" t="s">
        <v>7256</v>
      </c>
      <c r="W572">
        <v>62</v>
      </c>
      <c r="X572" t="s">
        <v>7828</v>
      </c>
      <c r="Y572">
        <v>0.234591468863872</v>
      </c>
      <c r="Z572" t="str">
        <f>HYPERLINK("Melting_Curves/meltCurve_sp_P11498_PYC_HUMAN_.pdf", "Melting_Curves/meltCurve_sp_P11498_PYC_HUMAN_.pdf")</f>
        <v>Melting_Curves/meltCurve_sp_P11498_PYC_HUMAN_.pdf</v>
      </c>
      <c r="AA572" t="s">
        <v>11444</v>
      </c>
      <c r="AB572" t="s">
        <v>14998</v>
      </c>
    </row>
    <row r="573" spans="1:28" x14ac:dyDescent="0.25">
      <c r="A573" t="s">
        <v>577</v>
      </c>
      <c r="B573">
        <v>0.98018197421672304</v>
      </c>
      <c r="C573">
        <v>0.82745298768763098</v>
      </c>
      <c r="D573">
        <v>0.63759156644541104</v>
      </c>
      <c r="E573">
        <v>0.318038996987628</v>
      </c>
      <c r="F573">
        <v>0.19190183836941399</v>
      </c>
      <c r="G573">
        <v>0.112928159234951</v>
      </c>
      <c r="H573">
        <v>1.6312076232769999E-2</v>
      </c>
      <c r="I573">
        <v>4.5958595976431503E-2</v>
      </c>
      <c r="J573">
        <v>6.2056370782589597E-2</v>
      </c>
      <c r="K573">
        <v>4.6544515147900603E-2</v>
      </c>
      <c r="L573">
        <v>759.81649721966903</v>
      </c>
      <c r="M573">
        <v>16.038427684210699</v>
      </c>
      <c r="N573">
        <v>47.585789902366599</v>
      </c>
      <c r="O573">
        <v>46.656626122443498</v>
      </c>
      <c r="P573">
        <v>-8.2994767314964704E-2</v>
      </c>
      <c r="Q573">
        <v>3.4331020063672203E-2</v>
      </c>
      <c r="R573">
        <v>0.99651653672482199</v>
      </c>
      <c r="S573" t="s">
        <v>4202</v>
      </c>
      <c r="T573" t="s">
        <v>7256</v>
      </c>
      <c r="U573" t="s">
        <v>7256</v>
      </c>
      <c r="V573" t="s">
        <v>7256</v>
      </c>
      <c r="W573">
        <v>5</v>
      </c>
      <c r="X573" t="s">
        <v>7829</v>
      </c>
      <c r="Y573">
        <v>0.29407740540456878</v>
      </c>
      <c r="Z573" t="str">
        <f>HYPERLINK("Melting_Curves/meltCurve_sp_P11509_CP2A6_HUMAN_.pdf", "Melting_Curves/meltCurve_sp_P11509_CP2A6_HUMAN_.pdf")</f>
        <v>Melting_Curves/meltCurve_sp_P11509_CP2A6_HUMAN_.pdf</v>
      </c>
      <c r="AA573" t="s">
        <v>11445</v>
      </c>
      <c r="AB573" t="s">
        <v>14999</v>
      </c>
    </row>
    <row r="574" spans="1:28" x14ac:dyDescent="0.25">
      <c r="A574" t="s">
        <v>578</v>
      </c>
      <c r="B574">
        <v>0.98018197421672304</v>
      </c>
      <c r="C574">
        <v>0.87182085383519503</v>
      </c>
      <c r="D574">
        <v>0.87496702918354097</v>
      </c>
      <c r="E574">
        <v>0.66515672336684295</v>
      </c>
      <c r="F574">
        <v>0.540847190001431</v>
      </c>
      <c r="G574">
        <v>0.39277768665395402</v>
      </c>
      <c r="H574">
        <v>0.35777055765383597</v>
      </c>
      <c r="I574">
        <v>0.37978488379498898</v>
      </c>
      <c r="J574">
        <v>0.42668857857432502</v>
      </c>
      <c r="K574">
        <v>0.57754455287440198</v>
      </c>
      <c r="L574">
        <v>890.81291134633102</v>
      </c>
      <c r="M574">
        <v>18.293559993158802</v>
      </c>
      <c r="N574">
        <v>54.117787313141399</v>
      </c>
      <c r="O574">
        <v>48.124731857639503</v>
      </c>
      <c r="P574">
        <v>-5.5118479544684601E-2</v>
      </c>
      <c r="Q574">
        <v>0.42002772728364002</v>
      </c>
      <c r="R574">
        <v>0.90734595480513103</v>
      </c>
      <c r="S574" t="s">
        <v>4203</v>
      </c>
      <c r="T574" t="s">
        <v>7256</v>
      </c>
      <c r="U574" t="s">
        <v>7256</v>
      </c>
      <c r="V574" t="s">
        <v>7256</v>
      </c>
      <c r="W574">
        <v>12</v>
      </c>
      <c r="X574" t="s">
        <v>7830</v>
      </c>
      <c r="Y574">
        <v>0.59791315504983911</v>
      </c>
      <c r="Z574" t="str">
        <f>HYPERLINK("Melting_Curves/meltCurve_sp_P11532_3_DMD_HUMAN_.pdf", "Melting_Curves/meltCurve_sp_P11532_3_DMD_HUMAN_.pdf")</f>
        <v>Melting_Curves/meltCurve_sp_P11532_3_DMD_HUMAN_.pdf</v>
      </c>
      <c r="AA574" t="s">
        <v>11446</v>
      </c>
      <c r="AB574" t="s">
        <v>15000</v>
      </c>
    </row>
    <row r="575" spans="1:28" x14ac:dyDescent="0.25">
      <c r="A575" t="s">
        <v>579</v>
      </c>
      <c r="B575">
        <v>0.98018197421672304</v>
      </c>
      <c r="C575">
        <v>1.0248774217451999</v>
      </c>
      <c r="D575">
        <v>0.88030513143892697</v>
      </c>
      <c r="E575">
        <v>0.75940646903720899</v>
      </c>
      <c r="F575">
        <v>0.58762938388337405</v>
      </c>
      <c r="G575">
        <v>0.45600794525163002</v>
      </c>
      <c r="H575">
        <v>0.24646214620587301</v>
      </c>
      <c r="I575">
        <v>0.26284744607043198</v>
      </c>
      <c r="J575">
        <v>0.20071608752765999</v>
      </c>
      <c r="K575">
        <v>0.29153048181300301</v>
      </c>
      <c r="L575">
        <v>775.14327486550997</v>
      </c>
      <c r="M575">
        <v>14.687763165530001</v>
      </c>
      <c r="N575">
        <v>54.789711211502301</v>
      </c>
      <c r="O575">
        <v>51.825437264754697</v>
      </c>
      <c r="P575">
        <v>-5.60734316790081E-2</v>
      </c>
      <c r="Q575">
        <v>0.20867151651368601</v>
      </c>
      <c r="R575">
        <v>0.98339882019251801</v>
      </c>
      <c r="S575" t="s">
        <v>4204</v>
      </c>
      <c r="T575" t="s">
        <v>7256</v>
      </c>
      <c r="U575" t="s">
        <v>7256</v>
      </c>
      <c r="V575" t="s">
        <v>7256</v>
      </c>
      <c r="W575">
        <v>11</v>
      </c>
      <c r="X575" t="s">
        <v>7831</v>
      </c>
      <c r="Y575">
        <v>0.56334429415631648</v>
      </c>
      <c r="Z575" t="str">
        <f>HYPERLINK("Melting_Curves/meltCurve_sp_P11532_5_DMD_HUMAN_.pdf", "Melting_Curves/meltCurve_sp_P11532_5_DMD_HUMAN_.pdf")</f>
        <v>Melting_Curves/meltCurve_sp_P11532_5_DMD_HUMAN_.pdf</v>
      </c>
      <c r="AA575" t="s">
        <v>11446</v>
      </c>
      <c r="AB575" t="s">
        <v>15001</v>
      </c>
    </row>
    <row r="576" spans="1:28" x14ac:dyDescent="0.25">
      <c r="A576" t="s">
        <v>580</v>
      </c>
      <c r="B576">
        <v>0.98018197421672304</v>
      </c>
      <c r="C576">
        <v>0.88075768678895605</v>
      </c>
      <c r="D576">
        <v>0.44589592274912898</v>
      </c>
      <c r="E576">
        <v>0.14391072208233399</v>
      </c>
      <c r="F576">
        <v>7.3762941299340204E-2</v>
      </c>
      <c r="G576">
        <v>5.1888846346331403E-2</v>
      </c>
      <c r="H576">
        <v>3.4616704236525103E-2</v>
      </c>
      <c r="I576">
        <v>2.9683851832419301E-2</v>
      </c>
      <c r="J576">
        <v>2.8927370968631901E-2</v>
      </c>
      <c r="K576">
        <v>2.2202271989215001E-2</v>
      </c>
      <c r="L576">
        <v>1257.0829043787301</v>
      </c>
      <c r="M576">
        <v>27.547383463930998</v>
      </c>
      <c r="N576">
        <v>45.766248431391197</v>
      </c>
      <c r="O576">
        <v>45.395033099041697</v>
      </c>
      <c r="P576">
        <v>-0.145883991660094</v>
      </c>
      <c r="Q576">
        <v>3.8406255546974397E-2</v>
      </c>
      <c r="R576">
        <v>0.99808156373882595</v>
      </c>
      <c r="S576" t="s">
        <v>4205</v>
      </c>
      <c r="T576" t="s">
        <v>7256</v>
      </c>
      <c r="U576" t="s">
        <v>7256</v>
      </c>
      <c r="V576" t="s">
        <v>7256</v>
      </c>
      <c r="W576">
        <v>50</v>
      </c>
      <c r="X576" t="s">
        <v>7832</v>
      </c>
      <c r="Y576">
        <v>0.2262142679325935</v>
      </c>
      <c r="Z576" t="str">
        <f>HYPERLINK("Melting_Curves/meltCurve_sp_P11586_C1TC_HUMAN_.pdf", "Melting_Curves/meltCurve_sp_P11586_C1TC_HUMAN_.pdf")</f>
        <v>Melting_Curves/meltCurve_sp_P11586_C1TC_HUMAN_.pdf</v>
      </c>
      <c r="AA576" t="s">
        <v>11447</v>
      </c>
      <c r="AB576" t="s">
        <v>15002</v>
      </c>
    </row>
    <row r="577" spans="1:28" x14ac:dyDescent="0.25">
      <c r="A577" t="s">
        <v>581</v>
      </c>
      <c r="B577">
        <v>0.98018197421672304</v>
      </c>
      <c r="C577">
        <v>0.94685384645571502</v>
      </c>
      <c r="D577">
        <v>0.89416039187905605</v>
      </c>
      <c r="E577">
        <v>0.44851187545747601</v>
      </c>
      <c r="F577">
        <v>0.25115677679809301</v>
      </c>
      <c r="G577">
        <v>7.9409259732410004E-2</v>
      </c>
      <c r="H577">
        <v>7.8447450731061602E-2</v>
      </c>
      <c r="I577">
        <v>6.81327192220193E-2</v>
      </c>
      <c r="J577">
        <v>5.4653048550824999E-2</v>
      </c>
      <c r="K577">
        <v>0</v>
      </c>
      <c r="L577">
        <v>1123.9359091347701</v>
      </c>
      <c r="M577">
        <v>22.664177919908699</v>
      </c>
      <c r="N577">
        <v>49.792858118873397</v>
      </c>
      <c r="O577">
        <v>49.2096182106824</v>
      </c>
      <c r="P577">
        <v>-0.11008583731268901</v>
      </c>
      <c r="Q577">
        <v>4.3923048244732699E-2</v>
      </c>
      <c r="R577">
        <v>0.99555674272461503</v>
      </c>
      <c r="S577" t="s">
        <v>4206</v>
      </c>
      <c r="T577" t="s">
        <v>7256</v>
      </c>
      <c r="U577" t="s">
        <v>7256</v>
      </c>
      <c r="V577" t="s">
        <v>7256</v>
      </c>
      <c r="W577">
        <v>4</v>
      </c>
      <c r="X577" t="s">
        <v>7833</v>
      </c>
      <c r="Y577">
        <v>0.35995744600359653</v>
      </c>
      <c r="Z577" t="str">
        <f>HYPERLINK("Melting_Curves/meltCurve_sp_P11712_CP2C9_HUMAN_.pdf", "Melting_Curves/meltCurve_sp_P11712_CP2C9_HUMAN_.pdf")</f>
        <v>Melting_Curves/meltCurve_sp_P11712_CP2C9_HUMAN_.pdf</v>
      </c>
      <c r="AA577" t="s">
        <v>11448</v>
      </c>
      <c r="AB577" t="s">
        <v>15003</v>
      </c>
    </row>
    <row r="578" spans="1:28" x14ac:dyDescent="0.25">
      <c r="A578" t="s">
        <v>582</v>
      </c>
      <c r="B578">
        <v>0.98018197421672304</v>
      </c>
      <c r="C578">
        <v>1.1082090312436601</v>
      </c>
      <c r="D578">
        <v>0.93114522763410801</v>
      </c>
      <c r="E578">
        <v>0.83506385320309395</v>
      </c>
      <c r="F578">
        <v>0.70909495573110803</v>
      </c>
      <c r="G578">
        <v>0.45137554997648399</v>
      </c>
      <c r="H578">
        <v>0.15192542498751799</v>
      </c>
      <c r="I578">
        <v>8.2071021011557402E-2</v>
      </c>
      <c r="J578">
        <v>6.7814189298221597E-2</v>
      </c>
      <c r="K578">
        <v>4.5861698951174097E-2</v>
      </c>
      <c r="L578">
        <v>927.20928448919403</v>
      </c>
      <c r="M578">
        <v>16.636279798381398</v>
      </c>
      <c r="N578">
        <v>55.734178018073003</v>
      </c>
      <c r="O578">
        <v>54.9475460766471</v>
      </c>
      <c r="P578">
        <v>-7.5696735116904806E-2</v>
      </c>
      <c r="Q578">
        <v>0</v>
      </c>
      <c r="R578">
        <v>0.987205212659371</v>
      </c>
      <c r="S578" t="s">
        <v>4207</v>
      </c>
      <c r="T578" t="s">
        <v>7256</v>
      </c>
      <c r="U578" t="s">
        <v>7256</v>
      </c>
      <c r="V578" t="s">
        <v>7256</v>
      </c>
      <c r="W578">
        <v>21</v>
      </c>
      <c r="X578" t="s">
        <v>7834</v>
      </c>
      <c r="Y578">
        <v>0.54086154523633612</v>
      </c>
      <c r="Z578" t="str">
        <f>HYPERLINK("Melting_Curves/meltCurve_sp_P11766_ADHX_HUMAN_.pdf", "Melting_Curves/meltCurve_sp_P11766_ADHX_HUMAN_.pdf")</f>
        <v>Melting_Curves/meltCurve_sp_P11766_ADHX_HUMAN_.pdf</v>
      </c>
      <c r="AA578" t="s">
        <v>11449</v>
      </c>
      <c r="AB578" t="s">
        <v>15004</v>
      </c>
    </row>
    <row r="579" spans="1:28" x14ac:dyDescent="0.25">
      <c r="A579" t="s">
        <v>583</v>
      </c>
      <c r="B579">
        <v>0.98018197421672304</v>
      </c>
      <c r="C579">
        <v>0.97738951788280604</v>
      </c>
      <c r="D579">
        <v>0.95014229517651405</v>
      </c>
      <c r="E579">
        <v>0.72354034142798795</v>
      </c>
      <c r="F579">
        <v>0.41480583757519901</v>
      </c>
      <c r="G579">
        <v>0.14590529339014599</v>
      </c>
      <c r="H579">
        <v>9.2897621759867197E-2</v>
      </c>
      <c r="I579">
        <v>6.1970081516276601E-2</v>
      </c>
      <c r="J579">
        <v>7.1720817827221506E-2</v>
      </c>
      <c r="K579">
        <v>5.4796848389527898E-2</v>
      </c>
      <c r="L579">
        <v>1222.18780751091</v>
      </c>
      <c r="M579">
        <v>23.571508783141699</v>
      </c>
      <c r="N579">
        <v>52.119648362144197</v>
      </c>
      <c r="O579">
        <v>51.481352309271401</v>
      </c>
      <c r="P579">
        <v>-0.107902250091643</v>
      </c>
      <c r="Q579">
        <v>5.7360396986436801E-2</v>
      </c>
      <c r="R579">
        <v>0.99934493792022705</v>
      </c>
      <c r="S579" t="s">
        <v>4208</v>
      </c>
      <c r="T579" t="s">
        <v>7256</v>
      </c>
      <c r="U579" t="s">
        <v>7256</v>
      </c>
      <c r="V579" t="s">
        <v>7256</v>
      </c>
      <c r="W579">
        <v>10</v>
      </c>
      <c r="X579" t="s">
        <v>7835</v>
      </c>
      <c r="Y579">
        <v>0.43932915228217229</v>
      </c>
      <c r="Z579" t="str">
        <f>HYPERLINK("Melting_Curves/meltCurve_sp_P11908_PRPS2_HUMAN_.pdf", "Melting_Curves/meltCurve_sp_P11908_PRPS2_HUMAN_.pdf")</f>
        <v>Melting_Curves/meltCurve_sp_P11908_PRPS2_HUMAN_.pdf</v>
      </c>
      <c r="AA579" t="s">
        <v>11450</v>
      </c>
      <c r="AB579" t="s">
        <v>15005</v>
      </c>
    </row>
    <row r="580" spans="1:28" x14ac:dyDescent="0.25">
      <c r="A580" t="s">
        <v>584</v>
      </c>
      <c r="B580">
        <v>0.98018197421672304</v>
      </c>
      <c r="C580">
        <v>1.09342911428789</v>
      </c>
      <c r="D580">
        <v>0.91308336485804298</v>
      </c>
      <c r="E580">
        <v>0.72378058511044696</v>
      </c>
      <c r="F580">
        <v>0.42861136119222598</v>
      </c>
      <c r="G580">
        <v>0.17159222519158701</v>
      </c>
      <c r="H580">
        <v>6.9256031864470796E-2</v>
      </c>
      <c r="I580">
        <v>5.4946310278773801E-2</v>
      </c>
      <c r="J580">
        <v>8.7795749431250694E-2</v>
      </c>
      <c r="K580">
        <v>6.1562656635976598E-2</v>
      </c>
      <c r="L580">
        <v>1167.29424568488</v>
      </c>
      <c r="M580">
        <v>22.4717229442122</v>
      </c>
      <c r="N580">
        <v>52.2206641863051</v>
      </c>
      <c r="O580">
        <v>51.538890142809798</v>
      </c>
      <c r="P580">
        <v>-0.102909848904209</v>
      </c>
      <c r="Q580">
        <v>5.59241037715116E-2</v>
      </c>
      <c r="R580">
        <v>0.99185892211289295</v>
      </c>
      <c r="S580" t="s">
        <v>4209</v>
      </c>
      <c r="T580" t="s">
        <v>7256</v>
      </c>
      <c r="U580" t="s">
        <v>7256</v>
      </c>
      <c r="V580" t="s">
        <v>7256</v>
      </c>
      <c r="W580">
        <v>23</v>
      </c>
      <c r="X580" t="s">
        <v>7836</v>
      </c>
      <c r="Y580">
        <v>0.44237452406126399</v>
      </c>
      <c r="Z580" t="str">
        <f>HYPERLINK("Melting_Curves/meltCurve_sp_P11940_2_PABP1_HUMAN_.pdf", "Melting_Curves/meltCurve_sp_P11940_2_PABP1_HUMAN_.pdf")</f>
        <v>Melting_Curves/meltCurve_sp_P11940_2_PABP1_HUMAN_.pdf</v>
      </c>
      <c r="AA580" t="s">
        <v>11451</v>
      </c>
      <c r="AB580" t="s">
        <v>15006</v>
      </c>
    </row>
    <row r="581" spans="1:28" x14ac:dyDescent="0.25">
      <c r="A581" t="s">
        <v>585</v>
      </c>
      <c r="B581">
        <v>0.98018197421672304</v>
      </c>
      <c r="C581">
        <v>0.99640420616347203</v>
      </c>
      <c r="D581">
        <v>0.95255763125979398</v>
      </c>
      <c r="E581">
        <v>0.76932268948531002</v>
      </c>
      <c r="F581">
        <v>0.54618049670690905</v>
      </c>
      <c r="G581">
        <v>0.25901516454927098</v>
      </c>
      <c r="H581">
        <v>0.116957051986806</v>
      </c>
      <c r="I581">
        <v>6.8784856903758601E-2</v>
      </c>
      <c r="J581">
        <v>0.149779944279433</v>
      </c>
      <c r="K581">
        <v>6.8957286924238401E-2</v>
      </c>
      <c r="L581">
        <v>1052.6449027462199</v>
      </c>
      <c r="M581">
        <v>19.881273766675999</v>
      </c>
      <c r="N581">
        <v>53.382447843193098</v>
      </c>
      <c r="O581">
        <v>52.419609882208597</v>
      </c>
      <c r="P581">
        <v>-8.7716419995883005E-2</v>
      </c>
      <c r="Q581">
        <v>7.4927030306768394E-2</v>
      </c>
      <c r="R581">
        <v>0.99572432711308101</v>
      </c>
      <c r="S581" t="s">
        <v>4210</v>
      </c>
      <c r="T581" t="s">
        <v>7256</v>
      </c>
      <c r="U581" t="s">
        <v>7256</v>
      </c>
      <c r="V581" t="s">
        <v>7256</v>
      </c>
      <c r="W581">
        <v>7</v>
      </c>
      <c r="X581" t="s">
        <v>7837</v>
      </c>
      <c r="Y581">
        <v>0.4870030678212387</v>
      </c>
      <c r="Z581" t="str">
        <f>HYPERLINK("Melting_Curves/meltCurve_sp_P12004_PCNA_HUMAN_.pdf", "Melting_Curves/meltCurve_sp_P12004_PCNA_HUMAN_.pdf")</f>
        <v>Melting_Curves/meltCurve_sp_P12004_PCNA_HUMAN_.pdf</v>
      </c>
      <c r="AA581" t="s">
        <v>11452</v>
      </c>
      <c r="AB581" t="s">
        <v>15007</v>
      </c>
    </row>
    <row r="582" spans="1:28" x14ac:dyDescent="0.25">
      <c r="A582" t="s">
        <v>586</v>
      </c>
      <c r="B582">
        <v>0.98018197421672304</v>
      </c>
      <c r="C582">
        <v>0.88391277372921995</v>
      </c>
      <c r="D582">
        <v>0.86856771281527501</v>
      </c>
      <c r="E582">
        <v>0.74259358658487595</v>
      </c>
      <c r="F582">
        <v>0.58439340990686806</v>
      </c>
      <c r="G582">
        <v>0.38841006092851599</v>
      </c>
      <c r="H582">
        <v>0.33034306959625498</v>
      </c>
      <c r="I582">
        <v>0.30797179590546597</v>
      </c>
      <c r="J582">
        <v>0.295344349154398</v>
      </c>
      <c r="K582">
        <v>0.24304404490359099</v>
      </c>
      <c r="L582">
        <v>605.62168724026606</v>
      </c>
      <c r="M582">
        <v>11.5917706333674</v>
      </c>
      <c r="N582">
        <v>54.887348680599999</v>
      </c>
      <c r="O582">
        <v>50.763546446282803</v>
      </c>
      <c r="P582">
        <v>-4.4895000329402399E-2</v>
      </c>
      <c r="Q582">
        <v>0.21378656148697001</v>
      </c>
      <c r="R582">
        <v>0.98982621645968205</v>
      </c>
      <c r="S582" t="s">
        <v>4211</v>
      </c>
      <c r="T582" t="s">
        <v>7256</v>
      </c>
      <c r="U582" t="s">
        <v>7256</v>
      </c>
      <c r="V582" t="s">
        <v>7256</v>
      </c>
      <c r="W582">
        <v>58</v>
      </c>
      <c r="X582" t="s">
        <v>7838</v>
      </c>
      <c r="Y582">
        <v>0.55939976928792845</v>
      </c>
      <c r="Z582" t="str">
        <f>HYPERLINK("Melting_Curves/meltCurve_sp_P12270_TPR_HUMAN_.pdf", "Melting_Curves/meltCurve_sp_P12270_TPR_HUMAN_.pdf")</f>
        <v>Melting_Curves/meltCurve_sp_P12270_TPR_HUMAN_.pdf</v>
      </c>
      <c r="AA582" t="s">
        <v>11453</v>
      </c>
      <c r="AB582" t="s">
        <v>15008</v>
      </c>
    </row>
    <row r="583" spans="1:28" x14ac:dyDescent="0.25">
      <c r="A583" t="s">
        <v>587</v>
      </c>
      <c r="B583">
        <v>0.98018197421672304</v>
      </c>
      <c r="C583">
        <v>0.99176693341074895</v>
      </c>
      <c r="D583">
        <v>0.70358647414798603</v>
      </c>
      <c r="E583">
        <v>0.26279606661453497</v>
      </c>
      <c r="F583">
        <v>0.13221577755904801</v>
      </c>
      <c r="G583">
        <v>8.1894243966289804E-2</v>
      </c>
      <c r="H583">
        <v>5.2533094342555001E-2</v>
      </c>
      <c r="I583">
        <v>4.2265866198032999E-2</v>
      </c>
      <c r="J583">
        <v>3.5286818179558102E-2</v>
      </c>
      <c r="K583">
        <v>1.90551713073593E-2</v>
      </c>
      <c r="L583">
        <v>1196.33620245919</v>
      </c>
      <c r="M583">
        <v>25.1220301580918</v>
      </c>
      <c r="N583">
        <v>47.797569346979699</v>
      </c>
      <c r="O583">
        <v>47.322320155696197</v>
      </c>
      <c r="P583">
        <v>-0.12683816445868701</v>
      </c>
      <c r="Q583">
        <v>4.4313187307816797E-2</v>
      </c>
      <c r="R583">
        <v>0.99694174406893699</v>
      </c>
      <c r="S583" t="s">
        <v>4212</v>
      </c>
      <c r="T583" t="s">
        <v>7256</v>
      </c>
      <c r="U583" t="s">
        <v>7256</v>
      </c>
      <c r="V583" t="s">
        <v>7256</v>
      </c>
      <c r="W583">
        <v>8</v>
      </c>
      <c r="X583" t="s">
        <v>7839</v>
      </c>
      <c r="Y583">
        <v>0.29546383286350952</v>
      </c>
      <c r="Z583" t="str">
        <f>HYPERLINK("Melting_Curves/meltCurve_sp_P12694_ODBA_HUMAN_.pdf", "Melting_Curves/meltCurve_sp_P12694_ODBA_HUMAN_.pdf")</f>
        <v>Melting_Curves/meltCurve_sp_P12694_ODBA_HUMAN_.pdf</v>
      </c>
      <c r="AA583" t="s">
        <v>11454</v>
      </c>
      <c r="AB583" t="s">
        <v>15009</v>
      </c>
    </row>
    <row r="584" spans="1:28" x14ac:dyDescent="0.25">
      <c r="A584" t="s">
        <v>588</v>
      </c>
      <c r="B584">
        <v>0.98018197421672304</v>
      </c>
      <c r="C584">
        <v>0.80403038645272495</v>
      </c>
      <c r="D584">
        <v>0.83583229384839897</v>
      </c>
      <c r="E584">
        <v>0.78217118127532004</v>
      </c>
      <c r="F584">
        <v>0.74122439371462701</v>
      </c>
      <c r="G584">
        <v>0.49740985791399001</v>
      </c>
      <c r="H584">
        <v>0.33515799556796899</v>
      </c>
      <c r="I584">
        <v>0.33142559613941303</v>
      </c>
      <c r="J584">
        <v>0.47809372408694401</v>
      </c>
      <c r="K584">
        <v>0.345681947300644</v>
      </c>
      <c r="L584">
        <v>445.33520267672702</v>
      </c>
      <c r="M584">
        <v>8.2945374118595208</v>
      </c>
      <c r="N584">
        <v>58.311355807591497</v>
      </c>
      <c r="O584">
        <v>50.840937992190398</v>
      </c>
      <c r="P584">
        <v>-3.0992331776018098E-2</v>
      </c>
      <c r="Q584">
        <v>0.24088644254384001</v>
      </c>
      <c r="R584">
        <v>0.89182551688325196</v>
      </c>
      <c r="S584" t="s">
        <v>4213</v>
      </c>
      <c r="T584" t="s">
        <v>7256</v>
      </c>
      <c r="U584" t="s">
        <v>7256</v>
      </c>
      <c r="V584" t="s">
        <v>7256</v>
      </c>
      <c r="W584">
        <v>1</v>
      </c>
      <c r="X584" t="s">
        <v>7840</v>
      </c>
      <c r="Y584">
        <v>0.61425291951250593</v>
      </c>
      <c r="Z584" t="str">
        <f>HYPERLINK("Melting_Curves/meltCurve_sp_P12724_ECP_HUMAN_.pdf", "Melting_Curves/meltCurve_sp_P12724_ECP_HUMAN_.pdf")</f>
        <v>Melting_Curves/meltCurve_sp_P12724_ECP_HUMAN_.pdf</v>
      </c>
      <c r="AA584" t="s">
        <v>11455</v>
      </c>
      <c r="AB584" t="s">
        <v>15010</v>
      </c>
    </row>
    <row r="585" spans="1:28" x14ac:dyDescent="0.25">
      <c r="A585" t="s">
        <v>589</v>
      </c>
      <c r="B585">
        <v>0.98018197421672304</v>
      </c>
      <c r="C585">
        <v>0.94852161489671305</v>
      </c>
      <c r="D585">
        <v>0.90690370384636299</v>
      </c>
      <c r="E585">
        <v>0.83739627116997195</v>
      </c>
      <c r="F585">
        <v>0.77238582959219404</v>
      </c>
      <c r="G585">
        <v>0.65212912345567198</v>
      </c>
      <c r="H585">
        <v>0.39550774594289401</v>
      </c>
      <c r="I585">
        <v>7.2093672122292896E-2</v>
      </c>
      <c r="J585">
        <v>4.8718881396809702E-2</v>
      </c>
      <c r="K585">
        <v>4.0128590352151099E-2</v>
      </c>
      <c r="L585">
        <v>924.24293265527206</v>
      </c>
      <c r="M585">
        <v>15.932182545922499</v>
      </c>
      <c r="N585">
        <v>58.011068872603801</v>
      </c>
      <c r="O585">
        <v>57.120217950190103</v>
      </c>
      <c r="P585">
        <v>-6.97364861064734E-2</v>
      </c>
      <c r="Q585">
        <v>0</v>
      </c>
      <c r="R585">
        <v>0.96475033988651204</v>
      </c>
      <c r="S585" t="s">
        <v>4214</v>
      </c>
      <c r="T585" t="s">
        <v>7256</v>
      </c>
      <c r="U585" t="s">
        <v>7256</v>
      </c>
      <c r="V585" t="s">
        <v>7256</v>
      </c>
      <c r="W585">
        <v>54</v>
      </c>
      <c r="X585" t="s">
        <v>7841</v>
      </c>
      <c r="Y585">
        <v>0.61355633903622198</v>
      </c>
      <c r="Z585" t="str">
        <f>HYPERLINK("Melting_Curves/meltCurve_sp_P12814_ACTN1_HUMAN_.pdf", "Melting_Curves/meltCurve_sp_P12814_ACTN1_HUMAN_.pdf")</f>
        <v>Melting_Curves/meltCurve_sp_P12814_ACTN1_HUMAN_.pdf</v>
      </c>
      <c r="AA585" t="s">
        <v>11456</v>
      </c>
      <c r="AB585" t="s">
        <v>15011</v>
      </c>
    </row>
    <row r="586" spans="1:28" x14ac:dyDescent="0.25">
      <c r="A586" t="s">
        <v>590</v>
      </c>
      <c r="B586">
        <v>0.98018197421672304</v>
      </c>
      <c r="C586">
        <v>0.94536788328169097</v>
      </c>
      <c r="D586">
        <v>0.91518247251431295</v>
      </c>
      <c r="E586">
        <v>0.751907503895625</v>
      </c>
      <c r="F586">
        <v>0.55419960503256904</v>
      </c>
      <c r="G586">
        <v>0.27940689254215001</v>
      </c>
      <c r="H586">
        <v>0.10455004386948701</v>
      </c>
      <c r="I586">
        <v>5.86377101027791E-2</v>
      </c>
      <c r="J586">
        <v>6.6815270934347901E-2</v>
      </c>
      <c r="K586">
        <v>5.2461452339686902E-2</v>
      </c>
      <c r="L586">
        <v>853.29086391718704</v>
      </c>
      <c r="M586">
        <v>15.9753527090263</v>
      </c>
      <c r="N586">
        <v>53.498103755886099</v>
      </c>
      <c r="O586">
        <v>52.597035295735303</v>
      </c>
      <c r="P586">
        <v>-7.4985586986017594E-2</v>
      </c>
      <c r="Q586">
        <v>1.25517881546321E-2</v>
      </c>
      <c r="R586">
        <v>0.997421750940506</v>
      </c>
      <c r="S586" t="s">
        <v>4215</v>
      </c>
      <c r="T586" t="s">
        <v>7256</v>
      </c>
      <c r="U586" t="s">
        <v>7256</v>
      </c>
      <c r="V586" t="s">
        <v>7256</v>
      </c>
      <c r="W586">
        <v>15</v>
      </c>
      <c r="X586" t="s">
        <v>7842</v>
      </c>
      <c r="Y586">
        <v>0.47317554732586409</v>
      </c>
      <c r="Z586" t="str">
        <f>HYPERLINK("Melting_Curves/meltCurve_sp_P12955_PEPD_HUMAN_.pdf", "Melting_Curves/meltCurve_sp_P12955_PEPD_HUMAN_.pdf")</f>
        <v>Melting_Curves/meltCurve_sp_P12955_PEPD_HUMAN_.pdf</v>
      </c>
      <c r="AA586" t="s">
        <v>11457</v>
      </c>
      <c r="AB586" t="s">
        <v>15012</v>
      </c>
    </row>
    <row r="587" spans="1:28" x14ac:dyDescent="0.25">
      <c r="A587" t="s">
        <v>591</v>
      </c>
      <c r="B587">
        <v>0.98018197421672304</v>
      </c>
      <c r="C587">
        <v>0.89816406945005001</v>
      </c>
      <c r="D587">
        <v>0.703137462884451</v>
      </c>
      <c r="E587">
        <v>0.51296321051126703</v>
      </c>
      <c r="F587">
        <v>0.22396871962352</v>
      </c>
      <c r="G587">
        <v>8.7576934008339297E-2</v>
      </c>
      <c r="H587">
        <v>5.0565133330229703E-2</v>
      </c>
      <c r="I587">
        <v>3.9765482046329903E-2</v>
      </c>
      <c r="J587">
        <v>5.5553033767270797E-2</v>
      </c>
      <c r="K587">
        <v>3.7797432696765797E-2</v>
      </c>
      <c r="L587">
        <v>753.43724846769203</v>
      </c>
      <c r="M587">
        <v>15.334217367988501</v>
      </c>
      <c r="N587">
        <v>49.228191593977897</v>
      </c>
      <c r="O587">
        <v>48.321489930950499</v>
      </c>
      <c r="P587">
        <v>-7.8199219375257006E-2</v>
      </c>
      <c r="Q587">
        <v>1.43995946031101E-2</v>
      </c>
      <c r="R587">
        <v>0.99242487925158895</v>
      </c>
      <c r="S587" t="s">
        <v>4216</v>
      </c>
      <c r="T587" t="s">
        <v>7256</v>
      </c>
      <c r="U587" t="s">
        <v>7256</v>
      </c>
      <c r="V587" t="s">
        <v>7256</v>
      </c>
      <c r="W587">
        <v>18</v>
      </c>
      <c r="X587" t="s">
        <v>7843</v>
      </c>
      <c r="Y587">
        <v>0.33771982643437137</v>
      </c>
      <c r="Z587" t="str">
        <f>HYPERLINK("Melting_Curves/meltCurve_sp_P12956_XRCC6_HUMAN_.pdf", "Melting_Curves/meltCurve_sp_P12956_XRCC6_HUMAN_.pdf")</f>
        <v>Melting_Curves/meltCurve_sp_P12956_XRCC6_HUMAN_.pdf</v>
      </c>
      <c r="AA587" t="s">
        <v>11458</v>
      </c>
      <c r="AB587" t="s">
        <v>15013</v>
      </c>
    </row>
    <row r="588" spans="1:28" x14ac:dyDescent="0.25">
      <c r="A588" t="s">
        <v>592</v>
      </c>
      <c r="B588">
        <v>0.98018197421672304</v>
      </c>
      <c r="C588">
        <v>0.86957648974281299</v>
      </c>
      <c r="D588">
        <v>0.56106126326422801</v>
      </c>
      <c r="E588">
        <v>0.29588885142087301</v>
      </c>
      <c r="F588">
        <v>0.21744465227330401</v>
      </c>
      <c r="G588">
        <v>0.152806609112102</v>
      </c>
      <c r="H588">
        <v>0.11472264047450099</v>
      </c>
      <c r="I588">
        <v>0.108162863511457</v>
      </c>
      <c r="J588">
        <v>0.13225964394557199</v>
      </c>
      <c r="K588">
        <v>0.10906081937716</v>
      </c>
      <c r="L588">
        <v>905.28292741178404</v>
      </c>
      <c r="M588">
        <v>19.544969519725999</v>
      </c>
      <c r="N588">
        <v>46.980719765002299</v>
      </c>
      <c r="O588">
        <v>45.841260206957003</v>
      </c>
      <c r="P588">
        <v>-9.3750944835686995E-2</v>
      </c>
      <c r="Q588">
        <v>0.120488301009124</v>
      </c>
      <c r="R588">
        <v>0.99663616330121396</v>
      </c>
      <c r="S588" t="s">
        <v>4217</v>
      </c>
      <c r="T588" t="s">
        <v>7256</v>
      </c>
      <c r="U588" t="s">
        <v>7256</v>
      </c>
      <c r="V588" t="s">
        <v>7256</v>
      </c>
      <c r="W588">
        <v>16</v>
      </c>
      <c r="X588" t="s">
        <v>7844</v>
      </c>
      <c r="Y588">
        <v>0.3197421707301088</v>
      </c>
      <c r="Z588" t="str">
        <f>HYPERLINK("Melting_Curves/meltCurve_sp_P13010_XRCC5_HUMAN_.pdf", "Melting_Curves/meltCurve_sp_P13010_XRCC5_HUMAN_.pdf")</f>
        <v>Melting_Curves/meltCurve_sp_P13010_XRCC5_HUMAN_.pdf</v>
      </c>
      <c r="AA588" t="s">
        <v>11459</v>
      </c>
      <c r="AB588" t="s">
        <v>15014</v>
      </c>
    </row>
    <row r="589" spans="1:28" x14ac:dyDescent="0.25">
      <c r="A589" t="s">
        <v>593</v>
      </c>
      <c r="B589">
        <v>0.98018197421672304</v>
      </c>
      <c r="C589">
        <v>0.967208083456645</v>
      </c>
      <c r="D589">
        <v>0.842701617081136</v>
      </c>
      <c r="E589">
        <v>0.53723127295043904</v>
      </c>
      <c r="F589">
        <v>0.44169675323692997</v>
      </c>
      <c r="G589">
        <v>0.34445811869183801</v>
      </c>
      <c r="H589">
        <v>0.270949007920741</v>
      </c>
      <c r="I589">
        <v>0.29225535698730398</v>
      </c>
      <c r="J589">
        <v>0.246895124771498</v>
      </c>
      <c r="K589">
        <v>0.27825717337730899</v>
      </c>
      <c r="L589">
        <v>896.22413987116704</v>
      </c>
      <c r="M589">
        <v>18.278907526099001</v>
      </c>
      <c r="N589">
        <v>51.192053420388497</v>
      </c>
      <c r="O589">
        <v>48.454979392365502</v>
      </c>
      <c r="P589">
        <v>-6.8951037528093895E-2</v>
      </c>
      <c r="Q589">
        <v>0.26891349805276998</v>
      </c>
      <c r="R589">
        <v>0.99500754977217298</v>
      </c>
      <c r="S589" t="s">
        <v>4218</v>
      </c>
      <c r="T589" t="s">
        <v>7256</v>
      </c>
      <c r="U589" t="s">
        <v>7256</v>
      </c>
      <c r="V589" t="s">
        <v>7256</v>
      </c>
      <c r="W589">
        <v>2</v>
      </c>
      <c r="X589" t="s">
        <v>7845</v>
      </c>
      <c r="Y589">
        <v>0.50125647645276716</v>
      </c>
      <c r="Z589" t="str">
        <f>HYPERLINK("Melting_Curves/meltCurve_sp_P13073_COX41_HUMAN_.pdf", "Melting_Curves/meltCurve_sp_P13073_COX41_HUMAN_.pdf")</f>
        <v>Melting_Curves/meltCurve_sp_P13073_COX41_HUMAN_.pdf</v>
      </c>
      <c r="AA589" t="s">
        <v>11460</v>
      </c>
      <c r="AB589" t="s">
        <v>15015</v>
      </c>
    </row>
    <row r="590" spans="1:28" x14ac:dyDescent="0.25">
      <c r="A590" t="s">
        <v>594</v>
      </c>
      <c r="B590">
        <v>0.98018197421672304</v>
      </c>
      <c r="C590">
        <v>0.89443554358630895</v>
      </c>
      <c r="D590">
        <v>0.54028486994351699</v>
      </c>
      <c r="E590">
        <v>0.35061496076892001</v>
      </c>
      <c r="F590">
        <v>0.21126339347555101</v>
      </c>
      <c r="G590">
        <v>0.13064125478736899</v>
      </c>
      <c r="H590">
        <v>6.2434525776090898E-2</v>
      </c>
      <c r="I590">
        <v>2.7896334421964101E-2</v>
      </c>
      <c r="J590">
        <v>0.15491495104877401</v>
      </c>
      <c r="K590">
        <v>0.13288034644038499</v>
      </c>
      <c r="L590">
        <v>837.67098659263695</v>
      </c>
      <c r="M590">
        <v>17.9429942688738</v>
      </c>
      <c r="N590">
        <v>47.247222523276399</v>
      </c>
      <c r="O590">
        <v>46.116845585714202</v>
      </c>
      <c r="P590">
        <v>-8.7925071150888101E-2</v>
      </c>
      <c r="Q590">
        <v>9.61100299855355E-2</v>
      </c>
      <c r="R590">
        <v>0.97957752191016301</v>
      </c>
      <c r="S590" t="s">
        <v>4219</v>
      </c>
      <c r="T590" t="s">
        <v>7256</v>
      </c>
      <c r="U590" t="s">
        <v>7256</v>
      </c>
      <c r="V590" t="s">
        <v>7256</v>
      </c>
      <c r="W590">
        <v>2</v>
      </c>
      <c r="X590" t="s">
        <v>7846</v>
      </c>
      <c r="Y590">
        <v>0.3146059483149044</v>
      </c>
      <c r="Z590" t="str">
        <f>HYPERLINK("Melting_Curves/meltCurve_sp_P13196_HEM1_HUMAN_.pdf", "Melting_Curves/meltCurve_sp_P13196_HEM1_HUMAN_.pdf")</f>
        <v>Melting_Curves/meltCurve_sp_P13196_HEM1_HUMAN_.pdf</v>
      </c>
      <c r="AA590" t="s">
        <v>11461</v>
      </c>
      <c r="AB590" t="s">
        <v>15016</v>
      </c>
    </row>
    <row r="591" spans="1:28" x14ac:dyDescent="0.25">
      <c r="A591" t="s">
        <v>595</v>
      </c>
      <c r="B591">
        <v>0.98018197421672304</v>
      </c>
      <c r="C591">
        <v>0.942852781281031</v>
      </c>
      <c r="D591">
        <v>0.90420447673393201</v>
      </c>
      <c r="E591">
        <v>0.77677200540118196</v>
      </c>
      <c r="F591">
        <v>0.73355680452067495</v>
      </c>
      <c r="G591">
        <v>0.50930947885477196</v>
      </c>
      <c r="H591">
        <v>0.26094021051627098</v>
      </c>
      <c r="I591">
        <v>0.170526601346356</v>
      </c>
      <c r="J591">
        <v>0.17991511698521001</v>
      </c>
      <c r="K591">
        <v>0.13516929598222699</v>
      </c>
      <c r="L591">
        <v>642.20321967893904</v>
      </c>
      <c r="M591">
        <v>11.390493603426</v>
      </c>
      <c r="N591">
        <v>56.528582532625599</v>
      </c>
      <c r="O591">
        <v>54.726755934287702</v>
      </c>
      <c r="P591">
        <v>-5.1284441079747403E-2</v>
      </c>
      <c r="Q591">
        <v>1.46858966915768E-2</v>
      </c>
      <c r="R591">
        <v>0.98843523006026202</v>
      </c>
      <c r="S591" t="s">
        <v>4220</v>
      </c>
      <c r="T591" t="s">
        <v>7256</v>
      </c>
      <c r="U591" t="s">
        <v>7256</v>
      </c>
      <c r="V591" t="s">
        <v>7256</v>
      </c>
      <c r="W591">
        <v>2</v>
      </c>
      <c r="X591" t="s">
        <v>7847</v>
      </c>
      <c r="Y591">
        <v>0.5716816548399426</v>
      </c>
      <c r="Z591" t="str">
        <f>HYPERLINK("Melting_Curves/meltCurve_sp_P13284_GILT_HUMAN_.pdf", "Melting_Curves/meltCurve_sp_P13284_GILT_HUMAN_.pdf")</f>
        <v>Melting_Curves/meltCurve_sp_P13284_GILT_HUMAN_.pdf</v>
      </c>
      <c r="AA591" t="s">
        <v>11462</v>
      </c>
      <c r="AB591" t="s">
        <v>15017</v>
      </c>
    </row>
    <row r="592" spans="1:28" x14ac:dyDescent="0.25">
      <c r="A592" t="s">
        <v>596</v>
      </c>
      <c r="B592">
        <v>0.98018197421672304</v>
      </c>
      <c r="C592">
        <v>0.98343238845309799</v>
      </c>
      <c r="D592">
        <v>0.982155169529351</v>
      </c>
      <c r="E592">
        <v>0.86767843056787197</v>
      </c>
      <c r="F592">
        <v>0.82359882904669501</v>
      </c>
      <c r="G592">
        <v>0.52123460230154794</v>
      </c>
      <c r="H592">
        <v>0.35809721486971702</v>
      </c>
      <c r="I592">
        <v>0.340597020419795</v>
      </c>
      <c r="J592">
        <v>0.31291795307843201</v>
      </c>
      <c r="K592">
        <v>0.21231308591662501</v>
      </c>
      <c r="L592">
        <v>942.2086238178</v>
      </c>
      <c r="M592">
        <v>16.889974150175899</v>
      </c>
      <c r="N592">
        <v>57.914056343409101</v>
      </c>
      <c r="O592">
        <v>55.0206847860902</v>
      </c>
      <c r="P592">
        <v>-5.8999189935208203E-2</v>
      </c>
      <c r="Q592">
        <v>0.231267071307448</v>
      </c>
      <c r="R592">
        <v>0.989557526826777</v>
      </c>
      <c r="S592" t="s">
        <v>4221</v>
      </c>
      <c r="T592" t="s">
        <v>7256</v>
      </c>
      <c r="U592" t="s">
        <v>7256</v>
      </c>
      <c r="V592" t="s">
        <v>7256</v>
      </c>
      <c r="W592">
        <v>20</v>
      </c>
      <c r="X592" t="s">
        <v>7848</v>
      </c>
      <c r="Y592">
        <v>0.64809872434038596</v>
      </c>
      <c r="Z592" t="str">
        <f>HYPERLINK("Melting_Curves/meltCurve_sp_P13489_RINI_HUMAN_.pdf", "Melting_Curves/meltCurve_sp_P13489_RINI_HUMAN_.pdf")</f>
        <v>Melting_Curves/meltCurve_sp_P13489_RINI_HUMAN_.pdf</v>
      </c>
      <c r="AA592" t="s">
        <v>11463</v>
      </c>
      <c r="AB592" t="s">
        <v>15018</v>
      </c>
    </row>
    <row r="593" spans="1:28" x14ac:dyDescent="0.25">
      <c r="A593" t="s">
        <v>597</v>
      </c>
      <c r="B593">
        <v>0.98018197421672304</v>
      </c>
      <c r="C593">
        <v>0.96294860041743102</v>
      </c>
      <c r="D593">
        <v>0.919629273622948</v>
      </c>
      <c r="E593">
        <v>0.821938403070824</v>
      </c>
      <c r="F593">
        <v>0.71355274084156195</v>
      </c>
      <c r="G593">
        <v>0.40287137577602999</v>
      </c>
      <c r="H593">
        <v>8.8287340533238598E-2</v>
      </c>
      <c r="I593">
        <v>5.9455107039617199E-2</v>
      </c>
      <c r="J593">
        <v>7.4964528280020495E-2</v>
      </c>
      <c r="K593">
        <v>5.6237070721644501E-2</v>
      </c>
      <c r="L593">
        <v>978.62259408132797</v>
      </c>
      <c r="M593">
        <v>17.725441937915999</v>
      </c>
      <c r="N593">
        <v>55.234522141083602</v>
      </c>
      <c r="O593">
        <v>54.5217276808036</v>
      </c>
      <c r="P593">
        <v>-8.0963346638491099E-2</v>
      </c>
      <c r="Q593">
        <v>3.9108414475670103E-3</v>
      </c>
      <c r="R593">
        <v>0.98955603654018698</v>
      </c>
      <c r="S593" t="s">
        <v>4222</v>
      </c>
      <c r="T593" t="s">
        <v>7256</v>
      </c>
      <c r="U593" t="s">
        <v>7256</v>
      </c>
      <c r="V593" t="s">
        <v>7256</v>
      </c>
      <c r="W593">
        <v>43</v>
      </c>
      <c r="X593" t="s">
        <v>7849</v>
      </c>
      <c r="Y593">
        <v>0.52451352673113461</v>
      </c>
      <c r="Z593" t="str">
        <f>HYPERLINK("Melting_Curves/meltCurve_sp_P13639_EF2_HUMAN_.pdf", "Melting_Curves/meltCurve_sp_P13639_EF2_HUMAN_.pdf")</f>
        <v>Melting_Curves/meltCurve_sp_P13639_EF2_HUMAN_.pdf</v>
      </c>
      <c r="AA593" t="s">
        <v>11464</v>
      </c>
      <c r="AB593" t="s">
        <v>15019</v>
      </c>
    </row>
    <row r="594" spans="1:28" x14ac:dyDescent="0.25">
      <c r="A594" t="s">
        <v>598</v>
      </c>
      <c r="B594">
        <v>0.98018197421672304</v>
      </c>
      <c r="C594">
        <v>1.19851965417319</v>
      </c>
      <c r="D594">
        <v>0.86678955811267799</v>
      </c>
      <c r="E594">
        <v>0.79607742796393599</v>
      </c>
      <c r="F594">
        <v>1.1204799543625501</v>
      </c>
      <c r="G594">
        <v>1.08234242604599</v>
      </c>
      <c r="H594">
        <v>0.91423549322989295</v>
      </c>
      <c r="I594">
        <v>1.1719785033244401</v>
      </c>
      <c r="J594">
        <v>1.7543996305193199</v>
      </c>
      <c r="K594">
        <v>2.5347490275570901</v>
      </c>
      <c r="L594">
        <v>15000</v>
      </c>
      <c r="M594">
        <v>233.72980041716099</v>
      </c>
      <c r="O594">
        <v>64.171970332565493</v>
      </c>
      <c r="P594">
        <v>0.45528016254522602</v>
      </c>
      <c r="Q594">
        <v>1.5</v>
      </c>
      <c r="R594">
        <v>0.493985072853519</v>
      </c>
      <c r="S594" t="s">
        <v>4223</v>
      </c>
      <c r="T594" t="s">
        <v>7256</v>
      </c>
      <c r="U594" t="s">
        <v>7256</v>
      </c>
      <c r="V594" t="s">
        <v>7256</v>
      </c>
      <c r="W594">
        <v>5</v>
      </c>
      <c r="X594" t="s">
        <v>7850</v>
      </c>
      <c r="Y594">
        <v>1.0969910896080961</v>
      </c>
      <c r="Z594" t="str">
        <f>HYPERLINK("Melting_Curves/meltCurve_sp_P13640_2_MT1G_HUMAN_.pdf", "Melting_Curves/meltCurve_sp_P13640_2_MT1G_HUMAN_.pdf")</f>
        <v>Melting_Curves/meltCurve_sp_P13640_2_MT1G_HUMAN_.pdf</v>
      </c>
      <c r="AA594" t="s">
        <v>11465</v>
      </c>
      <c r="AB594" t="s">
        <v>15020</v>
      </c>
    </row>
    <row r="595" spans="1:28" x14ac:dyDescent="0.25">
      <c r="A595" t="s">
        <v>599</v>
      </c>
      <c r="B595">
        <v>0.98018197421672304</v>
      </c>
      <c r="C595">
        <v>0.91824486473936195</v>
      </c>
      <c r="D595">
        <v>1.0404164650207599</v>
      </c>
      <c r="E595">
        <v>0.735142850774821</v>
      </c>
      <c r="F595">
        <v>0.55989620775564097</v>
      </c>
      <c r="G595">
        <v>4.5168130748308E-2</v>
      </c>
      <c r="H595">
        <v>2.8814952343275002</v>
      </c>
      <c r="I595">
        <v>0.276639791778588</v>
      </c>
      <c r="J595">
        <v>18.936356500988399</v>
      </c>
      <c r="K595">
        <v>8.9892685365028306</v>
      </c>
      <c r="L595">
        <v>1957.2175683437399</v>
      </c>
      <c r="M595">
        <v>33.937430330753699</v>
      </c>
      <c r="O595">
        <v>57.472219363652698</v>
      </c>
      <c r="P595">
        <v>7.3812984865977899E-2</v>
      </c>
      <c r="Q595">
        <v>1.5</v>
      </c>
      <c r="R595">
        <v>-0.11950362026498999</v>
      </c>
      <c r="S595" t="s">
        <v>4224</v>
      </c>
      <c r="T595" t="s">
        <v>7256</v>
      </c>
      <c r="U595" t="s">
        <v>7256</v>
      </c>
      <c r="V595" t="s">
        <v>7256</v>
      </c>
      <c r="W595">
        <v>20</v>
      </c>
      <c r="X595" t="s">
        <v>7851</v>
      </c>
      <c r="Y595">
        <v>1.202812195589295</v>
      </c>
      <c r="Z595" t="str">
        <f>HYPERLINK("Melting_Curves/meltCurve_sp_P13647_K2C5_HUMAN_.pdf", "Melting_Curves/meltCurve_sp_P13647_K2C5_HUMAN_.pdf")</f>
        <v>Melting_Curves/meltCurve_sp_P13647_K2C5_HUMAN_.pdf</v>
      </c>
      <c r="AA595" t="s">
        <v>11466</v>
      </c>
      <c r="AB595" t="s">
        <v>15021</v>
      </c>
    </row>
    <row r="596" spans="1:28" x14ac:dyDescent="0.25">
      <c r="A596" t="s">
        <v>600</v>
      </c>
      <c r="B596">
        <v>0.98018197421672304</v>
      </c>
      <c r="C596">
        <v>0.90496751066533998</v>
      </c>
      <c r="D596">
        <v>0.94797990785057096</v>
      </c>
      <c r="E596">
        <v>0.82092342622763304</v>
      </c>
      <c r="F596">
        <v>0.67694037702923004</v>
      </c>
      <c r="G596">
        <v>0.37438659738101299</v>
      </c>
      <c r="H596">
        <v>0.151313360165889</v>
      </c>
      <c r="I596">
        <v>9.2084064650420502E-2</v>
      </c>
      <c r="J596">
        <v>7.4968467032951999E-2</v>
      </c>
      <c r="K596">
        <v>5.0285806064165002E-2</v>
      </c>
      <c r="L596">
        <v>874.010384778108</v>
      </c>
      <c r="M596">
        <v>15.879965883770501</v>
      </c>
      <c r="N596">
        <v>55.079930937571298</v>
      </c>
      <c r="O596">
        <v>54.187926834228598</v>
      </c>
      <c r="P596">
        <v>-7.2834789831504501E-2</v>
      </c>
      <c r="Q596">
        <v>5.9304870604891501E-3</v>
      </c>
      <c r="R596">
        <v>0.99321711227694998</v>
      </c>
      <c r="S596" t="s">
        <v>4225</v>
      </c>
      <c r="T596" t="s">
        <v>7256</v>
      </c>
      <c r="U596" t="s">
        <v>7256</v>
      </c>
      <c r="V596" t="s">
        <v>7256</v>
      </c>
      <c r="W596">
        <v>41</v>
      </c>
      <c r="X596" t="s">
        <v>7852</v>
      </c>
      <c r="Y596">
        <v>0.52219403928923314</v>
      </c>
      <c r="Z596" t="str">
        <f>HYPERLINK("Melting_Curves/meltCurve_sp_P13667_PDIA4_HUMAN_.pdf", "Melting_Curves/meltCurve_sp_P13667_PDIA4_HUMAN_.pdf")</f>
        <v>Melting_Curves/meltCurve_sp_P13667_PDIA4_HUMAN_.pdf</v>
      </c>
      <c r="AA596" t="s">
        <v>11467</v>
      </c>
      <c r="AB596" t="s">
        <v>15022</v>
      </c>
    </row>
    <row r="597" spans="1:28" x14ac:dyDescent="0.25">
      <c r="A597" t="s">
        <v>601</v>
      </c>
      <c r="B597">
        <v>0.98018197421672304</v>
      </c>
      <c r="C597">
        <v>0.95350369169761895</v>
      </c>
      <c r="D597">
        <v>0.84520946923186102</v>
      </c>
      <c r="E597">
        <v>0.66428850489067204</v>
      </c>
      <c r="F597">
        <v>0.47403691533192499</v>
      </c>
      <c r="G597">
        <v>0.17249826077524699</v>
      </c>
      <c r="H597">
        <v>0.118762286121062</v>
      </c>
      <c r="I597">
        <v>0.11289761168111399</v>
      </c>
      <c r="J597">
        <v>0.124264040536171</v>
      </c>
      <c r="K597">
        <v>0.11969670043456999</v>
      </c>
      <c r="L597">
        <v>861.97344338713901</v>
      </c>
      <c r="M597">
        <v>16.763377596889502</v>
      </c>
      <c r="N597">
        <v>51.982764148224902</v>
      </c>
      <c r="O597">
        <v>50.705011138315001</v>
      </c>
      <c r="P597">
        <v>-7.5798243501076903E-2</v>
      </c>
      <c r="Q597">
        <v>8.2977280396751799E-2</v>
      </c>
      <c r="R597">
        <v>0.99211253492196005</v>
      </c>
      <c r="S597" t="s">
        <v>4226</v>
      </c>
      <c r="T597" t="s">
        <v>7256</v>
      </c>
      <c r="U597" t="s">
        <v>7256</v>
      </c>
      <c r="V597" t="s">
        <v>7256</v>
      </c>
      <c r="W597">
        <v>6</v>
      </c>
      <c r="X597" t="s">
        <v>7853</v>
      </c>
      <c r="Y597">
        <v>0.44945247944269368</v>
      </c>
      <c r="Z597" t="str">
        <f>HYPERLINK("Melting_Curves/meltCurve_sp_P13671_CO6_HUMAN_.pdf", "Melting_Curves/meltCurve_sp_P13671_CO6_HUMAN_.pdf")</f>
        <v>Melting_Curves/meltCurve_sp_P13671_CO6_HUMAN_.pdf</v>
      </c>
      <c r="AA597" t="s">
        <v>11468</v>
      </c>
      <c r="AB597" t="s">
        <v>15023</v>
      </c>
    </row>
    <row r="598" spans="1:28" x14ac:dyDescent="0.25">
      <c r="A598" t="s">
        <v>602</v>
      </c>
      <c r="B598">
        <v>0.98018197421672304</v>
      </c>
      <c r="C598">
        <v>0.95441613925108504</v>
      </c>
      <c r="D598">
        <v>0.64681185002490404</v>
      </c>
      <c r="E598">
        <v>0.29687774385708499</v>
      </c>
      <c r="F598">
        <v>0.179598961674134</v>
      </c>
      <c r="G598">
        <v>7.51504848243989E-2</v>
      </c>
      <c r="H598">
        <v>3.3393252922302802E-2</v>
      </c>
      <c r="I598">
        <v>2.2384725609502901E-2</v>
      </c>
      <c r="J598">
        <v>1.9067937833701001E-2</v>
      </c>
      <c r="K598">
        <v>2.1260748718407298E-2</v>
      </c>
      <c r="L598">
        <v>928.87801089368895</v>
      </c>
      <c r="M598">
        <v>19.481231250221398</v>
      </c>
      <c r="N598">
        <v>47.806006126776403</v>
      </c>
      <c r="O598">
        <v>47.186777502359398</v>
      </c>
      <c r="P598">
        <v>-0.100647223754277</v>
      </c>
      <c r="Q598">
        <v>2.4898068332093799E-2</v>
      </c>
      <c r="R598">
        <v>0.99594627011240899</v>
      </c>
      <c r="S598" t="s">
        <v>4227</v>
      </c>
      <c r="T598" t="s">
        <v>7256</v>
      </c>
      <c r="U598" t="s">
        <v>7256</v>
      </c>
      <c r="V598" t="s">
        <v>7256</v>
      </c>
      <c r="W598">
        <v>4</v>
      </c>
      <c r="X598" t="s">
        <v>7854</v>
      </c>
      <c r="Y598">
        <v>0.28931659321519898</v>
      </c>
      <c r="Z598" t="str">
        <f>HYPERLINK("Melting_Curves/meltCurve_sp_P13674_P4HA1_HUMAN_.pdf", "Melting_Curves/meltCurve_sp_P13674_P4HA1_HUMAN_.pdf")</f>
        <v>Melting_Curves/meltCurve_sp_P13674_P4HA1_HUMAN_.pdf</v>
      </c>
      <c r="AA598" t="s">
        <v>11469</v>
      </c>
      <c r="AB598" t="s">
        <v>15024</v>
      </c>
    </row>
    <row r="599" spans="1:28" x14ac:dyDescent="0.25">
      <c r="A599" t="s">
        <v>603</v>
      </c>
      <c r="B599">
        <v>0.98018197421672304</v>
      </c>
      <c r="C599">
        <v>1.0173947368093501</v>
      </c>
      <c r="D599">
        <v>0.97177812941421604</v>
      </c>
      <c r="E599">
        <v>0.801720727027188</v>
      </c>
      <c r="F599">
        <v>0.70397672862348504</v>
      </c>
      <c r="G599">
        <v>0.43781640140132999</v>
      </c>
      <c r="H599">
        <v>0.29939820478527801</v>
      </c>
      <c r="I599">
        <v>0.31580527225520599</v>
      </c>
      <c r="J599">
        <v>0.37512431072209101</v>
      </c>
      <c r="K599">
        <v>0.44044966728916102</v>
      </c>
      <c r="L599">
        <v>1198.71307240186</v>
      </c>
      <c r="M599">
        <v>22.766571161569999</v>
      </c>
      <c r="N599">
        <v>55.583606471744297</v>
      </c>
      <c r="O599">
        <v>52.251149434033699</v>
      </c>
      <c r="P599">
        <v>-7.0859713683887701E-2</v>
      </c>
      <c r="Q599">
        <v>0.34949724566277302</v>
      </c>
      <c r="R599">
        <v>0.97078843710197904</v>
      </c>
      <c r="S599" t="s">
        <v>4228</v>
      </c>
      <c r="T599" t="s">
        <v>7256</v>
      </c>
      <c r="U599" t="s">
        <v>7256</v>
      </c>
      <c r="V599" t="s">
        <v>7256</v>
      </c>
      <c r="W599">
        <v>9</v>
      </c>
      <c r="X599" t="s">
        <v>7855</v>
      </c>
      <c r="Y599">
        <v>0.63095729896575947</v>
      </c>
      <c r="Z599" t="str">
        <f>HYPERLINK("Melting_Curves/meltCurve_sp_P13693_TCTP_HUMAN_.pdf", "Melting_Curves/meltCurve_sp_P13693_TCTP_HUMAN_.pdf")</f>
        <v>Melting_Curves/meltCurve_sp_P13693_TCTP_HUMAN_.pdf</v>
      </c>
      <c r="AA599" t="s">
        <v>11470</v>
      </c>
      <c r="AB599" t="s">
        <v>15025</v>
      </c>
    </row>
    <row r="600" spans="1:28" x14ac:dyDescent="0.25">
      <c r="A600" t="s">
        <v>604</v>
      </c>
      <c r="B600">
        <v>0.98018197421672304</v>
      </c>
      <c r="C600">
        <v>0.83221134377321904</v>
      </c>
      <c r="D600">
        <v>0.89619950654246205</v>
      </c>
      <c r="E600">
        <v>0.78562074743715304</v>
      </c>
      <c r="F600">
        <v>0.66634658367837896</v>
      </c>
      <c r="G600">
        <v>0.50508640946776995</v>
      </c>
      <c r="H600">
        <v>0.41429175434990201</v>
      </c>
      <c r="I600">
        <v>0.41009422612707502</v>
      </c>
      <c r="J600">
        <v>0.35658184857478398</v>
      </c>
      <c r="K600">
        <v>0.17466797749311799</v>
      </c>
      <c r="L600">
        <v>390.21069810709798</v>
      </c>
      <c r="M600">
        <v>6.6720914065821804</v>
      </c>
      <c r="N600">
        <v>58.484030119433299</v>
      </c>
      <c r="O600">
        <v>53.901224571070699</v>
      </c>
      <c r="P600">
        <v>-3.1014267375354801E-2</v>
      </c>
      <c r="Q600">
        <v>0</v>
      </c>
      <c r="R600">
        <v>0.96364037723736096</v>
      </c>
      <c r="S600" t="s">
        <v>4229</v>
      </c>
      <c r="T600" t="s">
        <v>7256</v>
      </c>
      <c r="U600" t="s">
        <v>7256</v>
      </c>
      <c r="V600" t="s">
        <v>7256</v>
      </c>
      <c r="W600">
        <v>18</v>
      </c>
      <c r="X600" t="s">
        <v>7856</v>
      </c>
      <c r="Y600">
        <v>0.60715788268937276</v>
      </c>
      <c r="Z600" t="str">
        <f>HYPERLINK("Melting_Curves/meltCurve_sp_P13796_PLSL_HUMAN_.pdf", "Melting_Curves/meltCurve_sp_P13796_PLSL_HUMAN_.pdf")</f>
        <v>Melting_Curves/meltCurve_sp_P13796_PLSL_HUMAN_.pdf</v>
      </c>
      <c r="AA600" t="s">
        <v>11471</v>
      </c>
      <c r="AB600" t="s">
        <v>15026</v>
      </c>
    </row>
    <row r="601" spans="1:28" x14ac:dyDescent="0.25">
      <c r="A601" t="s">
        <v>605</v>
      </c>
      <c r="B601">
        <v>0.98018197421672304</v>
      </c>
      <c r="C601">
        <v>0.93869754984994602</v>
      </c>
      <c r="D601">
        <v>0.92248853678833298</v>
      </c>
      <c r="E601">
        <v>0.84303672239224603</v>
      </c>
      <c r="F601">
        <v>0.78471375136670396</v>
      </c>
      <c r="G601">
        <v>0.49871036581014999</v>
      </c>
      <c r="H601">
        <v>0.105909836729821</v>
      </c>
      <c r="I601">
        <v>9.0348814010048295E-2</v>
      </c>
      <c r="J601">
        <v>8.6185193119072495E-2</v>
      </c>
      <c r="K601">
        <v>7.4556075417039597E-2</v>
      </c>
      <c r="L601">
        <v>1070.4542777865199</v>
      </c>
      <c r="M601">
        <v>19.074951216695901</v>
      </c>
      <c r="N601">
        <v>56.241220953362998</v>
      </c>
      <c r="O601">
        <v>55.512460713602202</v>
      </c>
      <c r="P601">
        <v>-8.4153678864869005E-2</v>
      </c>
      <c r="Q601">
        <v>2.0412811205696799E-2</v>
      </c>
      <c r="R601">
        <v>0.98169342322180297</v>
      </c>
      <c r="S601" t="s">
        <v>4230</v>
      </c>
      <c r="T601" t="s">
        <v>7256</v>
      </c>
      <c r="U601" t="s">
        <v>7256</v>
      </c>
      <c r="V601" t="s">
        <v>7256</v>
      </c>
      <c r="W601">
        <v>31</v>
      </c>
      <c r="X601" t="s">
        <v>7857</v>
      </c>
      <c r="Y601">
        <v>0.56007754298016588</v>
      </c>
      <c r="Z601" t="str">
        <f>HYPERLINK("Melting_Curves/meltCurve_sp_P13797_PLST_HUMAN_.pdf", "Melting_Curves/meltCurve_sp_P13797_PLST_HUMAN_.pdf")</f>
        <v>Melting_Curves/meltCurve_sp_P13797_PLST_HUMAN_.pdf</v>
      </c>
      <c r="AA601" t="s">
        <v>11472</v>
      </c>
      <c r="AB601" t="s">
        <v>15027</v>
      </c>
    </row>
    <row r="602" spans="1:28" x14ac:dyDescent="0.25">
      <c r="A602" t="s">
        <v>606</v>
      </c>
      <c r="B602">
        <v>0.98018197421672304</v>
      </c>
      <c r="C602">
        <v>0.89760177351011705</v>
      </c>
      <c r="D602">
        <v>0.87542181991365098</v>
      </c>
      <c r="E602">
        <v>0.80720358894611799</v>
      </c>
      <c r="F602">
        <v>0.694753740042656</v>
      </c>
      <c r="G602">
        <v>0.59017112265052996</v>
      </c>
      <c r="H602">
        <v>0.45947497917681301</v>
      </c>
      <c r="I602">
        <v>0.439197719714576</v>
      </c>
      <c r="J602">
        <v>0.304656479141998</v>
      </c>
      <c r="K602">
        <v>0.12383345097038199</v>
      </c>
      <c r="L602">
        <v>448.35746665928099</v>
      </c>
      <c r="M602">
        <v>7.56840472502404</v>
      </c>
      <c r="N602">
        <v>59.240673386609899</v>
      </c>
      <c r="O602">
        <v>55.528793816178698</v>
      </c>
      <c r="P602">
        <v>-3.4121606647299803E-2</v>
      </c>
      <c r="Q602">
        <v>0</v>
      </c>
      <c r="R602">
        <v>0.968399630498049</v>
      </c>
      <c r="S602" t="s">
        <v>4231</v>
      </c>
      <c r="T602" t="s">
        <v>7256</v>
      </c>
      <c r="U602" t="s">
        <v>7256</v>
      </c>
      <c r="V602" t="s">
        <v>7256</v>
      </c>
      <c r="W602">
        <v>23</v>
      </c>
      <c r="X602" t="s">
        <v>7858</v>
      </c>
      <c r="Y602">
        <v>0.63083980529087036</v>
      </c>
      <c r="Z602" t="str">
        <f>HYPERLINK("Melting_Curves/meltCurve_sp_P13798_ACPH_HUMAN_.pdf", "Melting_Curves/meltCurve_sp_P13798_ACPH_HUMAN_.pdf")</f>
        <v>Melting_Curves/meltCurve_sp_P13798_ACPH_HUMAN_.pdf</v>
      </c>
      <c r="AA602" t="s">
        <v>11473</v>
      </c>
      <c r="AB602" t="s">
        <v>15028</v>
      </c>
    </row>
    <row r="603" spans="1:28" x14ac:dyDescent="0.25">
      <c r="A603" t="s">
        <v>607</v>
      </c>
      <c r="B603">
        <v>0.98018197421672304</v>
      </c>
      <c r="C603">
        <v>0.96104615652176995</v>
      </c>
      <c r="D603">
        <v>0.90065088744886501</v>
      </c>
      <c r="E603">
        <v>0.71195872040172803</v>
      </c>
      <c r="F603">
        <v>0.52613062856120896</v>
      </c>
      <c r="G603">
        <v>0.25978740875710798</v>
      </c>
      <c r="H603">
        <v>8.6386776941727E-2</v>
      </c>
      <c r="I603">
        <v>5.5269254258825402E-2</v>
      </c>
      <c r="J603">
        <v>4.6312775386016997E-2</v>
      </c>
      <c r="K603">
        <v>3.5107683502713698E-2</v>
      </c>
      <c r="L603">
        <v>819.50539482147497</v>
      </c>
      <c r="M603">
        <v>15.4475252513326</v>
      </c>
      <c r="N603">
        <v>53.050923746253901</v>
      </c>
      <c r="O603">
        <v>52.185694545480096</v>
      </c>
      <c r="P603">
        <v>-7.4009312895921303E-2</v>
      </c>
      <c r="Q603">
        <v>0</v>
      </c>
      <c r="R603">
        <v>0.998341228375342</v>
      </c>
      <c r="S603" t="s">
        <v>4232</v>
      </c>
      <c r="T603" t="s">
        <v>7256</v>
      </c>
      <c r="U603" t="s">
        <v>7256</v>
      </c>
      <c r="V603" t="s">
        <v>7256</v>
      </c>
      <c r="W603">
        <v>20</v>
      </c>
      <c r="X603" t="s">
        <v>7859</v>
      </c>
      <c r="Y603">
        <v>0.45563563410768942</v>
      </c>
      <c r="Z603" t="str">
        <f>HYPERLINK("Melting_Curves/meltCurve_sp_P13804_ETFA_HUMAN_.pdf", "Melting_Curves/meltCurve_sp_P13804_ETFA_HUMAN_.pdf")</f>
        <v>Melting_Curves/meltCurve_sp_P13804_ETFA_HUMAN_.pdf</v>
      </c>
      <c r="AA603" t="s">
        <v>11474</v>
      </c>
      <c r="AB603" t="s">
        <v>15029</v>
      </c>
    </row>
    <row r="604" spans="1:28" x14ac:dyDescent="0.25">
      <c r="A604" t="s">
        <v>608</v>
      </c>
      <c r="B604">
        <v>0.98018197421672304</v>
      </c>
      <c r="C604">
        <v>0.953611979560398</v>
      </c>
      <c r="D604">
        <v>0.85073411165621704</v>
      </c>
      <c r="E604">
        <v>0.56278487801777899</v>
      </c>
      <c r="F604">
        <v>0.25272313286921899</v>
      </c>
      <c r="G604">
        <v>9.6380545332809403E-2</v>
      </c>
      <c r="H604">
        <v>5.71928576242711E-2</v>
      </c>
      <c r="I604">
        <v>4.5699994332913899E-2</v>
      </c>
      <c r="J604">
        <v>5.6966014420050198E-2</v>
      </c>
      <c r="K604">
        <v>3.7574721849424599E-2</v>
      </c>
      <c r="L604">
        <v>1038.6732183093</v>
      </c>
      <c r="M604">
        <v>20.711449037876601</v>
      </c>
      <c r="N604">
        <v>50.325202518489597</v>
      </c>
      <c r="O604">
        <v>49.6892170468033</v>
      </c>
      <c r="P604">
        <v>-0.100577000573076</v>
      </c>
      <c r="Q604">
        <v>3.4842855523139003E-2</v>
      </c>
      <c r="R604">
        <v>0.99814097637200205</v>
      </c>
      <c r="S604" t="s">
        <v>4233</v>
      </c>
      <c r="T604" t="s">
        <v>7256</v>
      </c>
      <c r="U604" t="s">
        <v>7256</v>
      </c>
      <c r="V604" t="s">
        <v>7256</v>
      </c>
      <c r="W604">
        <v>16</v>
      </c>
      <c r="X604" t="s">
        <v>7860</v>
      </c>
      <c r="Y604">
        <v>0.37392428822334101</v>
      </c>
      <c r="Z604" t="str">
        <f>HYPERLINK("Melting_Curves/meltCurve_sp_P13861_KAP2_HUMAN_.pdf", "Melting_Curves/meltCurve_sp_P13861_KAP2_HUMAN_.pdf")</f>
        <v>Melting_Curves/meltCurve_sp_P13861_KAP2_HUMAN_.pdf</v>
      </c>
      <c r="AA604" t="s">
        <v>11475</v>
      </c>
      <c r="AB604" t="s">
        <v>15030</v>
      </c>
    </row>
    <row r="605" spans="1:28" x14ac:dyDescent="0.25">
      <c r="A605" t="s">
        <v>609</v>
      </c>
      <c r="B605">
        <v>0.98018197421672304</v>
      </c>
      <c r="C605">
        <v>0.97600510658009598</v>
      </c>
      <c r="D605">
        <v>0.93261938470151395</v>
      </c>
      <c r="E605">
        <v>0.86070023844119603</v>
      </c>
      <c r="F605">
        <v>0.760220763103585</v>
      </c>
      <c r="G605">
        <v>0.48591687577182802</v>
      </c>
      <c r="H605">
        <v>0.122389254343323</v>
      </c>
      <c r="I605">
        <v>5.5005341189688903E-2</v>
      </c>
      <c r="J605">
        <v>5.6530353808109203E-2</v>
      </c>
      <c r="K605">
        <v>5.4618454756787199E-2</v>
      </c>
      <c r="L605">
        <v>1058.9588623526099</v>
      </c>
      <c r="M605">
        <v>18.865076122069802</v>
      </c>
      <c r="N605">
        <v>56.133293882298801</v>
      </c>
      <c r="O605">
        <v>55.513958692597697</v>
      </c>
      <c r="P605">
        <v>-8.4959936307395997E-2</v>
      </c>
      <c r="Q605">
        <v>0</v>
      </c>
      <c r="R605">
        <v>0.99038557988404297</v>
      </c>
      <c r="S605" t="s">
        <v>4234</v>
      </c>
      <c r="T605" t="s">
        <v>7256</v>
      </c>
      <c r="U605" t="s">
        <v>7256</v>
      </c>
      <c r="V605" t="s">
        <v>7256</v>
      </c>
      <c r="W605">
        <v>22</v>
      </c>
      <c r="X605" t="s">
        <v>7861</v>
      </c>
      <c r="Y605">
        <v>0.5515888738122634</v>
      </c>
      <c r="Z605" t="str">
        <f>HYPERLINK("Melting_Curves/meltCurve_sp_P13929_ENOB_HUMAN_.pdf", "Melting_Curves/meltCurve_sp_P13929_ENOB_HUMAN_.pdf")</f>
        <v>Melting_Curves/meltCurve_sp_P13929_ENOB_HUMAN_.pdf</v>
      </c>
      <c r="AA605" t="s">
        <v>11476</v>
      </c>
      <c r="AB605" t="s">
        <v>15031</v>
      </c>
    </row>
    <row r="606" spans="1:28" x14ac:dyDescent="0.25">
      <c r="A606" t="s">
        <v>610</v>
      </c>
      <c r="B606">
        <v>0.98018197421672304</v>
      </c>
      <c r="C606">
        <v>1.05925196109888</v>
      </c>
      <c r="D606">
        <v>0.92793257441784105</v>
      </c>
      <c r="E606">
        <v>0.82588572640310298</v>
      </c>
      <c r="F606">
        <v>0.884261637232439</v>
      </c>
      <c r="G606">
        <v>0.79937409977162299</v>
      </c>
      <c r="H606">
        <v>0.57944242354646402</v>
      </c>
      <c r="I606">
        <v>0.61849112237660997</v>
      </c>
      <c r="J606">
        <v>0.73983038898937104</v>
      </c>
      <c r="K606">
        <v>0.70662170869226304</v>
      </c>
      <c r="L606">
        <v>752.640972933336</v>
      </c>
      <c r="M606">
        <v>14.323165455649001</v>
      </c>
      <c r="O606">
        <v>51.5546593287078</v>
      </c>
      <c r="P606">
        <v>-2.3853733369657001E-2</v>
      </c>
      <c r="Q606">
        <v>0.65660598211793997</v>
      </c>
      <c r="R606">
        <v>0.80312036010041699</v>
      </c>
      <c r="S606" t="s">
        <v>4235</v>
      </c>
      <c r="T606" t="s">
        <v>7256</v>
      </c>
      <c r="U606" t="s">
        <v>7256</v>
      </c>
      <c r="V606" t="s">
        <v>7256</v>
      </c>
      <c r="W606">
        <v>3</v>
      </c>
      <c r="X606" t="s">
        <v>7862</v>
      </c>
      <c r="Y606">
        <v>0.80826445153123294</v>
      </c>
      <c r="Z606" t="str">
        <f>HYPERLINK("Melting_Curves/meltCurve_sp_P14174_MIF_HUMAN_.pdf", "Melting_Curves/meltCurve_sp_P14174_MIF_HUMAN_.pdf")</f>
        <v>Melting_Curves/meltCurve_sp_P14174_MIF_HUMAN_.pdf</v>
      </c>
      <c r="AA606" t="s">
        <v>11477</v>
      </c>
      <c r="AB606" t="s">
        <v>15032</v>
      </c>
    </row>
    <row r="607" spans="1:28" x14ac:dyDescent="0.25">
      <c r="A607" t="s">
        <v>611</v>
      </c>
      <c r="B607">
        <v>0.98018197421672304</v>
      </c>
      <c r="C607">
        <v>0.95011376903125799</v>
      </c>
      <c r="D607">
        <v>0.90599341804703304</v>
      </c>
      <c r="E607">
        <v>0.78833644716889395</v>
      </c>
      <c r="F607">
        <v>0.69103392522358498</v>
      </c>
      <c r="G607">
        <v>0.506546047819457</v>
      </c>
      <c r="H607">
        <v>0.47808376274709102</v>
      </c>
      <c r="I607">
        <v>0.47939357976059599</v>
      </c>
      <c r="J607">
        <v>0.58218533212627699</v>
      </c>
      <c r="K607">
        <v>0.60477804998051599</v>
      </c>
      <c r="L607">
        <v>972.74507221267299</v>
      </c>
      <c r="M607">
        <v>19.3536018726723</v>
      </c>
      <c r="O607">
        <v>49.734318589862703</v>
      </c>
      <c r="P607">
        <v>-4.6368028051675697E-2</v>
      </c>
      <c r="Q607">
        <v>0.52339688362850301</v>
      </c>
      <c r="R607">
        <v>0.93376181508392297</v>
      </c>
      <c r="S607" t="s">
        <v>4236</v>
      </c>
      <c r="T607" t="s">
        <v>7256</v>
      </c>
      <c r="U607" t="s">
        <v>7256</v>
      </c>
      <c r="V607" t="s">
        <v>7256</v>
      </c>
      <c r="W607">
        <v>14</v>
      </c>
      <c r="X607" t="s">
        <v>7863</v>
      </c>
      <c r="Y607">
        <v>0.69348331383517392</v>
      </c>
      <c r="Z607" t="str">
        <f>HYPERLINK("Melting_Curves/meltCurve_sp_P14314_2_GLU2B_HUMAN_.pdf", "Melting_Curves/meltCurve_sp_P14314_2_GLU2B_HUMAN_.pdf")</f>
        <v>Melting_Curves/meltCurve_sp_P14314_2_GLU2B_HUMAN_.pdf</v>
      </c>
      <c r="AA607" t="s">
        <v>11478</v>
      </c>
      <c r="AB607" t="s">
        <v>15033</v>
      </c>
    </row>
    <row r="608" spans="1:28" x14ac:dyDescent="0.25">
      <c r="A608" t="s">
        <v>612</v>
      </c>
      <c r="B608">
        <v>0.98018197421672304</v>
      </c>
      <c r="C608">
        <v>0.98605934662557804</v>
      </c>
      <c r="D608">
        <v>0.96800497839615895</v>
      </c>
      <c r="E608">
        <v>0.84212498674006397</v>
      </c>
      <c r="F608">
        <v>0.79832467196934898</v>
      </c>
      <c r="G608">
        <v>0.61445805052128299</v>
      </c>
      <c r="H608">
        <v>0.48377777961546597</v>
      </c>
      <c r="I608">
        <v>0.59504252741925001</v>
      </c>
      <c r="J608">
        <v>0.46779431049801401</v>
      </c>
      <c r="K608">
        <v>0.80306114076094803</v>
      </c>
      <c r="L608">
        <v>1200.67804707453</v>
      </c>
      <c r="M608">
        <v>23.1433360394259</v>
      </c>
      <c r="O608">
        <v>51.497387233532301</v>
      </c>
      <c r="P608">
        <v>-4.66123413883393E-2</v>
      </c>
      <c r="Q608">
        <v>0.58512982747055198</v>
      </c>
      <c r="R608">
        <v>0.78050169376452005</v>
      </c>
      <c r="S608" t="s">
        <v>4237</v>
      </c>
      <c r="T608" t="s">
        <v>7256</v>
      </c>
      <c r="U608" t="s">
        <v>7256</v>
      </c>
      <c r="V608" t="s">
        <v>7256</v>
      </c>
      <c r="W608">
        <v>7</v>
      </c>
      <c r="X608" t="s">
        <v>7864</v>
      </c>
      <c r="Y608">
        <v>0.75380396303473318</v>
      </c>
      <c r="Z608" t="str">
        <f>HYPERLINK("Melting_Curves/meltCurve_sp_P14317_HCLS1_HUMAN_.pdf", "Melting_Curves/meltCurve_sp_P14317_HCLS1_HUMAN_.pdf")</f>
        <v>Melting_Curves/meltCurve_sp_P14317_HCLS1_HUMAN_.pdf</v>
      </c>
      <c r="AA608" t="s">
        <v>11479</v>
      </c>
      <c r="AB608" t="s">
        <v>15034</v>
      </c>
    </row>
    <row r="609" spans="1:28" x14ac:dyDescent="0.25">
      <c r="A609" t="s">
        <v>613</v>
      </c>
      <c r="B609">
        <v>0.98018197421672304</v>
      </c>
      <c r="C609">
        <v>0.830423094451199</v>
      </c>
      <c r="D609">
        <v>0.80000645198606501</v>
      </c>
      <c r="E609">
        <v>0.205081198976729</v>
      </c>
      <c r="F609">
        <v>6.8859088488612594E-2</v>
      </c>
      <c r="G609">
        <v>3.4342716932625597E-2</v>
      </c>
      <c r="H609">
        <v>2.1263320976688101E-2</v>
      </c>
      <c r="I609">
        <v>1.5909396847319301E-2</v>
      </c>
      <c r="J609">
        <v>2.4213998939764999E-2</v>
      </c>
      <c r="K609">
        <v>1.64929491138712E-2</v>
      </c>
      <c r="L609">
        <v>1350.5933695507999</v>
      </c>
      <c r="M609">
        <v>28.2873140913272</v>
      </c>
      <c r="N609">
        <v>47.802358606228601</v>
      </c>
      <c r="O609">
        <v>47.508846296648201</v>
      </c>
      <c r="P609">
        <v>-0.146393953916512</v>
      </c>
      <c r="Q609">
        <v>1.6527317735276398E-2</v>
      </c>
      <c r="R609">
        <v>0.985604013651452</v>
      </c>
      <c r="S609" t="s">
        <v>4238</v>
      </c>
      <c r="T609" t="s">
        <v>7256</v>
      </c>
      <c r="U609" t="s">
        <v>7256</v>
      </c>
      <c r="V609" t="s">
        <v>7256</v>
      </c>
      <c r="W609">
        <v>10</v>
      </c>
      <c r="X609" t="s">
        <v>7865</v>
      </c>
      <c r="Y609">
        <v>0.2771328537592514</v>
      </c>
      <c r="Z609" t="str">
        <f>HYPERLINK("Melting_Curves/meltCurve_sp_P14324_2_FPPS_HUMAN_.pdf", "Melting_Curves/meltCurve_sp_P14324_2_FPPS_HUMAN_.pdf")</f>
        <v>Melting_Curves/meltCurve_sp_P14324_2_FPPS_HUMAN_.pdf</v>
      </c>
      <c r="AA609" t="s">
        <v>11480</v>
      </c>
      <c r="AB609" t="s">
        <v>15035</v>
      </c>
    </row>
    <row r="610" spans="1:28" x14ac:dyDescent="0.25">
      <c r="A610" t="s">
        <v>614</v>
      </c>
      <c r="B610">
        <v>0.98018197421672304</v>
      </c>
      <c r="C610">
        <v>0.65209525445952798</v>
      </c>
      <c r="D610">
        <v>0.82698381204694005</v>
      </c>
      <c r="E610">
        <v>0.76213107000314895</v>
      </c>
      <c r="F610">
        <v>0.289131470779876</v>
      </c>
      <c r="G610">
        <v>0.12903494214823499</v>
      </c>
      <c r="H610">
        <v>0.10281678630009899</v>
      </c>
      <c r="I610">
        <v>8.6254185567254796E-2</v>
      </c>
      <c r="J610">
        <v>0.18862237177417401</v>
      </c>
      <c r="K610">
        <v>8.0632745596901895E-2</v>
      </c>
      <c r="L610">
        <v>624.99385385615096</v>
      </c>
      <c r="M610">
        <v>12.3646871591734</v>
      </c>
      <c r="N610">
        <v>50.882742381595598</v>
      </c>
      <c r="O610">
        <v>49.279134601013503</v>
      </c>
      <c r="P610">
        <v>-6.0281215686729797E-2</v>
      </c>
      <c r="Q610">
        <v>3.9209663162090201E-2</v>
      </c>
      <c r="R610">
        <v>0.87388019071252898</v>
      </c>
      <c r="S610" t="s">
        <v>4239</v>
      </c>
      <c r="T610" t="s">
        <v>7256</v>
      </c>
      <c r="U610" t="s">
        <v>7256</v>
      </c>
      <c r="V610" t="s">
        <v>7256</v>
      </c>
      <c r="W610">
        <v>1</v>
      </c>
      <c r="X610" t="s">
        <v>7866</v>
      </c>
      <c r="Y610">
        <v>0.40776187121812502</v>
      </c>
      <c r="Z610" t="str">
        <f>HYPERLINK("Melting_Curves/meltCurve_sp_P14543_NID1_HUMAN_.pdf", "Melting_Curves/meltCurve_sp_P14543_NID1_HUMAN_.pdf")</f>
        <v>Melting_Curves/meltCurve_sp_P14543_NID1_HUMAN_.pdf</v>
      </c>
      <c r="AA610" t="s">
        <v>11481</v>
      </c>
      <c r="AB610" t="s">
        <v>15036</v>
      </c>
    </row>
    <row r="611" spans="1:28" x14ac:dyDescent="0.25">
      <c r="A611" t="s">
        <v>615</v>
      </c>
      <c r="B611">
        <v>0.98018197421672304</v>
      </c>
      <c r="C611">
        <v>1.08137534975973</v>
      </c>
      <c r="D611">
        <v>1.0093442190143</v>
      </c>
      <c r="E611">
        <v>0.64410031177228699</v>
      </c>
      <c r="F611">
        <v>0.166001283996633</v>
      </c>
      <c r="G611">
        <v>8.8913262285153394E-2</v>
      </c>
      <c r="H611">
        <v>5.19470466744541E-2</v>
      </c>
      <c r="I611">
        <v>4.3597889693448598E-2</v>
      </c>
      <c r="J611">
        <v>4.5937527137114798E-2</v>
      </c>
      <c r="K611">
        <v>4.5107394187900898E-2</v>
      </c>
      <c r="L611">
        <v>2230.96590888828</v>
      </c>
      <c r="M611">
        <v>44.102816922635498</v>
      </c>
      <c r="N611">
        <v>50.715954072234503</v>
      </c>
      <c r="O611">
        <v>50.481892280096503</v>
      </c>
      <c r="P611">
        <v>-0.20670321429677199</v>
      </c>
      <c r="Q611">
        <v>5.3597455678901902E-2</v>
      </c>
      <c r="R611">
        <v>0.99543906801703996</v>
      </c>
      <c r="S611" t="s">
        <v>4240</v>
      </c>
      <c r="T611" t="s">
        <v>7256</v>
      </c>
      <c r="U611" t="s">
        <v>7256</v>
      </c>
      <c r="V611" t="s">
        <v>7256</v>
      </c>
      <c r="W611">
        <v>22</v>
      </c>
      <c r="X611" t="s">
        <v>7867</v>
      </c>
      <c r="Y611">
        <v>0.39025610906463098</v>
      </c>
      <c r="Z611" t="str">
        <f>HYPERLINK("Melting_Curves/meltCurve_sp_P14550_AK1A1_HUMAN_.pdf", "Melting_Curves/meltCurve_sp_P14550_AK1A1_HUMAN_.pdf")</f>
        <v>Melting_Curves/meltCurve_sp_P14550_AK1A1_HUMAN_.pdf</v>
      </c>
      <c r="AA611" t="s">
        <v>11482</v>
      </c>
      <c r="AB611" t="s">
        <v>15037</v>
      </c>
    </row>
    <row r="612" spans="1:28" x14ac:dyDescent="0.25">
      <c r="A612" t="s">
        <v>616</v>
      </c>
      <c r="B612">
        <v>0.98018197421672304</v>
      </c>
      <c r="C612">
        <v>0.87639374428234795</v>
      </c>
      <c r="D612">
        <v>0.68606683730704698</v>
      </c>
      <c r="E612">
        <v>0.452604507824725</v>
      </c>
      <c r="F612">
        <v>0.347868629431828</v>
      </c>
      <c r="G612">
        <v>0.25780797843796399</v>
      </c>
      <c r="H612">
        <v>0.104254171305973</v>
      </c>
      <c r="I612">
        <v>4.2435216341038001E-2</v>
      </c>
      <c r="J612">
        <v>7.2480028031017399E-2</v>
      </c>
      <c r="K612">
        <v>4.3915584447460403E-2</v>
      </c>
      <c r="L612">
        <v>556.47577743197405</v>
      </c>
      <c r="M612">
        <v>11.2040958518567</v>
      </c>
      <c r="N612">
        <v>49.7373294110157</v>
      </c>
      <c r="O612">
        <v>48.1637802838722</v>
      </c>
      <c r="P612">
        <v>-5.7718442544178503E-2</v>
      </c>
      <c r="Q612">
        <v>7.8396877222235897E-3</v>
      </c>
      <c r="R612">
        <v>0.99134879860032699</v>
      </c>
      <c r="S612" t="s">
        <v>4241</v>
      </c>
      <c r="T612" t="s">
        <v>7256</v>
      </c>
      <c r="U612" t="s">
        <v>7256</v>
      </c>
      <c r="V612" t="s">
        <v>7256</v>
      </c>
      <c r="W612">
        <v>15</v>
      </c>
      <c r="X612" t="s">
        <v>7868</v>
      </c>
      <c r="Y612">
        <v>0.36654809600078481</v>
      </c>
      <c r="Z612" t="str">
        <f>HYPERLINK("Melting_Curves/meltCurve_sp_P14618_KPYM_HUMAN_.pdf", "Melting_Curves/meltCurve_sp_P14618_KPYM_HUMAN_.pdf")</f>
        <v>Melting_Curves/meltCurve_sp_P14618_KPYM_HUMAN_.pdf</v>
      </c>
      <c r="AA612" t="s">
        <v>11483</v>
      </c>
      <c r="AB612" t="s">
        <v>15038</v>
      </c>
    </row>
    <row r="613" spans="1:28" x14ac:dyDescent="0.25">
      <c r="A613" t="s">
        <v>617</v>
      </c>
      <c r="B613">
        <v>0.98018197421672304</v>
      </c>
      <c r="C613">
        <v>0.96983324180000696</v>
      </c>
      <c r="D613">
        <v>0.966140174104273</v>
      </c>
      <c r="E613">
        <v>0.85919156519541695</v>
      </c>
      <c r="F613">
        <v>0.98126771585109795</v>
      </c>
      <c r="G613">
        <v>0.82660957723893302</v>
      </c>
      <c r="H613">
        <v>0.42476990583398799</v>
      </c>
      <c r="I613">
        <v>0.29956992054106901</v>
      </c>
      <c r="J613">
        <v>0.31998310100094501</v>
      </c>
      <c r="K613">
        <v>0.37335450209369597</v>
      </c>
      <c r="L613">
        <v>2575.7985172640701</v>
      </c>
      <c r="M613">
        <v>44.133870454367603</v>
      </c>
      <c r="N613">
        <v>59.8137105216341</v>
      </c>
      <c r="O613">
        <v>58.2438663820759</v>
      </c>
      <c r="P613">
        <v>-0.12720090329206701</v>
      </c>
      <c r="Q613">
        <v>0.328528322897084</v>
      </c>
      <c r="R613">
        <v>0.96835428552481895</v>
      </c>
      <c r="S613" t="s">
        <v>4242</v>
      </c>
      <c r="T613" t="s">
        <v>7256</v>
      </c>
      <c r="U613" t="s">
        <v>7256</v>
      </c>
      <c r="V613" t="s">
        <v>7256</v>
      </c>
      <c r="W613">
        <v>7</v>
      </c>
      <c r="X613" t="s">
        <v>7869</v>
      </c>
      <c r="Y613">
        <v>0.74173588149557312</v>
      </c>
      <c r="Z613" t="str">
        <f>HYPERLINK("Melting_Curves/meltCurve_sp_P14621_ACYP2_HUMAN_.pdf", "Melting_Curves/meltCurve_sp_P14621_ACYP2_HUMAN_.pdf")</f>
        <v>Melting_Curves/meltCurve_sp_P14621_ACYP2_HUMAN_.pdf</v>
      </c>
      <c r="AA613" t="s">
        <v>11484</v>
      </c>
      <c r="AB613" t="s">
        <v>15039</v>
      </c>
    </row>
    <row r="614" spans="1:28" x14ac:dyDescent="0.25">
      <c r="A614" t="s">
        <v>618</v>
      </c>
      <c r="B614">
        <v>0.98018197421672304</v>
      </c>
      <c r="C614">
        <v>0.96015577984363398</v>
      </c>
      <c r="D614">
        <v>0.92221773680046604</v>
      </c>
      <c r="E614">
        <v>0.82590978626629297</v>
      </c>
      <c r="F614">
        <v>0.52943738554722897</v>
      </c>
      <c r="G614">
        <v>0.16990535970333301</v>
      </c>
      <c r="H614">
        <v>7.2278173084203104E-2</v>
      </c>
      <c r="I614">
        <v>4.7883036559268198E-2</v>
      </c>
      <c r="J614">
        <v>4.89297405278665E-2</v>
      </c>
      <c r="K614">
        <v>4.1076866839355498E-2</v>
      </c>
      <c r="L614">
        <v>1275.9464025305399</v>
      </c>
      <c r="M614">
        <v>24.062203092180301</v>
      </c>
      <c r="N614">
        <v>53.183593379029404</v>
      </c>
      <c r="O614">
        <v>52.664823549967899</v>
      </c>
      <c r="P614">
        <v>-0.110318739704062</v>
      </c>
      <c r="Q614">
        <v>3.4198890312722399E-2</v>
      </c>
      <c r="R614">
        <v>0.996829763972372</v>
      </c>
      <c r="S614" t="s">
        <v>4243</v>
      </c>
      <c r="T614" t="s">
        <v>7256</v>
      </c>
      <c r="U614" t="s">
        <v>7256</v>
      </c>
      <c r="V614" t="s">
        <v>7256</v>
      </c>
      <c r="W614">
        <v>47</v>
      </c>
      <c r="X614" t="s">
        <v>7870</v>
      </c>
      <c r="Y614">
        <v>0.4631329852998653</v>
      </c>
      <c r="Z614" t="str">
        <f>HYPERLINK("Melting_Curves/meltCurve_sp_P14625_ENPL_HUMAN_.pdf", "Melting_Curves/meltCurve_sp_P14625_ENPL_HUMAN_.pdf")</f>
        <v>Melting_Curves/meltCurve_sp_P14625_ENPL_HUMAN_.pdf</v>
      </c>
      <c r="AA614" t="s">
        <v>11485</v>
      </c>
      <c r="AB614" t="s">
        <v>15040</v>
      </c>
    </row>
    <row r="615" spans="1:28" x14ac:dyDescent="0.25">
      <c r="A615" t="s">
        <v>619</v>
      </c>
      <c r="B615">
        <v>0.98018197421672304</v>
      </c>
      <c r="C615">
        <v>0.951585666042849</v>
      </c>
      <c r="D615">
        <v>0.85089362624342202</v>
      </c>
      <c r="E615">
        <v>0.67049345130733096</v>
      </c>
      <c r="F615">
        <v>0.42940679401125798</v>
      </c>
      <c r="G615">
        <v>0.18096641066085301</v>
      </c>
      <c r="H615">
        <v>7.8631469696169506E-2</v>
      </c>
      <c r="I615">
        <v>4.9941614013497601E-2</v>
      </c>
      <c r="J615">
        <v>5.6655720150755998E-2</v>
      </c>
      <c r="K615">
        <v>3.5902913078778402E-2</v>
      </c>
      <c r="L615">
        <v>819.90240501988205</v>
      </c>
      <c r="M615">
        <v>15.815868464568499</v>
      </c>
      <c r="N615">
        <v>51.909782885828299</v>
      </c>
      <c r="O615">
        <v>51.032961883958301</v>
      </c>
      <c r="P615">
        <v>-7.6675728415393704E-2</v>
      </c>
      <c r="Q615">
        <v>1.0445100548765801E-2</v>
      </c>
      <c r="R615">
        <v>0.99776411172194102</v>
      </c>
      <c r="S615" t="s">
        <v>4244</v>
      </c>
      <c r="T615" t="s">
        <v>7256</v>
      </c>
      <c r="U615" t="s">
        <v>7256</v>
      </c>
      <c r="V615" t="s">
        <v>7256</v>
      </c>
      <c r="W615">
        <v>25</v>
      </c>
      <c r="X615" t="s">
        <v>7871</v>
      </c>
      <c r="Y615">
        <v>0.42146981613604872</v>
      </c>
      <c r="Z615" t="str">
        <f>HYPERLINK("Melting_Curves/meltCurve_sp_P14735_IDE_HUMAN_.pdf", "Melting_Curves/meltCurve_sp_P14735_IDE_HUMAN_.pdf")</f>
        <v>Melting_Curves/meltCurve_sp_P14735_IDE_HUMAN_.pdf</v>
      </c>
      <c r="AA615" t="s">
        <v>11486</v>
      </c>
      <c r="AB615" t="s">
        <v>15041</v>
      </c>
    </row>
    <row r="616" spans="1:28" x14ac:dyDescent="0.25">
      <c r="A616" t="s">
        <v>620</v>
      </c>
      <c r="B616">
        <v>0.98018197421672304</v>
      </c>
      <c r="C616">
        <v>0.922007569722607</v>
      </c>
      <c r="D616">
        <v>0.92613156928050699</v>
      </c>
      <c r="E616">
        <v>0.786743714753389</v>
      </c>
      <c r="F616">
        <v>0.618294779175667</v>
      </c>
      <c r="G616">
        <v>0.45284339508633598</v>
      </c>
      <c r="H616">
        <v>0.34425261757248898</v>
      </c>
      <c r="I616">
        <v>0.36006079661178397</v>
      </c>
      <c r="J616">
        <v>0.41984522099305899</v>
      </c>
      <c r="K616">
        <v>0.51523921691337604</v>
      </c>
      <c r="L616">
        <v>1088.9276230271801</v>
      </c>
      <c r="M616">
        <v>21.265178957911399</v>
      </c>
      <c r="N616">
        <v>55.486918847066804</v>
      </c>
      <c r="O616">
        <v>50.760682895325701</v>
      </c>
      <c r="P616">
        <v>-6.2523466500962202E-2</v>
      </c>
      <c r="Q616">
        <v>0.40303286275324302</v>
      </c>
      <c r="R616">
        <v>0.95161728940991097</v>
      </c>
      <c r="S616" t="s">
        <v>4245</v>
      </c>
      <c r="T616" t="s">
        <v>7256</v>
      </c>
      <c r="U616" t="s">
        <v>7256</v>
      </c>
      <c r="V616" t="s">
        <v>7256</v>
      </c>
      <c r="W616">
        <v>5</v>
      </c>
      <c r="X616" t="s">
        <v>7872</v>
      </c>
      <c r="Y616">
        <v>0.63342476387423752</v>
      </c>
      <c r="Z616" t="str">
        <f>HYPERLINK("Melting_Curves/meltCurve_sp_P14854_CX6B1_HUMAN_.pdf", "Melting_Curves/meltCurve_sp_P14854_CX6B1_HUMAN_.pdf")</f>
        <v>Melting_Curves/meltCurve_sp_P14854_CX6B1_HUMAN_.pdf</v>
      </c>
      <c r="AA616" t="s">
        <v>11487</v>
      </c>
      <c r="AB616" t="s">
        <v>15042</v>
      </c>
    </row>
    <row r="617" spans="1:28" x14ac:dyDescent="0.25">
      <c r="A617" t="s">
        <v>621</v>
      </c>
      <c r="B617">
        <v>0.98018197421672304</v>
      </c>
      <c r="C617">
        <v>0.96692721887036603</v>
      </c>
      <c r="D617">
        <v>0.837625357562925</v>
      </c>
      <c r="E617">
        <v>0.32037914899025099</v>
      </c>
      <c r="F617">
        <v>0.19505539429663901</v>
      </c>
      <c r="G617">
        <v>0.11952728747243101</v>
      </c>
      <c r="H617">
        <v>7.9082081156228196E-2</v>
      </c>
      <c r="I617">
        <v>6.6273298078005402E-2</v>
      </c>
      <c r="J617">
        <v>7.1315492544591394E-2</v>
      </c>
      <c r="K617">
        <v>5.5882388421979699E-2</v>
      </c>
      <c r="L617">
        <v>1312.73260873395</v>
      </c>
      <c r="M617">
        <v>27.126816753203101</v>
      </c>
      <c r="N617">
        <v>48.695598340554803</v>
      </c>
      <c r="O617">
        <v>48.131738652814199</v>
      </c>
      <c r="P617">
        <v>-0.12995263773700599</v>
      </c>
      <c r="Q617">
        <v>7.7697077689325794E-2</v>
      </c>
      <c r="R617">
        <v>0.99692205747700602</v>
      </c>
      <c r="S617" t="s">
        <v>4246</v>
      </c>
      <c r="T617" t="s">
        <v>7256</v>
      </c>
      <c r="U617" t="s">
        <v>7256</v>
      </c>
      <c r="V617" t="s">
        <v>7256</v>
      </c>
      <c r="W617">
        <v>4</v>
      </c>
      <c r="X617" t="s">
        <v>7873</v>
      </c>
      <c r="Y617">
        <v>0.34258048017083209</v>
      </c>
      <c r="Z617" t="str">
        <f>HYPERLINK("Melting_Curves/meltCurve_sp_P14866_HNRPL_HUMAN_.pdf", "Melting_Curves/meltCurve_sp_P14866_HNRPL_HUMAN_.pdf")</f>
        <v>Melting_Curves/meltCurve_sp_P14866_HNRPL_HUMAN_.pdf</v>
      </c>
      <c r="AA617" t="s">
        <v>11488</v>
      </c>
      <c r="AB617" t="s">
        <v>15043</v>
      </c>
    </row>
    <row r="618" spans="1:28" x14ac:dyDescent="0.25">
      <c r="A618" t="s">
        <v>622</v>
      </c>
      <c r="B618">
        <v>0.98018197421672304</v>
      </c>
      <c r="C618">
        <v>0.90308603550312405</v>
      </c>
      <c r="D618">
        <v>0.63197285668462699</v>
      </c>
      <c r="E618">
        <v>0.31086297074104302</v>
      </c>
      <c r="F618">
        <v>0.177087942102231</v>
      </c>
      <c r="G618">
        <v>0.103328719358886</v>
      </c>
      <c r="H618">
        <v>6.0097355172576597E-2</v>
      </c>
      <c r="I618">
        <v>3.9783827304687401E-2</v>
      </c>
      <c r="J618">
        <v>4.5368250433258303E-2</v>
      </c>
      <c r="K618">
        <v>3.32306200927927E-2</v>
      </c>
      <c r="L618">
        <v>862.31650745205798</v>
      </c>
      <c r="M618">
        <v>18.180036091982501</v>
      </c>
      <c r="N618">
        <v>47.6623842079266</v>
      </c>
      <c r="O618">
        <v>46.869317701139401</v>
      </c>
      <c r="P618">
        <v>-9.2898367276374294E-2</v>
      </c>
      <c r="Q618">
        <v>4.2052961907556599E-2</v>
      </c>
      <c r="R618">
        <v>0.99843314032357999</v>
      </c>
      <c r="S618" t="s">
        <v>4247</v>
      </c>
      <c r="T618" t="s">
        <v>7256</v>
      </c>
      <c r="U618" t="s">
        <v>7256</v>
      </c>
      <c r="V618" t="s">
        <v>7256</v>
      </c>
      <c r="W618">
        <v>24</v>
      </c>
      <c r="X618" t="s">
        <v>7874</v>
      </c>
      <c r="Y618">
        <v>0.29634192822964112</v>
      </c>
      <c r="Z618" t="str">
        <f>HYPERLINK("Melting_Curves/meltCurve_sp_P14868_SYDC_HUMAN_.pdf", "Melting_Curves/meltCurve_sp_P14868_SYDC_HUMAN_.pdf")</f>
        <v>Melting_Curves/meltCurve_sp_P14868_SYDC_HUMAN_.pdf</v>
      </c>
      <c r="AA618" t="s">
        <v>11489</v>
      </c>
      <c r="AB618" t="s">
        <v>15044</v>
      </c>
    </row>
    <row r="619" spans="1:28" x14ac:dyDescent="0.25">
      <c r="A619" t="s">
        <v>623</v>
      </c>
      <c r="B619">
        <v>0.98018197421672304</v>
      </c>
      <c r="C619">
        <v>0.94053491489525398</v>
      </c>
      <c r="D619">
        <v>0.92624060917869599</v>
      </c>
      <c r="E619">
        <v>0.83684538956969601</v>
      </c>
      <c r="F619">
        <v>0.75881243012795696</v>
      </c>
      <c r="G619">
        <v>0.64697135159700803</v>
      </c>
      <c r="H619">
        <v>0.51004102347184099</v>
      </c>
      <c r="I619">
        <v>0.50875616214568398</v>
      </c>
      <c r="J619">
        <v>0.52935662002518002</v>
      </c>
      <c r="K619">
        <v>0.45172664585544903</v>
      </c>
      <c r="L619">
        <v>577.19347472610002</v>
      </c>
      <c r="M619">
        <v>10.634810479892099</v>
      </c>
      <c r="N619">
        <v>65.301287611856196</v>
      </c>
      <c r="O619">
        <v>52.460442907103499</v>
      </c>
      <c r="P619">
        <v>-2.9557395619615099E-2</v>
      </c>
      <c r="Q619">
        <v>0.41700941883508202</v>
      </c>
      <c r="R619">
        <v>0.98600419848597998</v>
      </c>
      <c r="S619" t="s">
        <v>4248</v>
      </c>
      <c r="T619" t="s">
        <v>7256</v>
      </c>
      <c r="U619" t="s">
        <v>7256</v>
      </c>
      <c r="V619" t="s">
        <v>7256</v>
      </c>
      <c r="W619">
        <v>8</v>
      </c>
      <c r="X619" t="s">
        <v>7875</v>
      </c>
      <c r="Y619">
        <v>0.71067465592344192</v>
      </c>
      <c r="Z619" t="str">
        <f>HYPERLINK("Melting_Curves/meltCurve_sp_P14920_OXDA_HUMAN_.pdf", "Melting_Curves/meltCurve_sp_P14920_OXDA_HUMAN_.pdf")</f>
        <v>Melting_Curves/meltCurve_sp_P14920_OXDA_HUMAN_.pdf</v>
      </c>
      <c r="AA619" t="s">
        <v>11490</v>
      </c>
      <c r="AB619" t="s">
        <v>15045</v>
      </c>
    </row>
    <row r="620" spans="1:28" x14ac:dyDescent="0.25">
      <c r="A620" t="s">
        <v>624</v>
      </c>
      <c r="B620">
        <v>0.98018197421672304</v>
      </c>
      <c r="C620">
        <v>0.96850710469641599</v>
      </c>
      <c r="D620">
        <v>0.89144575696813699</v>
      </c>
      <c r="E620">
        <v>0.72266158153502102</v>
      </c>
      <c r="F620">
        <v>0.53456826244759004</v>
      </c>
      <c r="G620">
        <v>0.217573563117439</v>
      </c>
      <c r="H620">
        <v>0.948824260249584</v>
      </c>
      <c r="I620">
        <v>0.14045565493361001</v>
      </c>
      <c r="J620">
        <v>2.2365036940490501</v>
      </c>
      <c r="K620">
        <v>2.1012375637570502</v>
      </c>
      <c r="L620">
        <v>3386.3878575137101</v>
      </c>
      <c r="M620">
        <v>51.7077338183487</v>
      </c>
      <c r="O620">
        <v>65.393203197273806</v>
      </c>
      <c r="P620">
        <v>9.8840115859433794E-2</v>
      </c>
      <c r="Q620">
        <v>1.5</v>
      </c>
      <c r="R620">
        <v>0.32024129622091102</v>
      </c>
      <c r="S620" t="s">
        <v>4249</v>
      </c>
      <c r="T620" t="s">
        <v>7256</v>
      </c>
      <c r="U620" t="s">
        <v>7256</v>
      </c>
      <c r="V620" t="s">
        <v>7256</v>
      </c>
      <c r="W620">
        <v>17</v>
      </c>
      <c r="X620" t="s">
        <v>7876</v>
      </c>
      <c r="Y620">
        <v>1.0746862027537869</v>
      </c>
      <c r="Z620" t="str">
        <f>HYPERLINK("Melting_Curves/meltCurve_sp_P14923_PLAK_HUMAN_.pdf", "Melting_Curves/meltCurve_sp_P14923_PLAK_HUMAN_.pdf")</f>
        <v>Melting_Curves/meltCurve_sp_P14923_PLAK_HUMAN_.pdf</v>
      </c>
      <c r="AA620" t="s">
        <v>11491</v>
      </c>
      <c r="AB620" t="s">
        <v>15046</v>
      </c>
    </row>
    <row r="621" spans="1:28" x14ac:dyDescent="0.25">
      <c r="A621" t="s">
        <v>625</v>
      </c>
      <c r="B621">
        <v>0.98018197421672304</v>
      </c>
      <c r="C621">
        <v>1.0190902884725701</v>
      </c>
      <c r="D621">
        <v>0.92762541705786306</v>
      </c>
      <c r="E621">
        <v>0.80757605067009097</v>
      </c>
      <c r="F621">
        <v>0.68696771155203595</v>
      </c>
      <c r="G621">
        <v>0.50140991726037099</v>
      </c>
      <c r="H621">
        <v>0.10918522116559901</v>
      </c>
      <c r="I621">
        <v>8.6867872672579796E-2</v>
      </c>
      <c r="J621">
        <v>9.4698683144216894E-2</v>
      </c>
      <c r="K621">
        <v>7.5524779427384794E-2</v>
      </c>
      <c r="L621">
        <v>854.36803566401295</v>
      </c>
      <c r="M621">
        <v>15.350989477655499</v>
      </c>
      <c r="N621">
        <v>55.655563256844502</v>
      </c>
      <c r="O621">
        <v>54.736725829968101</v>
      </c>
      <c r="P621">
        <v>-7.0119282704291297E-2</v>
      </c>
      <c r="Q621">
        <v>0</v>
      </c>
      <c r="R621">
        <v>0.98315323595445603</v>
      </c>
      <c r="S621" t="s">
        <v>4250</v>
      </c>
      <c r="T621" t="s">
        <v>7256</v>
      </c>
      <c r="U621" t="s">
        <v>7256</v>
      </c>
      <c r="V621" t="s">
        <v>7256</v>
      </c>
      <c r="W621">
        <v>10</v>
      </c>
      <c r="X621" t="s">
        <v>7877</v>
      </c>
      <c r="Y621">
        <v>0.53976666631610648</v>
      </c>
      <c r="Z621" t="str">
        <f>HYPERLINK("Melting_Curves/meltCurve_sp_P15104_GLNA_HUMAN_.pdf", "Melting_Curves/meltCurve_sp_P15104_GLNA_HUMAN_.pdf")</f>
        <v>Melting_Curves/meltCurve_sp_P15104_GLNA_HUMAN_.pdf</v>
      </c>
      <c r="AA621" t="s">
        <v>11492</v>
      </c>
      <c r="AB621" t="s">
        <v>15047</v>
      </c>
    </row>
    <row r="622" spans="1:28" x14ac:dyDescent="0.25">
      <c r="A622" t="s">
        <v>626</v>
      </c>
      <c r="B622">
        <v>0.98018197421672304</v>
      </c>
      <c r="C622">
        <v>1.00068953151855</v>
      </c>
      <c r="D622">
        <v>0.96217024153209796</v>
      </c>
      <c r="E622">
        <v>0.83959839156624905</v>
      </c>
      <c r="F622">
        <v>0.82392351796171703</v>
      </c>
      <c r="G622">
        <v>0.19651561624087099</v>
      </c>
      <c r="H622">
        <v>6.6904521621821103E-2</v>
      </c>
      <c r="I622">
        <v>4.61657191267765E-2</v>
      </c>
      <c r="J622">
        <v>3.4937290303766799E-2</v>
      </c>
      <c r="K622">
        <v>3.3677523306172297E-2</v>
      </c>
      <c r="L622">
        <v>2015.50676959729</v>
      </c>
      <c r="M622">
        <v>36.793594484699597</v>
      </c>
      <c r="N622">
        <v>54.886252284361802</v>
      </c>
      <c r="O622">
        <v>54.617679583191197</v>
      </c>
      <c r="P622">
        <v>-0.162559681079496</v>
      </c>
      <c r="Q622">
        <v>3.4766053159199201E-2</v>
      </c>
      <c r="R622">
        <v>0.98813071403143404</v>
      </c>
      <c r="S622" t="s">
        <v>4251</v>
      </c>
      <c r="T622" t="s">
        <v>7256</v>
      </c>
      <c r="U622" t="s">
        <v>7256</v>
      </c>
      <c r="V622" t="s">
        <v>7256</v>
      </c>
      <c r="W622">
        <v>3</v>
      </c>
      <c r="X622" t="s">
        <v>7878</v>
      </c>
      <c r="Y622">
        <v>0.51456375523349107</v>
      </c>
      <c r="Z622" t="str">
        <f>HYPERLINK("Melting_Curves/meltCurve_sp_P15121_ALDR_HUMAN_.pdf", "Melting_Curves/meltCurve_sp_P15121_ALDR_HUMAN_.pdf")</f>
        <v>Melting_Curves/meltCurve_sp_P15121_ALDR_HUMAN_.pdf</v>
      </c>
      <c r="AA622" t="s">
        <v>11493</v>
      </c>
      <c r="AB622" t="s">
        <v>15048</v>
      </c>
    </row>
    <row r="623" spans="1:28" x14ac:dyDescent="0.25">
      <c r="A623" t="s">
        <v>627</v>
      </c>
      <c r="B623">
        <v>0.98018197421672304</v>
      </c>
      <c r="C623">
        <v>0.89307633139403497</v>
      </c>
      <c r="D623">
        <v>0.86944546384967503</v>
      </c>
      <c r="E623">
        <v>0.73692606091791402</v>
      </c>
      <c r="F623">
        <v>0.57257355798868603</v>
      </c>
      <c r="G623">
        <v>0.47891245007056499</v>
      </c>
      <c r="H623">
        <v>0.33826351215618999</v>
      </c>
      <c r="I623">
        <v>0.34819865668977501</v>
      </c>
      <c r="J623">
        <v>0.328371546998101</v>
      </c>
      <c r="K623">
        <v>0.17926161078639799</v>
      </c>
      <c r="L623">
        <v>475.97526047467801</v>
      </c>
      <c r="M623">
        <v>8.7987482847803999</v>
      </c>
      <c r="N623">
        <v>56.115380651371702</v>
      </c>
      <c r="O623">
        <v>51.519882614992198</v>
      </c>
      <c r="P623">
        <v>-3.6930677851239303E-2</v>
      </c>
      <c r="Q623">
        <v>0.135713299476897</v>
      </c>
      <c r="R623">
        <v>0.98264807718796798</v>
      </c>
      <c r="S623" t="s">
        <v>4252</v>
      </c>
      <c r="T623" t="s">
        <v>7256</v>
      </c>
      <c r="U623" t="s">
        <v>7256</v>
      </c>
      <c r="V623" t="s">
        <v>7256</v>
      </c>
      <c r="W623">
        <v>8</v>
      </c>
      <c r="X623" t="s">
        <v>7879</v>
      </c>
      <c r="Y623">
        <v>0.5695315339268664</v>
      </c>
      <c r="Z623" t="str">
        <f>HYPERLINK("Melting_Curves/meltCurve_sp_P15144_AMPN_HUMAN_.pdf", "Melting_Curves/meltCurve_sp_P15144_AMPN_HUMAN_.pdf")</f>
        <v>Melting_Curves/meltCurve_sp_P15144_AMPN_HUMAN_.pdf</v>
      </c>
      <c r="AA623" t="s">
        <v>11494</v>
      </c>
      <c r="AB623" t="s">
        <v>15049</v>
      </c>
    </row>
    <row r="624" spans="1:28" x14ac:dyDescent="0.25">
      <c r="A624" t="s">
        <v>628</v>
      </c>
      <c r="B624">
        <v>0.98018197421672304</v>
      </c>
      <c r="C624">
        <v>0.95368534958870999</v>
      </c>
      <c r="D624">
        <v>0.94390275501141896</v>
      </c>
      <c r="E624">
        <v>0.712856321137461</v>
      </c>
      <c r="F624">
        <v>0.41784083399119298</v>
      </c>
      <c r="G624">
        <v>0.167690297829614</v>
      </c>
      <c r="H624">
        <v>8.8228458519476305E-2</v>
      </c>
      <c r="I624">
        <v>5.8775947175466199E-2</v>
      </c>
      <c r="J624">
        <v>6.9445682170015705E-2</v>
      </c>
      <c r="K624">
        <v>4.9918362351383402E-2</v>
      </c>
      <c r="L624">
        <v>1113.2264071203001</v>
      </c>
      <c r="M624">
        <v>21.454556485921898</v>
      </c>
      <c r="N624">
        <v>52.142949365528899</v>
      </c>
      <c r="O624">
        <v>51.443163612143302</v>
      </c>
      <c r="P624">
        <v>-9.9067410433998498E-2</v>
      </c>
      <c r="Q624">
        <v>4.9858644890758398E-2</v>
      </c>
      <c r="R624">
        <v>0.998765597606176</v>
      </c>
      <c r="S624" t="s">
        <v>4253</v>
      </c>
      <c r="T624" t="s">
        <v>7256</v>
      </c>
      <c r="U624" t="s">
        <v>7256</v>
      </c>
      <c r="V624" t="s">
        <v>7256</v>
      </c>
      <c r="W624">
        <v>16</v>
      </c>
      <c r="X624" t="s">
        <v>7880</v>
      </c>
      <c r="Y624">
        <v>0.43792886271680359</v>
      </c>
      <c r="Z624" t="str">
        <f>HYPERLINK("Melting_Curves/meltCurve_sp_P15170_2_ERF3A_HUMAN_.pdf", "Melting_Curves/meltCurve_sp_P15170_2_ERF3A_HUMAN_.pdf")</f>
        <v>Melting_Curves/meltCurve_sp_P15170_2_ERF3A_HUMAN_.pdf</v>
      </c>
      <c r="AA624" t="s">
        <v>11495</v>
      </c>
      <c r="AB624" t="s">
        <v>15050</v>
      </c>
    </row>
    <row r="625" spans="1:28" x14ac:dyDescent="0.25">
      <c r="A625" t="s">
        <v>629</v>
      </c>
      <c r="B625">
        <v>0.98018197421672304</v>
      </c>
      <c r="C625">
        <v>1.06448515326355</v>
      </c>
      <c r="D625">
        <v>0.75689704430438498</v>
      </c>
      <c r="E625">
        <v>0.61206088822014704</v>
      </c>
      <c r="F625">
        <v>0.51266678898909102</v>
      </c>
      <c r="G625">
        <v>0.32140158358638798</v>
      </c>
      <c r="H625">
        <v>0.24428376319299699</v>
      </c>
      <c r="I625">
        <v>0.24833886070595701</v>
      </c>
      <c r="J625">
        <v>0.312966558978091</v>
      </c>
      <c r="K625">
        <v>0.123263718362657</v>
      </c>
      <c r="L625">
        <v>701.82769059903501</v>
      </c>
      <c r="M625">
        <v>13.8871071458593</v>
      </c>
      <c r="N625">
        <v>52.405024120260101</v>
      </c>
      <c r="O625">
        <v>49.524696198675201</v>
      </c>
      <c r="P625">
        <v>-5.6430536564050199E-2</v>
      </c>
      <c r="Q625">
        <v>0.19513147233569</v>
      </c>
      <c r="R625">
        <v>0.95697252448709202</v>
      </c>
      <c r="S625" t="s">
        <v>4254</v>
      </c>
      <c r="T625" t="s">
        <v>7256</v>
      </c>
      <c r="U625" t="s">
        <v>7256</v>
      </c>
      <c r="V625" t="s">
        <v>7256</v>
      </c>
      <c r="W625">
        <v>10</v>
      </c>
      <c r="X625" t="s">
        <v>7881</v>
      </c>
      <c r="Y625">
        <v>0.4993248526969844</v>
      </c>
      <c r="Z625" t="str">
        <f>HYPERLINK("Melting_Curves/meltCurve_sp_P15289_2_ARSA_HUMAN_.pdf", "Melting_Curves/meltCurve_sp_P15289_2_ARSA_HUMAN_.pdf")</f>
        <v>Melting_Curves/meltCurve_sp_P15289_2_ARSA_HUMAN_.pdf</v>
      </c>
      <c r="AA625" t="s">
        <v>11496</v>
      </c>
      <c r="AB625" t="s">
        <v>15051</v>
      </c>
    </row>
    <row r="626" spans="1:28" x14ac:dyDescent="0.25">
      <c r="A626" t="s">
        <v>630</v>
      </c>
      <c r="B626">
        <v>0.98018197421672304</v>
      </c>
      <c r="C626">
        <v>0.92851159261576899</v>
      </c>
      <c r="D626">
        <v>0.877730093818333</v>
      </c>
      <c r="E626">
        <v>0.74846309017908796</v>
      </c>
      <c r="F626">
        <v>0.62007092330869196</v>
      </c>
      <c r="G626">
        <v>0.46288069603704302</v>
      </c>
      <c r="H626">
        <v>0.37077553909084199</v>
      </c>
      <c r="I626">
        <v>0.41413437050198398</v>
      </c>
      <c r="J626">
        <v>0.37770919816718002</v>
      </c>
      <c r="K626">
        <v>0.22986919207046899</v>
      </c>
      <c r="L626">
        <v>552.52984707242001</v>
      </c>
      <c r="M626">
        <v>10.4318692426534</v>
      </c>
      <c r="N626">
        <v>56.642207666752697</v>
      </c>
      <c r="O626">
        <v>51.130191237049303</v>
      </c>
      <c r="P626">
        <v>-3.8476557471172103E-2</v>
      </c>
      <c r="Q626">
        <v>0.24596474471520899</v>
      </c>
      <c r="R626">
        <v>0.978689821387831</v>
      </c>
      <c r="S626" t="s">
        <v>4255</v>
      </c>
      <c r="T626" t="s">
        <v>7256</v>
      </c>
      <c r="U626" t="s">
        <v>7256</v>
      </c>
      <c r="V626" t="s">
        <v>7256</v>
      </c>
      <c r="W626">
        <v>10</v>
      </c>
      <c r="X626" t="s">
        <v>7882</v>
      </c>
      <c r="Y626">
        <v>0.59674327046164621</v>
      </c>
      <c r="Z626" t="str">
        <f>HYPERLINK("Melting_Curves/meltCurve_sp_P15289_ARSA_HUMAN_.pdf", "Melting_Curves/meltCurve_sp_P15289_ARSA_HUMAN_.pdf")</f>
        <v>Melting_Curves/meltCurve_sp_P15289_ARSA_HUMAN_.pdf</v>
      </c>
      <c r="AA626" t="s">
        <v>11496</v>
      </c>
      <c r="AB626" t="s">
        <v>15052</v>
      </c>
    </row>
    <row r="627" spans="1:28" x14ac:dyDescent="0.25">
      <c r="A627" t="s">
        <v>631</v>
      </c>
      <c r="B627">
        <v>0.98018197421672304</v>
      </c>
      <c r="C627">
        <v>0.87519971126568397</v>
      </c>
      <c r="D627">
        <v>0.87434467737683996</v>
      </c>
      <c r="E627">
        <v>0.75255328607249905</v>
      </c>
      <c r="F627">
        <v>0.695363930921166</v>
      </c>
      <c r="G627">
        <v>0.16834291176018501</v>
      </c>
      <c r="H627">
        <v>8.3987113286935297E-2</v>
      </c>
      <c r="I627">
        <v>6.5051494222778394E-2</v>
      </c>
      <c r="J627">
        <v>8.1484823172707194E-2</v>
      </c>
      <c r="K627">
        <v>6.9329462334561207E-2</v>
      </c>
      <c r="L627">
        <v>1067.12968940219</v>
      </c>
      <c r="M627">
        <v>19.9111967611586</v>
      </c>
      <c r="N627">
        <v>53.775853315497002</v>
      </c>
      <c r="O627">
        <v>53.062656213799499</v>
      </c>
      <c r="P627">
        <v>-9.0765947680219505E-2</v>
      </c>
      <c r="Q627">
        <v>3.2479857394801102E-2</v>
      </c>
      <c r="R627">
        <v>0.96333579432307703</v>
      </c>
      <c r="S627" t="s">
        <v>4256</v>
      </c>
      <c r="T627" t="s">
        <v>7256</v>
      </c>
      <c r="U627" t="s">
        <v>7256</v>
      </c>
      <c r="V627" t="s">
        <v>7256</v>
      </c>
      <c r="W627">
        <v>28</v>
      </c>
      <c r="X627" t="s">
        <v>7883</v>
      </c>
      <c r="Y627">
        <v>0.48423238514525319</v>
      </c>
      <c r="Z627" t="str">
        <f>HYPERLINK("Melting_Curves/meltCurve_sp_P15311_EZRI_HUMAN_.pdf", "Melting_Curves/meltCurve_sp_P15311_EZRI_HUMAN_.pdf")</f>
        <v>Melting_Curves/meltCurve_sp_P15311_EZRI_HUMAN_.pdf</v>
      </c>
      <c r="AA627" t="s">
        <v>11497</v>
      </c>
      <c r="AB627" t="s">
        <v>15053</v>
      </c>
    </row>
    <row r="628" spans="1:28" x14ac:dyDescent="0.25">
      <c r="A628" t="s">
        <v>632</v>
      </c>
      <c r="B628">
        <v>0.98018197421672304</v>
      </c>
      <c r="C628">
        <v>1.0157749384260899</v>
      </c>
      <c r="D628">
        <v>0.97013025202194103</v>
      </c>
      <c r="E628">
        <v>0.83267630896951395</v>
      </c>
      <c r="F628">
        <v>0.84363865243194502</v>
      </c>
      <c r="G628">
        <v>0.516840462651322</v>
      </c>
      <c r="H628">
        <v>0.21974599877196399</v>
      </c>
      <c r="I628">
        <v>0.17406359619939499</v>
      </c>
      <c r="J628">
        <v>9.0766444946813199E-2</v>
      </c>
      <c r="K628">
        <v>6.9399584208946305E-2</v>
      </c>
      <c r="L628">
        <v>973.60177767627499</v>
      </c>
      <c r="M628">
        <v>17.096331690841499</v>
      </c>
      <c r="N628">
        <v>57.112810776784798</v>
      </c>
      <c r="O628">
        <v>56.185945344797197</v>
      </c>
      <c r="P628">
        <v>-7.4243780271923604E-2</v>
      </c>
      <c r="Q628">
        <v>2.4069867913010402E-2</v>
      </c>
      <c r="R628">
        <v>0.99051695172141496</v>
      </c>
      <c r="S628" t="s">
        <v>4257</v>
      </c>
      <c r="T628" t="s">
        <v>7256</v>
      </c>
      <c r="U628" t="s">
        <v>7256</v>
      </c>
      <c r="V628" t="s">
        <v>7256</v>
      </c>
      <c r="W628">
        <v>10</v>
      </c>
      <c r="X628" t="s">
        <v>7884</v>
      </c>
      <c r="Y628">
        <v>0.58952142611442016</v>
      </c>
      <c r="Z628" t="str">
        <f>HYPERLINK("Melting_Curves/meltCurve_sp_P15374_UCHL3_HUMAN_.pdf", "Melting_Curves/meltCurve_sp_P15374_UCHL3_HUMAN_.pdf")</f>
        <v>Melting_Curves/meltCurve_sp_P15374_UCHL3_HUMAN_.pdf</v>
      </c>
      <c r="AA628" t="s">
        <v>11498</v>
      </c>
      <c r="AB628" t="s">
        <v>15054</v>
      </c>
    </row>
    <row r="629" spans="1:28" x14ac:dyDescent="0.25">
      <c r="A629" t="s">
        <v>633</v>
      </c>
      <c r="B629">
        <v>0.98018197421672304</v>
      </c>
      <c r="C629">
        <v>0.972009346747579</v>
      </c>
      <c r="D629">
        <v>0.93390778568385102</v>
      </c>
      <c r="E629">
        <v>0.46500760549487602</v>
      </c>
      <c r="F629">
        <v>9.7921923012629905E-2</v>
      </c>
      <c r="G629">
        <v>5.9355957608205799E-2</v>
      </c>
      <c r="H629">
        <v>3.3789925261176502E-2</v>
      </c>
      <c r="I629">
        <v>2.5260812406531E-2</v>
      </c>
      <c r="J629">
        <v>2.6153486857532701E-2</v>
      </c>
      <c r="K629">
        <v>1.8135180277485001E-2</v>
      </c>
      <c r="L629">
        <v>1784.7628138438999</v>
      </c>
      <c r="M629">
        <v>35.936129132498998</v>
      </c>
      <c r="N629">
        <v>49.742712068537102</v>
      </c>
      <c r="O629">
        <v>49.511820770507001</v>
      </c>
      <c r="P629">
        <v>-0.17649097546390599</v>
      </c>
      <c r="Q629">
        <v>2.7345304899598601E-2</v>
      </c>
      <c r="R629">
        <v>0.99862263351950697</v>
      </c>
      <c r="S629" t="s">
        <v>4258</v>
      </c>
      <c r="T629" t="s">
        <v>7256</v>
      </c>
      <c r="U629" t="s">
        <v>7256</v>
      </c>
      <c r="V629" t="s">
        <v>7256</v>
      </c>
      <c r="W629">
        <v>10</v>
      </c>
      <c r="X629" t="s">
        <v>7885</v>
      </c>
      <c r="Y629">
        <v>0.34484662639753849</v>
      </c>
      <c r="Z629" t="str">
        <f>HYPERLINK("Melting_Curves/meltCurve_sp_P15428_PGDH_HUMAN_.pdf", "Melting_Curves/meltCurve_sp_P15428_PGDH_HUMAN_.pdf")</f>
        <v>Melting_Curves/meltCurve_sp_P15428_PGDH_HUMAN_.pdf</v>
      </c>
      <c r="AA629" t="s">
        <v>11499</v>
      </c>
      <c r="AB629" t="s">
        <v>15055</v>
      </c>
    </row>
    <row r="630" spans="1:28" x14ac:dyDescent="0.25">
      <c r="A630" t="s">
        <v>634</v>
      </c>
      <c r="B630">
        <v>0.98018197421672304</v>
      </c>
      <c r="C630">
        <v>0.91663400961313601</v>
      </c>
      <c r="D630">
        <v>0.821175034780812</v>
      </c>
      <c r="E630">
        <v>0.64258148072677301</v>
      </c>
      <c r="F630">
        <v>0.56981092487274998</v>
      </c>
      <c r="G630">
        <v>0.380036709655872</v>
      </c>
      <c r="H630">
        <v>0.29300048456900202</v>
      </c>
      <c r="I630">
        <v>0.27236951621578598</v>
      </c>
      <c r="J630">
        <v>0.36544556587743698</v>
      </c>
      <c r="K630">
        <v>0.253408805489231</v>
      </c>
      <c r="L630">
        <v>620.25005334047103</v>
      </c>
      <c r="M630">
        <v>12.254652197212399</v>
      </c>
      <c r="N630">
        <v>53.630818225657798</v>
      </c>
      <c r="O630">
        <v>49.322280132579202</v>
      </c>
      <c r="P630">
        <v>-4.6653936905536798E-2</v>
      </c>
      <c r="Q630">
        <v>0.249079623290412</v>
      </c>
      <c r="R630">
        <v>0.98239143427907005</v>
      </c>
      <c r="S630" t="s">
        <v>4259</v>
      </c>
      <c r="T630" t="s">
        <v>7256</v>
      </c>
      <c r="U630" t="s">
        <v>7256</v>
      </c>
      <c r="V630" t="s">
        <v>7256</v>
      </c>
      <c r="W630">
        <v>1</v>
      </c>
      <c r="X630" t="s">
        <v>7886</v>
      </c>
      <c r="Y630">
        <v>0.53903468186622139</v>
      </c>
      <c r="Z630" t="str">
        <f>HYPERLINK("Melting_Curves/meltCurve_sp_P15529_16_MCP_HUMAN_.pdf", "Melting_Curves/meltCurve_sp_P15529_16_MCP_HUMAN_.pdf")</f>
        <v>Melting_Curves/meltCurve_sp_P15529_16_MCP_HUMAN_.pdf</v>
      </c>
      <c r="AA630" t="s">
        <v>11500</v>
      </c>
      <c r="AB630" t="s">
        <v>15056</v>
      </c>
    </row>
    <row r="631" spans="1:28" x14ac:dyDescent="0.25">
      <c r="A631" t="s">
        <v>635</v>
      </c>
      <c r="B631">
        <v>0.98018197421672304</v>
      </c>
      <c r="C631">
        <v>1.0406936138649701</v>
      </c>
      <c r="D631">
        <v>0.90194209890861299</v>
      </c>
      <c r="E631">
        <v>0.84440884125359905</v>
      </c>
      <c r="F631">
        <v>0.74759965214179602</v>
      </c>
      <c r="G631">
        <v>0.60445633091774897</v>
      </c>
      <c r="H631">
        <v>0.51844648057843201</v>
      </c>
      <c r="I631">
        <v>0.37187949447840901</v>
      </c>
      <c r="J631">
        <v>0.82401056122838301</v>
      </c>
      <c r="K631">
        <v>0.34090107981179002</v>
      </c>
      <c r="L631">
        <v>825.74481779398604</v>
      </c>
      <c r="M631">
        <v>15.723740351299799</v>
      </c>
      <c r="O631">
        <v>51.688376254465503</v>
      </c>
      <c r="P631">
        <v>-3.8772921452709302E-2</v>
      </c>
      <c r="Q631">
        <v>0.49021263261403802</v>
      </c>
      <c r="R631">
        <v>0.71926097732789696</v>
      </c>
      <c r="S631" t="s">
        <v>4260</v>
      </c>
      <c r="T631" t="s">
        <v>7256</v>
      </c>
      <c r="U631" t="s">
        <v>7256</v>
      </c>
      <c r="V631" t="s">
        <v>7256</v>
      </c>
      <c r="W631">
        <v>10</v>
      </c>
      <c r="X631" t="s">
        <v>7887</v>
      </c>
      <c r="Y631">
        <v>0.71332116409052782</v>
      </c>
      <c r="Z631" t="str">
        <f>HYPERLINK("Melting_Curves/meltCurve_sp_P15531_NDKA_HUMAN_.pdf", "Melting_Curves/meltCurve_sp_P15531_NDKA_HUMAN_.pdf")</f>
        <v>Melting_Curves/meltCurve_sp_P15531_NDKA_HUMAN_.pdf</v>
      </c>
      <c r="AA631" t="s">
        <v>11501</v>
      </c>
      <c r="AB631" t="s">
        <v>15057</v>
      </c>
    </row>
    <row r="632" spans="1:28" x14ac:dyDescent="0.25">
      <c r="A632" t="s">
        <v>636</v>
      </c>
      <c r="B632">
        <v>0.98018197421672304</v>
      </c>
      <c r="C632">
        <v>0.83951276652031903</v>
      </c>
      <c r="D632">
        <v>0.74053235418103402</v>
      </c>
      <c r="E632">
        <v>0.34488135966702999</v>
      </c>
      <c r="F632">
        <v>0.23887795873920201</v>
      </c>
      <c r="G632">
        <v>0.17524129584109399</v>
      </c>
      <c r="H632">
        <v>0.135212849916658</v>
      </c>
      <c r="I632">
        <v>0.105036885203205</v>
      </c>
      <c r="J632">
        <v>0.111126406779798</v>
      </c>
      <c r="K632">
        <v>0.134767402342238</v>
      </c>
      <c r="L632">
        <v>859.11724126178899</v>
      </c>
      <c r="M632">
        <v>18.050130322320001</v>
      </c>
      <c r="N632">
        <v>48.296606693165899</v>
      </c>
      <c r="O632">
        <v>47.023529637490697</v>
      </c>
      <c r="P632">
        <v>-8.4916581581672701E-2</v>
      </c>
      <c r="Q632">
        <v>0.115157376481547</v>
      </c>
      <c r="R632">
        <v>0.99295648566369399</v>
      </c>
      <c r="S632" t="s">
        <v>4261</v>
      </c>
      <c r="T632" t="s">
        <v>7256</v>
      </c>
      <c r="U632" t="s">
        <v>7256</v>
      </c>
      <c r="V632" t="s">
        <v>7256</v>
      </c>
      <c r="W632">
        <v>5</v>
      </c>
      <c r="X632" t="s">
        <v>7888</v>
      </c>
      <c r="Y632">
        <v>0.35502452034862941</v>
      </c>
      <c r="Z632" t="str">
        <f>HYPERLINK("Melting_Curves/meltCurve_sp_P15735_2_PHKG2_HUMAN_.pdf", "Melting_Curves/meltCurve_sp_P15735_2_PHKG2_HUMAN_.pdf")</f>
        <v>Melting_Curves/meltCurve_sp_P15735_2_PHKG2_HUMAN_.pdf</v>
      </c>
      <c r="AA632" t="s">
        <v>11502</v>
      </c>
      <c r="AB632" t="s">
        <v>15058</v>
      </c>
    </row>
    <row r="633" spans="1:28" x14ac:dyDescent="0.25">
      <c r="A633" t="s">
        <v>637</v>
      </c>
      <c r="B633">
        <v>0.98018197421672304</v>
      </c>
      <c r="C633">
        <v>0.92461761999215497</v>
      </c>
      <c r="D633">
        <v>0.88131204711605704</v>
      </c>
      <c r="E633">
        <v>0.73796169573664205</v>
      </c>
      <c r="F633">
        <v>0.55793330711501699</v>
      </c>
      <c r="G633">
        <v>0.41415010555610299</v>
      </c>
      <c r="H633">
        <v>0.29445171943873899</v>
      </c>
      <c r="I633">
        <v>0.26238249803813501</v>
      </c>
      <c r="J633">
        <v>0.24997959302676401</v>
      </c>
      <c r="K633">
        <v>0.15353353920288099</v>
      </c>
      <c r="L633">
        <v>590.72803229282704</v>
      </c>
      <c r="M633">
        <v>11.085681650404</v>
      </c>
      <c r="N633">
        <v>54.799508191515201</v>
      </c>
      <c r="O633">
        <v>51.641594858793802</v>
      </c>
      <c r="P633">
        <v>-4.66105302635869E-2</v>
      </c>
      <c r="Q633">
        <v>0.13176109543787501</v>
      </c>
      <c r="R633">
        <v>0.99521522822320796</v>
      </c>
      <c r="S633" t="s">
        <v>4262</v>
      </c>
      <c r="T633" t="s">
        <v>7256</v>
      </c>
      <c r="U633" t="s">
        <v>7256</v>
      </c>
      <c r="V633" t="s">
        <v>7256</v>
      </c>
      <c r="W633">
        <v>4</v>
      </c>
      <c r="X633" t="s">
        <v>7889</v>
      </c>
      <c r="Y633">
        <v>0.54249554899176333</v>
      </c>
      <c r="Z633" t="str">
        <f>HYPERLINK("Melting_Curves/meltCurve_sp_P15848_ARSB_HUMAN_.pdf", "Melting_Curves/meltCurve_sp_P15848_ARSB_HUMAN_.pdf")</f>
        <v>Melting_Curves/meltCurve_sp_P15848_ARSB_HUMAN_.pdf</v>
      </c>
      <c r="AA633" t="s">
        <v>11503</v>
      </c>
      <c r="AB633" t="s">
        <v>15059</v>
      </c>
    </row>
    <row r="634" spans="1:28" x14ac:dyDescent="0.25">
      <c r="A634" t="s">
        <v>638</v>
      </c>
      <c r="B634">
        <v>0.98018197421672304</v>
      </c>
      <c r="C634">
        <v>0.90367896868332698</v>
      </c>
      <c r="D634">
        <v>0.86914586620139</v>
      </c>
      <c r="E634">
        <v>0.57479507721694001</v>
      </c>
      <c r="F634">
        <v>0.412241739517203</v>
      </c>
      <c r="G634">
        <v>0.22759580032242599</v>
      </c>
      <c r="H634">
        <v>0.522791685599446</v>
      </c>
      <c r="I634">
        <v>0.195242940573117</v>
      </c>
      <c r="J634">
        <v>1.1575399086571501</v>
      </c>
      <c r="K634">
        <v>0.87085218348881199</v>
      </c>
      <c r="L634">
        <v>2305.7486075613901</v>
      </c>
      <c r="M634">
        <v>49.3649966027955</v>
      </c>
      <c r="O634">
        <v>46.6317110581397</v>
      </c>
      <c r="P634">
        <v>-0.115478979553684</v>
      </c>
      <c r="Q634">
        <v>0.56366025749784199</v>
      </c>
      <c r="R634">
        <v>0.26073331934152799</v>
      </c>
      <c r="S634" t="s">
        <v>4263</v>
      </c>
      <c r="T634" t="s">
        <v>7256</v>
      </c>
      <c r="U634" t="s">
        <v>7256</v>
      </c>
      <c r="V634" t="s">
        <v>7256</v>
      </c>
      <c r="W634">
        <v>70</v>
      </c>
      <c r="X634" t="s">
        <v>7890</v>
      </c>
      <c r="Y634">
        <v>0.66215316848599182</v>
      </c>
      <c r="Z634" t="str">
        <f>HYPERLINK("Melting_Curves/meltCurve_sp_P15924_DESP_HUMAN_.pdf", "Melting_Curves/meltCurve_sp_P15924_DESP_HUMAN_.pdf")</f>
        <v>Melting_Curves/meltCurve_sp_P15924_DESP_HUMAN_.pdf</v>
      </c>
      <c r="AA634" t="s">
        <v>11504</v>
      </c>
      <c r="AB634" t="s">
        <v>15060</v>
      </c>
    </row>
    <row r="635" spans="1:28" x14ac:dyDescent="0.25">
      <c r="A635" t="s">
        <v>639</v>
      </c>
      <c r="B635">
        <v>0.98018197421672304</v>
      </c>
      <c r="C635">
        <v>1.05793831726648</v>
      </c>
      <c r="D635">
        <v>0.973775626514915</v>
      </c>
      <c r="E635">
        <v>0.84699853491605004</v>
      </c>
      <c r="F635">
        <v>0.73311375168876403</v>
      </c>
      <c r="G635">
        <v>0.46296299643116101</v>
      </c>
      <c r="H635">
        <v>0.27152209059736199</v>
      </c>
      <c r="I635">
        <v>0.26499160380417403</v>
      </c>
      <c r="J635">
        <v>0.47207512763287501</v>
      </c>
      <c r="K635">
        <v>0.34506766023379098</v>
      </c>
      <c r="L635">
        <v>1317.82653585875</v>
      </c>
      <c r="M635">
        <v>24.674620237370402</v>
      </c>
      <c r="N635">
        <v>55.887779997787803</v>
      </c>
      <c r="O635">
        <v>53.061110793521699</v>
      </c>
      <c r="P635">
        <v>-7.7579880340115703E-2</v>
      </c>
      <c r="Q635">
        <v>0.33268850071288902</v>
      </c>
      <c r="R635">
        <v>0.95361557951884901</v>
      </c>
      <c r="S635" t="s">
        <v>4264</v>
      </c>
      <c r="T635" t="s">
        <v>7256</v>
      </c>
      <c r="U635" t="s">
        <v>7256</v>
      </c>
      <c r="V635" t="s">
        <v>7256</v>
      </c>
      <c r="W635">
        <v>2</v>
      </c>
      <c r="X635" t="s">
        <v>7891</v>
      </c>
      <c r="Y635">
        <v>0.63724735425724244</v>
      </c>
      <c r="Z635" t="str">
        <f>HYPERLINK("Melting_Curves/meltCurve_sp_P15927_RFA2_HUMAN_.pdf", "Melting_Curves/meltCurve_sp_P15927_RFA2_HUMAN_.pdf")</f>
        <v>Melting_Curves/meltCurve_sp_P15927_RFA2_HUMAN_.pdf</v>
      </c>
      <c r="AA635" t="s">
        <v>11505</v>
      </c>
      <c r="AB635" t="s">
        <v>15061</v>
      </c>
    </row>
    <row r="636" spans="1:28" x14ac:dyDescent="0.25">
      <c r="A636" t="s">
        <v>640</v>
      </c>
      <c r="B636">
        <v>0.98018197421672304</v>
      </c>
      <c r="C636">
        <v>1.0523063177301</v>
      </c>
      <c r="D636">
        <v>0.90451953121272899</v>
      </c>
      <c r="E636">
        <v>0.43718034954455798</v>
      </c>
      <c r="F636">
        <v>0.142651639228078</v>
      </c>
      <c r="G636">
        <v>7.2487354676844806E-2</v>
      </c>
      <c r="H636">
        <v>4.2041787804946898E-2</v>
      </c>
      <c r="I636">
        <v>3.2266728877580697E-2</v>
      </c>
      <c r="J636">
        <v>5.4750697189149398E-2</v>
      </c>
      <c r="K636">
        <v>2.3562576373685199E-2</v>
      </c>
      <c r="L636">
        <v>1539.5972292388301</v>
      </c>
      <c r="M636">
        <v>31.148082445387299</v>
      </c>
      <c r="N636">
        <v>49.5636822038365</v>
      </c>
      <c r="O636">
        <v>49.225918661831898</v>
      </c>
      <c r="P636">
        <v>-0.15173994356680601</v>
      </c>
      <c r="Q636">
        <v>4.0776105820239397E-2</v>
      </c>
      <c r="R636">
        <v>0.99707401245145499</v>
      </c>
      <c r="S636" t="s">
        <v>4265</v>
      </c>
      <c r="T636" t="s">
        <v>7256</v>
      </c>
      <c r="U636" t="s">
        <v>7256</v>
      </c>
      <c r="V636" t="s">
        <v>7256</v>
      </c>
      <c r="W636">
        <v>12</v>
      </c>
      <c r="X636" t="s">
        <v>7892</v>
      </c>
      <c r="Y636">
        <v>0.34768486074403249</v>
      </c>
      <c r="Z636" t="str">
        <f>HYPERLINK("Melting_Curves/meltCurve_sp_P16118_F261_HUMAN_.pdf", "Melting_Curves/meltCurve_sp_P16118_F261_HUMAN_.pdf")</f>
        <v>Melting_Curves/meltCurve_sp_P16118_F261_HUMAN_.pdf</v>
      </c>
      <c r="AA636" t="s">
        <v>11506</v>
      </c>
      <c r="AB636" t="s">
        <v>15062</v>
      </c>
    </row>
    <row r="637" spans="1:28" x14ac:dyDescent="0.25">
      <c r="A637" t="s">
        <v>641</v>
      </c>
      <c r="B637">
        <v>0.98018197421672304</v>
      </c>
      <c r="C637">
        <v>1.0230962030795301</v>
      </c>
      <c r="D637">
        <v>0.96719707620154105</v>
      </c>
      <c r="E637">
        <v>0.81001947254914097</v>
      </c>
      <c r="F637">
        <v>0.74628921242673396</v>
      </c>
      <c r="G637">
        <v>0.40294007310862001</v>
      </c>
      <c r="H637">
        <v>0.154332840844535</v>
      </c>
      <c r="I637">
        <v>0.112419082018258</v>
      </c>
      <c r="J637">
        <v>8.3328793826483893E-2</v>
      </c>
      <c r="K637">
        <v>5.7000118467716403E-2</v>
      </c>
      <c r="L637">
        <v>963.530378927877</v>
      </c>
      <c r="M637">
        <v>17.377061025191299</v>
      </c>
      <c r="N637">
        <v>55.6057344847937</v>
      </c>
      <c r="O637">
        <v>54.729715557334302</v>
      </c>
      <c r="P637">
        <v>-7.7477016059576007E-2</v>
      </c>
      <c r="Q637">
        <v>2.3988075033640199E-2</v>
      </c>
      <c r="R637">
        <v>0.99407372269771699</v>
      </c>
      <c r="S637" t="s">
        <v>4266</v>
      </c>
      <c r="T637" t="s">
        <v>7256</v>
      </c>
      <c r="U637" t="s">
        <v>7256</v>
      </c>
      <c r="V637" t="s">
        <v>7256</v>
      </c>
      <c r="W637">
        <v>23</v>
      </c>
      <c r="X637" t="s">
        <v>7893</v>
      </c>
      <c r="Y637">
        <v>0.54205374181461485</v>
      </c>
      <c r="Z637" t="str">
        <f>HYPERLINK("Melting_Curves/meltCurve_sp_P16152_CBR1_HUMAN_.pdf", "Melting_Curves/meltCurve_sp_P16152_CBR1_HUMAN_.pdf")</f>
        <v>Melting_Curves/meltCurve_sp_P16152_CBR1_HUMAN_.pdf</v>
      </c>
      <c r="AA637" t="s">
        <v>11507</v>
      </c>
      <c r="AB637" t="s">
        <v>15063</v>
      </c>
    </row>
    <row r="638" spans="1:28" x14ac:dyDescent="0.25">
      <c r="A638" t="s">
        <v>642</v>
      </c>
      <c r="B638">
        <v>0.98018197421672304</v>
      </c>
      <c r="C638">
        <v>0.995255900348617</v>
      </c>
      <c r="D638">
        <v>0.85796177145199004</v>
      </c>
      <c r="E638">
        <v>0.513156209217559</v>
      </c>
      <c r="F638">
        <v>0.32816880039213098</v>
      </c>
      <c r="G638">
        <v>0.20621119143789199</v>
      </c>
      <c r="H638">
        <v>6.73204030157009E-2</v>
      </c>
      <c r="I638">
        <v>4.4229302269143803E-2</v>
      </c>
      <c r="J638">
        <v>3.8337173152025901E-2</v>
      </c>
      <c r="K638">
        <v>3.1592492948008803E-2</v>
      </c>
      <c r="L638">
        <v>848.28140580706497</v>
      </c>
      <c r="M638">
        <v>16.816327932445802</v>
      </c>
      <c r="N638">
        <v>50.625530702593601</v>
      </c>
      <c r="O638">
        <v>49.746780403525797</v>
      </c>
      <c r="P638">
        <v>-8.2041483766690598E-2</v>
      </c>
      <c r="Q638">
        <v>2.9268292224554699E-2</v>
      </c>
      <c r="R638">
        <v>0.99521903020250102</v>
      </c>
      <c r="S638" t="s">
        <v>4267</v>
      </c>
      <c r="T638" t="s">
        <v>7256</v>
      </c>
      <c r="U638" t="s">
        <v>7256</v>
      </c>
      <c r="V638" t="s">
        <v>7256</v>
      </c>
      <c r="W638">
        <v>18</v>
      </c>
      <c r="X638" t="s">
        <v>7894</v>
      </c>
      <c r="Y638">
        <v>0.38586036882637698</v>
      </c>
      <c r="Z638" t="str">
        <f>HYPERLINK("Melting_Curves/meltCurve_sp_P16219_ACADS_HUMAN_.pdf", "Melting_Curves/meltCurve_sp_P16219_ACADS_HUMAN_.pdf")</f>
        <v>Melting_Curves/meltCurve_sp_P16219_ACADS_HUMAN_.pdf</v>
      </c>
      <c r="AA638" t="s">
        <v>11508</v>
      </c>
      <c r="AB638" t="s">
        <v>15064</v>
      </c>
    </row>
    <row r="639" spans="1:28" x14ac:dyDescent="0.25">
      <c r="A639" t="s">
        <v>643</v>
      </c>
      <c r="B639">
        <v>0.98018197421672304</v>
      </c>
      <c r="C639">
        <v>0.87575526282562799</v>
      </c>
      <c r="D639">
        <v>0.64542559677841604</v>
      </c>
      <c r="E639">
        <v>0.28135100857290901</v>
      </c>
      <c r="F639">
        <v>0.142792425626905</v>
      </c>
      <c r="G639">
        <v>9.0255944979550501E-2</v>
      </c>
      <c r="H639">
        <v>6.1624710739805702E-2</v>
      </c>
      <c r="I639">
        <v>5.3670537087726802E-2</v>
      </c>
      <c r="J639">
        <v>5.29025608390047E-2</v>
      </c>
      <c r="K639">
        <v>3.43166449740816E-2</v>
      </c>
      <c r="L639">
        <v>923.83221646440495</v>
      </c>
      <c r="M639">
        <v>19.578888657684999</v>
      </c>
      <c r="N639">
        <v>47.423985556534497</v>
      </c>
      <c r="O639">
        <v>46.701148177223303</v>
      </c>
      <c r="P639">
        <v>-9.9891897800373802E-2</v>
      </c>
      <c r="Q639">
        <v>4.6952820734004801E-2</v>
      </c>
      <c r="R639">
        <v>0.999591974958565</v>
      </c>
      <c r="S639" t="s">
        <v>4268</v>
      </c>
      <c r="T639" t="s">
        <v>7256</v>
      </c>
      <c r="U639" t="s">
        <v>7256</v>
      </c>
      <c r="V639" t="s">
        <v>7256</v>
      </c>
      <c r="W639">
        <v>10</v>
      </c>
      <c r="X639" t="s">
        <v>7895</v>
      </c>
      <c r="Y639">
        <v>0.28972706761504929</v>
      </c>
      <c r="Z639" t="str">
        <f>HYPERLINK("Melting_Curves/meltCurve_sp_P16278_3_BGAL_HUMAN_.pdf", "Melting_Curves/meltCurve_sp_P16278_3_BGAL_HUMAN_.pdf")</f>
        <v>Melting_Curves/meltCurve_sp_P16278_3_BGAL_HUMAN_.pdf</v>
      </c>
      <c r="AA639" t="s">
        <v>11509</v>
      </c>
      <c r="AB639" t="s">
        <v>15065</v>
      </c>
    </row>
    <row r="640" spans="1:28" x14ac:dyDescent="0.25">
      <c r="A640" t="s">
        <v>644</v>
      </c>
      <c r="B640">
        <v>0.98018197421672304</v>
      </c>
      <c r="C640">
        <v>0.83742095604683697</v>
      </c>
      <c r="D640">
        <v>0.63905552334381899</v>
      </c>
      <c r="E640">
        <v>0.64801472083145795</v>
      </c>
      <c r="F640">
        <v>0.36671093855165399</v>
      </c>
      <c r="G640">
        <v>0.26874876277176002</v>
      </c>
      <c r="H640">
        <v>4.9424510538369097E-2</v>
      </c>
      <c r="I640">
        <v>6.7490786098391195E-2</v>
      </c>
      <c r="J640">
        <v>0</v>
      </c>
      <c r="K640">
        <v>5.8677306276462803E-2</v>
      </c>
      <c r="L640">
        <v>552.872266026425</v>
      </c>
      <c r="M640">
        <v>10.950466565933899</v>
      </c>
      <c r="N640">
        <v>50.488466634531001</v>
      </c>
      <c r="O640">
        <v>48.892312970430702</v>
      </c>
      <c r="P640">
        <v>-5.6012005129698401E-2</v>
      </c>
      <c r="Q640">
        <v>0</v>
      </c>
      <c r="R640">
        <v>0.96434013544964703</v>
      </c>
      <c r="S640" t="s">
        <v>4269</v>
      </c>
      <c r="T640" t="s">
        <v>7256</v>
      </c>
      <c r="U640" t="s">
        <v>7256</v>
      </c>
      <c r="V640" t="s">
        <v>7256</v>
      </c>
      <c r="W640">
        <v>4</v>
      </c>
      <c r="X640" t="s">
        <v>7896</v>
      </c>
      <c r="Y640">
        <v>0.38802555528833371</v>
      </c>
      <c r="Z640" t="str">
        <f>HYPERLINK("Melting_Curves/meltCurve_sp_P16298_3_PP2BB_HUMAN_.pdf", "Melting_Curves/meltCurve_sp_P16298_3_PP2BB_HUMAN_.pdf")</f>
        <v>Melting_Curves/meltCurve_sp_P16298_3_PP2BB_HUMAN_.pdf</v>
      </c>
      <c r="AA640" t="s">
        <v>11510</v>
      </c>
      <c r="AB640" t="s">
        <v>15066</v>
      </c>
    </row>
    <row r="641" spans="1:28" x14ac:dyDescent="0.25">
      <c r="A641" t="s">
        <v>645</v>
      </c>
      <c r="B641">
        <v>0.98018197421672304</v>
      </c>
      <c r="C641">
        <v>0.891345847628773</v>
      </c>
      <c r="D641">
        <v>0.81364977187916099</v>
      </c>
      <c r="E641">
        <v>0.56740569471198099</v>
      </c>
      <c r="F641">
        <v>0.36844804212161397</v>
      </c>
      <c r="G641">
        <v>0.23857131470710699</v>
      </c>
      <c r="H641">
        <v>0.160198365973931</v>
      </c>
      <c r="I641">
        <v>0.162650483044707</v>
      </c>
      <c r="J641">
        <v>0.13916116262170999</v>
      </c>
      <c r="K641">
        <v>0.20968827468635001</v>
      </c>
      <c r="L641">
        <v>773.880371343908</v>
      </c>
      <c r="M641">
        <v>15.596135386082899</v>
      </c>
      <c r="N641">
        <v>50.731045985831301</v>
      </c>
      <c r="O641">
        <v>48.825703903488296</v>
      </c>
      <c r="P641">
        <v>-6.8309256572408106E-2</v>
      </c>
      <c r="Q641">
        <v>0.14467058627547</v>
      </c>
      <c r="R641">
        <v>0.99336050964687705</v>
      </c>
      <c r="S641" t="s">
        <v>4270</v>
      </c>
      <c r="T641" t="s">
        <v>7256</v>
      </c>
      <c r="U641" t="s">
        <v>7256</v>
      </c>
      <c r="V641" t="s">
        <v>7256</v>
      </c>
      <c r="W641">
        <v>3</v>
      </c>
      <c r="X641" t="s">
        <v>7897</v>
      </c>
      <c r="Y641">
        <v>0.43817838972700451</v>
      </c>
      <c r="Z641" t="str">
        <f>HYPERLINK("Melting_Curves/meltCurve_sp_P16333_NCK1_HUMAN_.pdf", "Melting_Curves/meltCurve_sp_P16333_NCK1_HUMAN_.pdf")</f>
        <v>Melting_Curves/meltCurve_sp_P16333_NCK1_HUMAN_.pdf</v>
      </c>
      <c r="AA641" t="s">
        <v>11511</v>
      </c>
      <c r="AB641" t="s">
        <v>15067</v>
      </c>
    </row>
    <row r="642" spans="1:28" x14ac:dyDescent="0.25">
      <c r="A642" t="s">
        <v>646</v>
      </c>
      <c r="B642">
        <v>0.98018197421672304</v>
      </c>
      <c r="C642">
        <v>0.86628374147003995</v>
      </c>
      <c r="D642">
        <v>0.81439744916805301</v>
      </c>
      <c r="E642">
        <v>0.56213888912599597</v>
      </c>
      <c r="F642">
        <v>0.37058755549051098</v>
      </c>
      <c r="G642">
        <v>0.241142253705981</v>
      </c>
      <c r="H642">
        <v>0.17252789839340099</v>
      </c>
      <c r="I642">
        <v>0.14568564735192699</v>
      </c>
      <c r="J642">
        <v>0.197240543783579</v>
      </c>
      <c r="K642">
        <v>0.153038747911523</v>
      </c>
      <c r="L642">
        <v>724.45246513257905</v>
      </c>
      <c r="M642">
        <v>14.5999102716194</v>
      </c>
      <c r="N642">
        <v>50.733196171732303</v>
      </c>
      <c r="O642">
        <v>48.717302008987403</v>
      </c>
      <c r="P642">
        <v>-6.4663210225765294E-2</v>
      </c>
      <c r="Q642">
        <v>0.137018471524046</v>
      </c>
      <c r="R642">
        <v>0.99333600373150199</v>
      </c>
      <c r="S642" t="s">
        <v>4271</v>
      </c>
      <c r="T642" t="s">
        <v>7256</v>
      </c>
      <c r="U642" t="s">
        <v>7256</v>
      </c>
      <c r="V642" t="s">
        <v>7256</v>
      </c>
      <c r="W642">
        <v>3</v>
      </c>
      <c r="X642" t="s">
        <v>7898</v>
      </c>
      <c r="Y642">
        <v>0.43563590892160498</v>
      </c>
      <c r="Z642" t="str">
        <f>HYPERLINK("Melting_Curves/meltCurve_sp_P16383_2_GCFC2_HUMAN_.pdf", "Melting_Curves/meltCurve_sp_P16383_2_GCFC2_HUMAN_.pdf")</f>
        <v>Melting_Curves/meltCurve_sp_P16383_2_GCFC2_HUMAN_.pdf</v>
      </c>
      <c r="AA642" t="s">
        <v>11512</v>
      </c>
      <c r="AB642" t="s">
        <v>15068</v>
      </c>
    </row>
    <row r="643" spans="1:28" x14ac:dyDescent="0.25">
      <c r="A643" t="s">
        <v>647</v>
      </c>
      <c r="B643">
        <v>0.98018197421672304</v>
      </c>
      <c r="C643">
        <v>0.93450312938701796</v>
      </c>
      <c r="D643">
        <v>0.80345434492911505</v>
      </c>
      <c r="E643">
        <v>0.52020658648775098</v>
      </c>
      <c r="F643">
        <v>0.25277029974530901</v>
      </c>
      <c r="G643">
        <v>0.120827305782352</v>
      </c>
      <c r="H643">
        <v>7.9946887499599398E-2</v>
      </c>
      <c r="I643">
        <v>6.2342216169893001E-2</v>
      </c>
      <c r="J643">
        <v>7.2288055346135902E-2</v>
      </c>
      <c r="K643">
        <v>5.7488216997032202E-2</v>
      </c>
      <c r="L643">
        <v>903.64970576903602</v>
      </c>
      <c r="M643">
        <v>18.219630666641201</v>
      </c>
      <c r="N643">
        <v>49.885106962585397</v>
      </c>
      <c r="O643">
        <v>49.011682846309903</v>
      </c>
      <c r="P643">
        <v>-8.8307144631642298E-2</v>
      </c>
      <c r="Q643">
        <v>4.9842969003302998E-2</v>
      </c>
      <c r="R643">
        <v>0.99841976837387802</v>
      </c>
      <c r="S643" t="s">
        <v>4272</v>
      </c>
      <c r="T643" t="s">
        <v>7256</v>
      </c>
      <c r="U643" t="s">
        <v>7256</v>
      </c>
      <c r="V643" t="s">
        <v>7256</v>
      </c>
      <c r="W643">
        <v>12</v>
      </c>
      <c r="X643" t="s">
        <v>7899</v>
      </c>
      <c r="Y643">
        <v>0.36973213823733009</v>
      </c>
      <c r="Z643" t="str">
        <f>HYPERLINK("Melting_Curves/meltCurve_sp_P16435_NCPR_HUMAN_.pdf", "Melting_Curves/meltCurve_sp_P16435_NCPR_HUMAN_.pdf")</f>
        <v>Melting_Curves/meltCurve_sp_P16435_NCPR_HUMAN_.pdf</v>
      </c>
      <c r="AA643" t="s">
        <v>11513</v>
      </c>
      <c r="AB643" t="s">
        <v>15069</v>
      </c>
    </row>
    <row r="644" spans="1:28" x14ac:dyDescent="0.25">
      <c r="A644" t="s">
        <v>648</v>
      </c>
      <c r="B644">
        <v>0.98018197421672304</v>
      </c>
      <c r="C644">
        <v>0.97112365348738505</v>
      </c>
      <c r="D644">
        <v>0.93361845483894801</v>
      </c>
      <c r="E644">
        <v>0.70761765707341095</v>
      </c>
      <c r="F644">
        <v>0.44533940541721201</v>
      </c>
      <c r="G644">
        <v>0.16667984339317601</v>
      </c>
      <c r="H644">
        <v>8.9762353408289794E-2</v>
      </c>
      <c r="I644">
        <v>7.0560677852814294E-2</v>
      </c>
      <c r="J644">
        <v>7.7746215956283199E-2</v>
      </c>
      <c r="K644">
        <v>7.0803571124768594E-2</v>
      </c>
      <c r="L644">
        <v>1092.85448221769</v>
      </c>
      <c r="M644">
        <v>21.0446879825443</v>
      </c>
      <c r="N644">
        <v>52.236919272472903</v>
      </c>
      <c r="O644">
        <v>51.468098164105797</v>
      </c>
      <c r="P644">
        <v>-9.6283195741339894E-2</v>
      </c>
      <c r="Q644">
        <v>5.8122196894750497E-2</v>
      </c>
      <c r="R644">
        <v>0.998985138909398</v>
      </c>
      <c r="S644" t="s">
        <v>4273</v>
      </c>
      <c r="T644" t="s">
        <v>7256</v>
      </c>
      <c r="U644" t="s">
        <v>7256</v>
      </c>
      <c r="V644" t="s">
        <v>7256</v>
      </c>
      <c r="W644">
        <v>6</v>
      </c>
      <c r="X644" t="s">
        <v>7900</v>
      </c>
      <c r="Y644">
        <v>0.44456794068406108</v>
      </c>
      <c r="Z644" t="str">
        <f>HYPERLINK("Melting_Curves/meltCurve_sp_P16455_MGMT_HUMAN_.pdf", "Melting_Curves/meltCurve_sp_P16455_MGMT_HUMAN_.pdf")</f>
        <v>Melting_Curves/meltCurve_sp_P16455_MGMT_HUMAN_.pdf</v>
      </c>
      <c r="AA644" t="s">
        <v>11514</v>
      </c>
      <c r="AB644" t="s">
        <v>15070</v>
      </c>
    </row>
    <row r="645" spans="1:28" x14ac:dyDescent="0.25">
      <c r="A645" t="s">
        <v>649</v>
      </c>
      <c r="B645">
        <v>0.98018197421672304</v>
      </c>
      <c r="C645">
        <v>1.0673599003488801</v>
      </c>
      <c r="D645">
        <v>0.91503762004788003</v>
      </c>
      <c r="E645">
        <v>0.95184145804781495</v>
      </c>
      <c r="F645">
        <v>0.91757408527710504</v>
      </c>
      <c r="G645">
        <v>0.85519005761810196</v>
      </c>
      <c r="H645">
        <v>0.64533754734550797</v>
      </c>
      <c r="I645">
        <v>0.59693421130055602</v>
      </c>
      <c r="J645">
        <v>0.37387637755542202</v>
      </c>
      <c r="K645">
        <v>0.38070523405621998</v>
      </c>
      <c r="L645">
        <v>758.45095980409997</v>
      </c>
      <c r="M645">
        <v>11.946131830458601</v>
      </c>
      <c r="N645">
        <v>65.250246163636902</v>
      </c>
      <c r="O645">
        <v>61.788608609351201</v>
      </c>
      <c r="P645">
        <v>-4.1684486196633903E-2</v>
      </c>
      <c r="Q645">
        <v>0.137797835066749</v>
      </c>
      <c r="R645">
        <v>0.96421650213204702</v>
      </c>
      <c r="S645" t="s">
        <v>4274</v>
      </c>
      <c r="T645" t="s">
        <v>7256</v>
      </c>
      <c r="U645" t="s">
        <v>7256</v>
      </c>
      <c r="V645" t="s">
        <v>7256</v>
      </c>
      <c r="W645">
        <v>1</v>
      </c>
      <c r="X645" t="s">
        <v>7901</v>
      </c>
      <c r="Y645">
        <v>0.79178001867707515</v>
      </c>
      <c r="Z645" t="str">
        <f>HYPERLINK("Melting_Curves/meltCurve_sp_P16885_PLCG2_HUMAN_.pdf", "Melting_Curves/meltCurve_sp_P16885_PLCG2_HUMAN_.pdf")</f>
        <v>Melting_Curves/meltCurve_sp_P16885_PLCG2_HUMAN_.pdf</v>
      </c>
      <c r="AA645" t="s">
        <v>11515</v>
      </c>
      <c r="AB645" t="s">
        <v>15071</v>
      </c>
    </row>
    <row r="646" spans="1:28" x14ac:dyDescent="0.25">
      <c r="A646" t="s">
        <v>650</v>
      </c>
      <c r="B646">
        <v>0.98018197421672304</v>
      </c>
      <c r="C646">
        <v>0.96818491875048196</v>
      </c>
      <c r="D646">
        <v>0.946119528868828</v>
      </c>
      <c r="E646">
        <v>0.831476518792715</v>
      </c>
      <c r="F646">
        <v>0.75640465226467901</v>
      </c>
      <c r="G646">
        <v>0.65448234638582403</v>
      </c>
      <c r="H646">
        <v>0.50941847338737001</v>
      </c>
      <c r="I646">
        <v>0.53528266532276003</v>
      </c>
      <c r="J646">
        <v>0.46602220846792303</v>
      </c>
      <c r="K646">
        <v>0.21283999692175401</v>
      </c>
      <c r="L646">
        <v>433.649495807721</v>
      </c>
      <c r="M646">
        <v>6.93727484387564</v>
      </c>
      <c r="N646">
        <v>62.510064118824097</v>
      </c>
      <c r="O646">
        <v>57.936027683700701</v>
      </c>
      <c r="P646">
        <v>-2.9992424458794801E-2</v>
      </c>
      <c r="Q646">
        <v>0</v>
      </c>
      <c r="R646">
        <v>0.95457324369801799</v>
      </c>
      <c r="S646" t="s">
        <v>4275</v>
      </c>
      <c r="T646" t="s">
        <v>7256</v>
      </c>
      <c r="U646" t="s">
        <v>7256</v>
      </c>
      <c r="V646" t="s">
        <v>7256</v>
      </c>
      <c r="W646">
        <v>20</v>
      </c>
      <c r="X646" t="s">
        <v>7902</v>
      </c>
      <c r="Y646">
        <v>0.69516000427228453</v>
      </c>
      <c r="Z646" t="str">
        <f>HYPERLINK("Melting_Curves/meltCurve_sp_P16930_FAAA_HUMAN_.pdf", "Melting_Curves/meltCurve_sp_P16930_FAAA_HUMAN_.pdf")</f>
        <v>Melting_Curves/meltCurve_sp_P16930_FAAA_HUMAN_.pdf</v>
      </c>
      <c r="AA646" t="s">
        <v>11516</v>
      </c>
      <c r="AB646" t="s">
        <v>15072</v>
      </c>
    </row>
    <row r="647" spans="1:28" x14ac:dyDescent="0.25">
      <c r="A647" t="s">
        <v>651</v>
      </c>
      <c r="B647">
        <v>0.98018197421672304</v>
      </c>
      <c r="C647">
        <v>0.96671597017517996</v>
      </c>
      <c r="D647">
        <v>0.959192173059078</v>
      </c>
      <c r="E647">
        <v>0.82864007375337101</v>
      </c>
      <c r="F647">
        <v>0.72960931704444898</v>
      </c>
      <c r="G647">
        <v>0.55863444767828296</v>
      </c>
      <c r="H647">
        <v>0.47809725073418402</v>
      </c>
      <c r="I647">
        <v>0.52712530120503098</v>
      </c>
      <c r="J647">
        <v>0.54591794952628303</v>
      </c>
      <c r="K647">
        <v>0.79135641236828402</v>
      </c>
      <c r="L647">
        <v>1344.90252029306</v>
      </c>
      <c r="M647">
        <v>26.408411969756798</v>
      </c>
      <c r="O647">
        <v>50.637717741866297</v>
      </c>
      <c r="P647">
        <v>-5.48417953679885E-2</v>
      </c>
      <c r="Q647">
        <v>0.57937140892001004</v>
      </c>
      <c r="R647">
        <v>0.81378004149521499</v>
      </c>
      <c r="S647" t="s">
        <v>4276</v>
      </c>
      <c r="T647" t="s">
        <v>7256</v>
      </c>
      <c r="U647" t="s">
        <v>7256</v>
      </c>
      <c r="V647" t="s">
        <v>7256</v>
      </c>
      <c r="W647">
        <v>10</v>
      </c>
      <c r="X647" t="s">
        <v>7903</v>
      </c>
      <c r="Y647">
        <v>0.73598595919802157</v>
      </c>
      <c r="Z647" t="str">
        <f>HYPERLINK("Melting_Curves/meltCurve_sp_P16949_STMN1_HUMAN_.pdf", "Melting_Curves/meltCurve_sp_P16949_STMN1_HUMAN_.pdf")</f>
        <v>Melting_Curves/meltCurve_sp_P16949_STMN1_HUMAN_.pdf</v>
      </c>
      <c r="AA647" t="s">
        <v>11517</v>
      </c>
      <c r="AB647" t="s">
        <v>15073</v>
      </c>
    </row>
    <row r="648" spans="1:28" x14ac:dyDescent="0.25">
      <c r="A648" t="s">
        <v>652</v>
      </c>
      <c r="B648">
        <v>0.98018197421672304</v>
      </c>
      <c r="C648">
        <v>0.88602261574101704</v>
      </c>
      <c r="D648">
        <v>0.79096220416063701</v>
      </c>
      <c r="E648">
        <v>0.73753065067535195</v>
      </c>
      <c r="F648">
        <v>1.08553545709949</v>
      </c>
      <c r="G648">
        <v>0.72858228793244295</v>
      </c>
      <c r="H648">
        <v>0.83094861997564196</v>
      </c>
      <c r="I648">
        <v>0.714091665995228</v>
      </c>
      <c r="J648">
        <v>1.04516950574354</v>
      </c>
      <c r="K648">
        <v>0.91253217711646695</v>
      </c>
      <c r="L648">
        <v>2200.7246996845902</v>
      </c>
      <c r="M648">
        <v>52.913878739114097</v>
      </c>
      <c r="O648">
        <v>41.531413716622097</v>
      </c>
      <c r="P648">
        <v>-4.5810808667239897E-2</v>
      </c>
      <c r="Q648">
        <v>0.85617487455687202</v>
      </c>
      <c r="R648">
        <v>8.6043231819269206E-2</v>
      </c>
      <c r="S648" t="s">
        <v>4277</v>
      </c>
      <c r="T648" t="s">
        <v>7256</v>
      </c>
      <c r="U648" t="s">
        <v>7256</v>
      </c>
      <c r="V648" t="s">
        <v>7256</v>
      </c>
      <c r="W648">
        <v>3</v>
      </c>
      <c r="X648" t="s">
        <v>7904</v>
      </c>
      <c r="Y648">
        <v>0.86442317665355972</v>
      </c>
      <c r="Z648" t="str">
        <f>HYPERLINK("Melting_Curves/meltCurve_sp_P16989_2_YBOX3_HUMAN_.pdf", "Melting_Curves/meltCurve_sp_P16989_2_YBOX3_HUMAN_.pdf")</f>
        <v>Melting_Curves/meltCurve_sp_P16989_2_YBOX3_HUMAN_.pdf</v>
      </c>
      <c r="AA648" t="s">
        <v>11518</v>
      </c>
      <c r="AB648" t="s">
        <v>15074</v>
      </c>
    </row>
    <row r="649" spans="1:28" x14ac:dyDescent="0.25">
      <c r="A649" t="s">
        <v>653</v>
      </c>
      <c r="B649">
        <v>0.98018197421672304</v>
      </c>
      <c r="C649">
        <v>1.0360011638795601</v>
      </c>
      <c r="D649">
        <v>0.91736420089095705</v>
      </c>
      <c r="E649">
        <v>0.90268377255308296</v>
      </c>
      <c r="F649">
        <v>0.95797562375420298</v>
      </c>
      <c r="G649">
        <v>0.684878530102625</v>
      </c>
      <c r="H649">
        <v>0.498383792611931</v>
      </c>
      <c r="I649">
        <v>0.47789307393323399</v>
      </c>
      <c r="J649">
        <v>0.60949094022988404</v>
      </c>
      <c r="K649">
        <v>0.818021429733917</v>
      </c>
      <c r="L649">
        <v>2788.3313462005099</v>
      </c>
      <c r="M649">
        <v>50.437997228519997</v>
      </c>
      <c r="O649">
        <v>55.195661015915498</v>
      </c>
      <c r="P649">
        <v>-9.0841524898995094E-2</v>
      </c>
      <c r="Q649">
        <v>0.60235899841308604</v>
      </c>
      <c r="R649">
        <v>0.75978506030668802</v>
      </c>
      <c r="S649" t="s">
        <v>4278</v>
      </c>
      <c r="T649" t="s">
        <v>7256</v>
      </c>
      <c r="U649" t="s">
        <v>7256</v>
      </c>
      <c r="V649" t="s">
        <v>7256</v>
      </c>
      <c r="W649">
        <v>1</v>
      </c>
      <c r="X649" t="s">
        <v>7905</v>
      </c>
      <c r="Y649">
        <v>0.80587424021663856</v>
      </c>
      <c r="Z649" t="str">
        <f>HYPERLINK("Melting_Curves/meltCurve_sp_P17029_ZKSC1_HUMAN_.pdf", "Melting_Curves/meltCurve_sp_P17029_ZKSC1_HUMAN_.pdf")</f>
        <v>Melting_Curves/meltCurve_sp_P17029_ZKSC1_HUMAN_.pdf</v>
      </c>
      <c r="AA649" t="s">
        <v>11519</v>
      </c>
      <c r="AB649" t="s">
        <v>15075</v>
      </c>
    </row>
    <row r="650" spans="1:28" x14ac:dyDescent="0.25">
      <c r="A650" t="s">
        <v>654</v>
      </c>
      <c r="B650">
        <v>0.98018197421672304</v>
      </c>
      <c r="C650">
        <v>1.00639948066478</v>
      </c>
      <c r="D650">
        <v>0.93603411264457104</v>
      </c>
      <c r="E650">
        <v>0.78945383352730902</v>
      </c>
      <c r="F650">
        <v>0.73868275936762695</v>
      </c>
      <c r="G650">
        <v>0.50361368287379404</v>
      </c>
      <c r="H650">
        <v>0.20740956087894799</v>
      </c>
      <c r="I650">
        <v>0.10079589981595</v>
      </c>
      <c r="J650">
        <v>0.110346708237035</v>
      </c>
      <c r="K650">
        <v>7.4748973235282803E-2</v>
      </c>
      <c r="L650">
        <v>801.36117620088601</v>
      </c>
      <c r="M650">
        <v>14.252749490873599</v>
      </c>
      <c r="N650">
        <v>56.225022062732599</v>
      </c>
      <c r="O650">
        <v>55.152900660500698</v>
      </c>
      <c r="P650">
        <v>-6.4613567007995407E-2</v>
      </c>
      <c r="Q650">
        <v>0</v>
      </c>
      <c r="R650">
        <v>0.98980623312756799</v>
      </c>
      <c r="S650" t="s">
        <v>4279</v>
      </c>
      <c r="T650" t="s">
        <v>7256</v>
      </c>
      <c r="U650" t="s">
        <v>7256</v>
      </c>
      <c r="V650" t="s">
        <v>7256</v>
      </c>
      <c r="W650">
        <v>8</v>
      </c>
      <c r="X650" t="s">
        <v>7906</v>
      </c>
      <c r="Y650">
        <v>0.55884786231002181</v>
      </c>
      <c r="Z650" t="str">
        <f>HYPERLINK("Melting_Curves/meltCurve_sp_P17050_NAGAB_HUMAN_.pdf", "Melting_Curves/meltCurve_sp_P17050_NAGAB_HUMAN_.pdf")</f>
        <v>Melting_Curves/meltCurve_sp_P17050_NAGAB_HUMAN_.pdf</v>
      </c>
      <c r="AA650" t="s">
        <v>11520</v>
      </c>
      <c r="AB650" t="s">
        <v>15076</v>
      </c>
    </row>
    <row r="651" spans="1:28" x14ac:dyDescent="0.25">
      <c r="A651" t="s">
        <v>655</v>
      </c>
      <c r="B651">
        <v>0.98018197421672304</v>
      </c>
      <c r="C651">
        <v>0.99161909258821801</v>
      </c>
      <c r="D651">
        <v>0.90934087712240996</v>
      </c>
      <c r="E651">
        <v>0.59077844380810496</v>
      </c>
      <c r="F651">
        <v>0.24471072625083801</v>
      </c>
      <c r="G651">
        <v>0.118107374002591</v>
      </c>
      <c r="H651">
        <v>7.8026315095953494E-2</v>
      </c>
      <c r="I651">
        <v>6.0010432690661697E-2</v>
      </c>
      <c r="J651">
        <v>4.6932995879359E-2</v>
      </c>
      <c r="K651">
        <v>4.9554856449598797E-2</v>
      </c>
      <c r="L651">
        <v>1282.9575214300501</v>
      </c>
      <c r="M651">
        <v>25.456716331772601</v>
      </c>
      <c r="N651">
        <v>50.630574531059104</v>
      </c>
      <c r="O651">
        <v>50.089698017701998</v>
      </c>
      <c r="P651">
        <v>-0.120035084959809</v>
      </c>
      <c r="Q651">
        <v>5.5267751275769203E-2</v>
      </c>
      <c r="R651">
        <v>0.99886225468525303</v>
      </c>
      <c r="S651" t="s">
        <v>4280</v>
      </c>
      <c r="T651" t="s">
        <v>7256</v>
      </c>
      <c r="U651" t="s">
        <v>7256</v>
      </c>
      <c r="V651" t="s">
        <v>7256</v>
      </c>
      <c r="W651">
        <v>10</v>
      </c>
      <c r="X651" t="s">
        <v>7907</v>
      </c>
      <c r="Y651">
        <v>0.390877681852009</v>
      </c>
      <c r="Z651" t="str">
        <f>HYPERLINK("Melting_Curves/meltCurve_sp_P17066_HSP76_HUMAN_.pdf", "Melting_Curves/meltCurve_sp_P17066_HSP76_HUMAN_.pdf")</f>
        <v>Melting_Curves/meltCurve_sp_P17066_HSP76_HUMAN_.pdf</v>
      </c>
      <c r="AA651" t="s">
        <v>11521</v>
      </c>
      <c r="AB651" t="s">
        <v>15077</v>
      </c>
    </row>
    <row r="652" spans="1:28" x14ac:dyDescent="0.25">
      <c r="A652" t="s">
        <v>656</v>
      </c>
      <c r="B652">
        <v>0.98018197421672304</v>
      </c>
      <c r="C652">
        <v>0.91446649800161905</v>
      </c>
      <c r="D652">
        <v>0.93420089570985698</v>
      </c>
      <c r="E652">
        <v>0.84991339185347003</v>
      </c>
      <c r="F652">
        <v>0.77709793512830905</v>
      </c>
      <c r="G652">
        <v>0.69150899465614202</v>
      </c>
      <c r="H652">
        <v>0.54521529593417095</v>
      </c>
      <c r="I652">
        <v>0.58557402886425802</v>
      </c>
      <c r="J652">
        <v>0.55915558536496801</v>
      </c>
      <c r="K652">
        <v>0.38456540544430001</v>
      </c>
      <c r="L652">
        <v>347.41089675370301</v>
      </c>
      <c r="M652">
        <v>5.3453317791968802</v>
      </c>
      <c r="N652">
        <v>66.380744615155507</v>
      </c>
      <c r="O652">
        <v>57.573361524515001</v>
      </c>
      <c r="P652">
        <v>-2.20911463507866E-2</v>
      </c>
      <c r="Q652">
        <v>5.2853569841666198E-2</v>
      </c>
      <c r="R652">
        <v>0.95774006889694796</v>
      </c>
      <c r="S652" t="s">
        <v>4281</v>
      </c>
      <c r="T652" t="s">
        <v>7256</v>
      </c>
      <c r="U652" t="s">
        <v>7256</v>
      </c>
      <c r="V652" t="s">
        <v>7256</v>
      </c>
      <c r="W652">
        <v>32</v>
      </c>
      <c r="X652" t="s">
        <v>7908</v>
      </c>
      <c r="Y652">
        <v>0.72718597887706993</v>
      </c>
      <c r="Z652" t="str">
        <f>HYPERLINK("Melting_Curves/meltCurve_sp_P17174_AATC_HUMAN_.pdf", "Melting_Curves/meltCurve_sp_P17174_AATC_HUMAN_.pdf")</f>
        <v>Melting_Curves/meltCurve_sp_P17174_AATC_HUMAN_.pdf</v>
      </c>
      <c r="AA652" t="s">
        <v>11522</v>
      </c>
      <c r="AB652" t="s">
        <v>15078</v>
      </c>
    </row>
    <row r="653" spans="1:28" x14ac:dyDescent="0.25">
      <c r="A653" t="s">
        <v>657</v>
      </c>
      <c r="B653">
        <v>0.98018197421672304</v>
      </c>
      <c r="C653">
        <v>1.0389711588447299</v>
      </c>
      <c r="D653">
        <v>0.98630414129541399</v>
      </c>
      <c r="E653">
        <v>0.44103837752420799</v>
      </c>
      <c r="F653">
        <v>0.21799506416361</v>
      </c>
      <c r="G653">
        <v>0.143167963012241</v>
      </c>
      <c r="H653">
        <v>9.3502934145623606E-2</v>
      </c>
      <c r="I653">
        <v>7.9945315287885205E-2</v>
      </c>
      <c r="J653">
        <v>7.5321732678645406E-2</v>
      </c>
      <c r="K653">
        <v>6.04656897563602E-2</v>
      </c>
      <c r="L653">
        <v>1760.1817796242101</v>
      </c>
      <c r="M653">
        <v>35.554469992028601</v>
      </c>
      <c r="N653">
        <v>49.798139974149102</v>
      </c>
      <c r="O653">
        <v>49.350814821796398</v>
      </c>
      <c r="P653">
        <v>-0.16318988357747899</v>
      </c>
      <c r="Q653">
        <v>9.3950933499901496E-2</v>
      </c>
      <c r="R653">
        <v>0.99368640006069897</v>
      </c>
      <c r="S653" t="s">
        <v>4282</v>
      </c>
      <c r="T653" t="s">
        <v>7256</v>
      </c>
      <c r="U653" t="s">
        <v>7256</v>
      </c>
      <c r="V653" t="s">
        <v>7256</v>
      </c>
      <c r="W653">
        <v>20</v>
      </c>
      <c r="X653" t="s">
        <v>7909</v>
      </c>
      <c r="Y653">
        <v>0.3850042201682829</v>
      </c>
      <c r="Z653" t="str">
        <f>HYPERLINK("Melting_Curves/meltCurve_sp_P17516_AK1C4_HUMAN_.pdf", "Melting_Curves/meltCurve_sp_P17516_AK1C4_HUMAN_.pdf")</f>
        <v>Melting_Curves/meltCurve_sp_P17516_AK1C4_HUMAN_.pdf</v>
      </c>
      <c r="AA653" t="s">
        <v>11523</v>
      </c>
      <c r="AB653" t="s">
        <v>15079</v>
      </c>
    </row>
    <row r="654" spans="1:28" x14ac:dyDescent="0.25">
      <c r="A654" t="s">
        <v>658</v>
      </c>
      <c r="B654">
        <v>0.98018197421672304</v>
      </c>
      <c r="C654">
        <v>0.92765682690129903</v>
      </c>
      <c r="D654">
        <v>0.93830061422305699</v>
      </c>
      <c r="E654">
        <v>0.73571596587503096</v>
      </c>
      <c r="F654">
        <v>0.34373639232861902</v>
      </c>
      <c r="G654">
        <v>9.5539454108291594E-2</v>
      </c>
      <c r="H654">
        <v>5.1324838201210199E-2</v>
      </c>
      <c r="I654">
        <v>3.2130315378382603E-2</v>
      </c>
      <c r="J654">
        <v>4.3308482078146297E-2</v>
      </c>
      <c r="K654">
        <v>2.5707463740779899E-2</v>
      </c>
      <c r="L654">
        <v>1413.3425695302501</v>
      </c>
      <c r="M654">
        <v>27.368258815832</v>
      </c>
      <c r="N654">
        <v>51.763075444550402</v>
      </c>
      <c r="O654">
        <v>51.368320910144298</v>
      </c>
      <c r="P654">
        <v>-0.12905680799725</v>
      </c>
      <c r="Q654">
        <v>3.10865095871911E-2</v>
      </c>
      <c r="R654">
        <v>0.99603144792677001</v>
      </c>
      <c r="S654" t="s">
        <v>4283</v>
      </c>
      <c r="T654" t="s">
        <v>7256</v>
      </c>
      <c r="U654" t="s">
        <v>7256</v>
      </c>
      <c r="V654" t="s">
        <v>7256</v>
      </c>
      <c r="W654">
        <v>11</v>
      </c>
      <c r="X654" t="s">
        <v>7910</v>
      </c>
      <c r="Y654">
        <v>0.4144623143049318</v>
      </c>
      <c r="Z654" t="str">
        <f>HYPERLINK("Melting_Curves/meltCurve_sp_P17612_KAPCA_HUMAN_.pdf", "Melting_Curves/meltCurve_sp_P17612_KAPCA_HUMAN_.pdf")</f>
        <v>Melting_Curves/meltCurve_sp_P17612_KAPCA_HUMAN_.pdf</v>
      </c>
      <c r="AA654" t="s">
        <v>11524</v>
      </c>
      <c r="AB654" t="s">
        <v>15080</v>
      </c>
    </row>
    <row r="655" spans="1:28" x14ac:dyDescent="0.25">
      <c r="A655" t="s">
        <v>659</v>
      </c>
      <c r="B655">
        <v>0.98018197421672304</v>
      </c>
      <c r="C655">
        <v>0.89470383067083903</v>
      </c>
      <c r="D655">
        <v>0.86377864574825802</v>
      </c>
      <c r="E655">
        <v>0.82866313620102605</v>
      </c>
      <c r="F655">
        <v>0.534564168905866</v>
      </c>
      <c r="G655">
        <v>0.20836896989359299</v>
      </c>
      <c r="H655">
        <v>8.1711432524800398E-2</v>
      </c>
      <c r="I655">
        <v>5.8145969562528897E-2</v>
      </c>
      <c r="J655">
        <v>8.2963550142583595E-2</v>
      </c>
      <c r="K655">
        <v>3.5979481549320999E-2</v>
      </c>
      <c r="L655">
        <v>1058.5095833545899</v>
      </c>
      <c r="M655">
        <v>19.920586953351599</v>
      </c>
      <c r="N655">
        <v>53.310341496845098</v>
      </c>
      <c r="O655">
        <v>52.609691455393403</v>
      </c>
      <c r="P655">
        <v>-9.1687876533506504E-2</v>
      </c>
      <c r="Q655">
        <v>3.1452100264485E-2</v>
      </c>
      <c r="R655">
        <v>0.98430934721644403</v>
      </c>
      <c r="S655" t="s">
        <v>4284</v>
      </c>
      <c r="T655" t="s">
        <v>7256</v>
      </c>
      <c r="U655" t="s">
        <v>7256</v>
      </c>
      <c r="V655" t="s">
        <v>7256</v>
      </c>
      <c r="W655">
        <v>8</v>
      </c>
      <c r="X655" t="s">
        <v>7911</v>
      </c>
      <c r="Y655">
        <v>0.46895682001601691</v>
      </c>
      <c r="Z655" t="str">
        <f>HYPERLINK("Melting_Curves/meltCurve_sp_P17655_CAN2_HUMAN_.pdf", "Melting_Curves/meltCurve_sp_P17655_CAN2_HUMAN_.pdf")</f>
        <v>Melting_Curves/meltCurve_sp_P17655_CAN2_HUMAN_.pdf</v>
      </c>
      <c r="AA655" t="s">
        <v>11525</v>
      </c>
      <c r="AB655" t="s">
        <v>15081</v>
      </c>
    </row>
    <row r="656" spans="1:28" x14ac:dyDescent="0.25">
      <c r="A656" t="s">
        <v>660</v>
      </c>
      <c r="B656">
        <v>0.98018197421672304</v>
      </c>
      <c r="C656">
        <v>0.81220559921048396</v>
      </c>
      <c r="D656">
        <v>0.82980772277957005</v>
      </c>
      <c r="E656">
        <v>0.70076835791172698</v>
      </c>
      <c r="F656">
        <v>0.44176121940348101</v>
      </c>
      <c r="G656">
        <v>0.24080625938118999</v>
      </c>
      <c r="H656">
        <v>0.19066812028723101</v>
      </c>
      <c r="I656">
        <v>0.139209715797528</v>
      </c>
      <c r="J656">
        <v>0.14533947645376999</v>
      </c>
      <c r="K656">
        <v>0.126616524888855</v>
      </c>
      <c r="L656">
        <v>615.76151819727897</v>
      </c>
      <c r="M656">
        <v>11.951060574701801</v>
      </c>
      <c r="N656">
        <v>52.174469992681097</v>
      </c>
      <c r="O656">
        <v>50.144538493275398</v>
      </c>
      <c r="P656">
        <v>-5.5470226570820402E-2</v>
      </c>
      <c r="Q656">
        <v>6.9254512519656294E-2</v>
      </c>
      <c r="R656">
        <v>0.97736804325872395</v>
      </c>
      <c r="S656" t="s">
        <v>4285</v>
      </c>
      <c r="T656" t="s">
        <v>7256</v>
      </c>
      <c r="U656" t="s">
        <v>7256</v>
      </c>
      <c r="V656" t="s">
        <v>7256</v>
      </c>
      <c r="W656">
        <v>8</v>
      </c>
      <c r="X656" t="s">
        <v>7912</v>
      </c>
      <c r="Y656">
        <v>0.45631889085737748</v>
      </c>
      <c r="Z656" t="str">
        <f>HYPERLINK("Melting_Curves/meltCurve_sp_P17735_ATTY_HUMAN_.pdf", "Melting_Curves/meltCurve_sp_P17735_ATTY_HUMAN_.pdf")</f>
        <v>Melting_Curves/meltCurve_sp_P17735_ATTY_HUMAN_.pdf</v>
      </c>
      <c r="AA656" t="s">
        <v>11526</v>
      </c>
      <c r="AB656" t="s">
        <v>15082</v>
      </c>
    </row>
    <row r="657" spans="1:28" x14ac:dyDescent="0.25">
      <c r="A657" t="s">
        <v>661</v>
      </c>
      <c r="B657">
        <v>0.98018197421672304</v>
      </c>
      <c r="C657">
        <v>0.93284063994323896</v>
      </c>
      <c r="D657">
        <v>0.74712407762646404</v>
      </c>
      <c r="E657">
        <v>0.50511132143325899</v>
      </c>
      <c r="F657">
        <v>0.34593311243979402</v>
      </c>
      <c r="G657">
        <v>0.19950848882154401</v>
      </c>
      <c r="H657">
        <v>9.6420603282955403E-2</v>
      </c>
      <c r="I657">
        <v>6.6253395698667894E-2</v>
      </c>
      <c r="J657">
        <v>5.4431673356481497E-2</v>
      </c>
      <c r="K657">
        <v>4.1617713222266803E-2</v>
      </c>
      <c r="L657">
        <v>664.33038520946695</v>
      </c>
      <c r="M657">
        <v>13.269955522434699</v>
      </c>
      <c r="N657">
        <v>50.222854974739903</v>
      </c>
      <c r="O657">
        <v>48.9668058873037</v>
      </c>
      <c r="P657">
        <v>-6.6357391166588994E-2</v>
      </c>
      <c r="Q657">
        <v>2.0711204776431201E-2</v>
      </c>
      <c r="R657">
        <v>0.99839532810516296</v>
      </c>
      <c r="S657" t="s">
        <v>4286</v>
      </c>
      <c r="T657" t="s">
        <v>7256</v>
      </c>
      <c r="U657" t="s">
        <v>7256</v>
      </c>
      <c r="V657" t="s">
        <v>7256</v>
      </c>
      <c r="W657">
        <v>3</v>
      </c>
      <c r="X657" t="s">
        <v>7913</v>
      </c>
      <c r="Y657">
        <v>0.37792909998118213</v>
      </c>
      <c r="Z657" t="str">
        <f>HYPERLINK("Melting_Curves/meltCurve_sp_P17812_PYRG1_HUMAN_.pdf", "Melting_Curves/meltCurve_sp_P17812_PYRG1_HUMAN_.pdf")</f>
        <v>Melting_Curves/meltCurve_sp_P17812_PYRG1_HUMAN_.pdf</v>
      </c>
      <c r="AA657" t="s">
        <v>11527</v>
      </c>
      <c r="AB657" t="s">
        <v>15083</v>
      </c>
    </row>
    <row r="658" spans="1:28" x14ac:dyDescent="0.25">
      <c r="A658" t="s">
        <v>662</v>
      </c>
      <c r="B658">
        <v>0.98018197421672304</v>
      </c>
      <c r="C658">
        <v>0.92577984805331803</v>
      </c>
      <c r="D658">
        <v>0.75409740236437806</v>
      </c>
      <c r="E658">
        <v>0.61755880696211596</v>
      </c>
      <c r="F658">
        <v>0.52165130593067899</v>
      </c>
      <c r="G658">
        <v>0.248777163804864</v>
      </c>
      <c r="H658">
        <v>8.0844430089528199E-2</v>
      </c>
      <c r="I658">
        <v>4.6357045058582597E-2</v>
      </c>
      <c r="J658">
        <v>4.1426271529807601E-2</v>
      </c>
      <c r="K658">
        <v>2.9372727496234902E-2</v>
      </c>
      <c r="L658">
        <v>644.01691785860203</v>
      </c>
      <c r="M658">
        <v>12.4102056987831</v>
      </c>
      <c r="N658">
        <v>51.894131336485202</v>
      </c>
      <c r="O658">
        <v>50.601931521942902</v>
      </c>
      <c r="P658">
        <v>-6.1325879337931898E-2</v>
      </c>
      <c r="Q658">
        <v>0</v>
      </c>
      <c r="R658">
        <v>0.98601249427065496</v>
      </c>
      <c r="S658" t="s">
        <v>4287</v>
      </c>
      <c r="T658" t="s">
        <v>7256</v>
      </c>
      <c r="U658" t="s">
        <v>7256</v>
      </c>
      <c r="V658" t="s">
        <v>7256</v>
      </c>
      <c r="W658">
        <v>19</v>
      </c>
      <c r="X658" t="s">
        <v>7914</v>
      </c>
      <c r="Y658">
        <v>0.42595521961064431</v>
      </c>
      <c r="Z658" t="str">
        <f>HYPERLINK("Melting_Curves/meltCurve_sp_P17858_K6PL_HUMAN_.pdf", "Melting_Curves/meltCurve_sp_P17858_K6PL_HUMAN_.pdf")</f>
        <v>Melting_Curves/meltCurve_sp_P17858_K6PL_HUMAN_.pdf</v>
      </c>
      <c r="AA658" t="s">
        <v>11528</v>
      </c>
      <c r="AB658" t="s">
        <v>15084</v>
      </c>
    </row>
    <row r="659" spans="1:28" x14ac:dyDescent="0.25">
      <c r="A659" t="s">
        <v>663</v>
      </c>
      <c r="B659">
        <v>0.98018197421672304</v>
      </c>
      <c r="C659">
        <v>0.89656554946601896</v>
      </c>
      <c r="D659">
        <v>0.95619834029117201</v>
      </c>
      <c r="E659">
        <v>0.76785619994544896</v>
      </c>
      <c r="F659">
        <v>0.69478496034770598</v>
      </c>
      <c r="G659">
        <v>0.46745761376379502</v>
      </c>
      <c r="H659">
        <v>0.39740957483620498</v>
      </c>
      <c r="I659">
        <v>0.37367309618782302</v>
      </c>
      <c r="J659">
        <v>0.39824147452018499</v>
      </c>
      <c r="K659">
        <v>0.37597858965243702</v>
      </c>
      <c r="L659">
        <v>789.94392096104798</v>
      </c>
      <c r="M659">
        <v>15.0698344358387</v>
      </c>
      <c r="N659">
        <v>56.9348329820928</v>
      </c>
      <c r="O659">
        <v>51.521827559708903</v>
      </c>
      <c r="P659">
        <v>-4.7630495148643301E-2</v>
      </c>
      <c r="Q659">
        <v>0.34869441930626099</v>
      </c>
      <c r="R659">
        <v>0.97853735865721003</v>
      </c>
      <c r="S659" t="s">
        <v>4288</v>
      </c>
      <c r="T659" t="s">
        <v>7256</v>
      </c>
      <c r="U659" t="s">
        <v>7256</v>
      </c>
      <c r="V659" t="s">
        <v>7256</v>
      </c>
      <c r="W659">
        <v>4</v>
      </c>
      <c r="X659" t="s">
        <v>7915</v>
      </c>
      <c r="Y659">
        <v>0.63255512722152651</v>
      </c>
      <c r="Z659" t="str">
        <f>HYPERLINK("Melting_Curves/meltCurve_sp_P17900_SAP3_HUMAN_.pdf", "Melting_Curves/meltCurve_sp_P17900_SAP3_HUMAN_.pdf")</f>
        <v>Melting_Curves/meltCurve_sp_P17900_SAP3_HUMAN_.pdf</v>
      </c>
      <c r="AA659" t="s">
        <v>11529</v>
      </c>
      <c r="AB659" t="s">
        <v>15085</v>
      </c>
    </row>
    <row r="660" spans="1:28" x14ac:dyDescent="0.25">
      <c r="A660" t="s">
        <v>664</v>
      </c>
      <c r="B660">
        <v>0.98018197421672304</v>
      </c>
      <c r="C660">
        <v>1.0422493742421499</v>
      </c>
      <c r="D660">
        <v>0.92710286609872194</v>
      </c>
      <c r="E660">
        <v>0.78408191127901405</v>
      </c>
      <c r="F660">
        <v>0.66136901569593398</v>
      </c>
      <c r="G660">
        <v>0.432763907602283</v>
      </c>
      <c r="H660">
        <v>0.33548151604509702</v>
      </c>
      <c r="I660">
        <v>0.150048491526179</v>
      </c>
      <c r="J660">
        <v>0.74409950967281202</v>
      </c>
      <c r="K660">
        <v>0.25980686897393102</v>
      </c>
      <c r="L660">
        <v>1125.13985525147</v>
      </c>
      <c r="M660">
        <v>21.664826084802598</v>
      </c>
      <c r="N660">
        <v>55.270283799391301</v>
      </c>
      <c r="O660">
        <v>51.497544506388202</v>
      </c>
      <c r="P660">
        <v>-6.6809263196406496E-2</v>
      </c>
      <c r="Q660">
        <v>0.36478953619536503</v>
      </c>
      <c r="R660">
        <v>0.76699907010055202</v>
      </c>
      <c r="S660" t="s">
        <v>4289</v>
      </c>
      <c r="T660" t="s">
        <v>7256</v>
      </c>
      <c r="U660" t="s">
        <v>7256</v>
      </c>
      <c r="V660" t="s">
        <v>7256</v>
      </c>
      <c r="W660">
        <v>4</v>
      </c>
      <c r="X660" t="s">
        <v>7916</v>
      </c>
      <c r="Y660">
        <v>0.62507372516433013</v>
      </c>
      <c r="Z660" t="str">
        <f>HYPERLINK("Melting_Curves/meltCurve_sp_P17931_LEG3_HUMAN_.pdf", "Melting_Curves/meltCurve_sp_P17931_LEG3_HUMAN_.pdf")</f>
        <v>Melting_Curves/meltCurve_sp_P17931_LEG3_HUMAN_.pdf</v>
      </c>
      <c r="AA660" t="s">
        <v>11530</v>
      </c>
      <c r="AB660" t="s">
        <v>15086</v>
      </c>
    </row>
    <row r="661" spans="1:28" x14ac:dyDescent="0.25">
      <c r="A661" t="s">
        <v>665</v>
      </c>
      <c r="B661">
        <v>0.98018197421672304</v>
      </c>
      <c r="C661">
        <v>0.95987511929719205</v>
      </c>
      <c r="D661">
        <v>0.90464628115266998</v>
      </c>
      <c r="E661">
        <v>0.77764229166866705</v>
      </c>
      <c r="F661">
        <v>0.59052492252724698</v>
      </c>
      <c r="G661">
        <v>0.19302299718278301</v>
      </c>
      <c r="H661">
        <v>8.3432606454360805E-2</v>
      </c>
      <c r="I661">
        <v>6.6793973253854499E-2</v>
      </c>
      <c r="J661">
        <v>7.0136809279053705E-2</v>
      </c>
      <c r="K661">
        <v>4.5529670370085998E-2</v>
      </c>
      <c r="L661">
        <v>1067.5688497900401</v>
      </c>
      <c r="M661">
        <v>20.047580364244801</v>
      </c>
      <c r="N661">
        <v>53.424458980978002</v>
      </c>
      <c r="O661">
        <v>52.730382616796199</v>
      </c>
      <c r="P661">
        <v>-9.20683820173233E-2</v>
      </c>
      <c r="Q661">
        <v>3.1375356705494198E-2</v>
      </c>
      <c r="R661">
        <v>0.99331315638718198</v>
      </c>
      <c r="S661" t="s">
        <v>4290</v>
      </c>
      <c r="T661" t="s">
        <v>7256</v>
      </c>
      <c r="U661" t="s">
        <v>7256</v>
      </c>
      <c r="V661" t="s">
        <v>7256</v>
      </c>
      <c r="W661">
        <v>16</v>
      </c>
      <c r="X661" t="s">
        <v>7917</v>
      </c>
      <c r="Y661">
        <v>0.47247925820536057</v>
      </c>
      <c r="Z661" t="str">
        <f>HYPERLINK("Melting_Curves/meltCurve_sp_P17987_TCPA_HUMAN_.pdf", "Melting_Curves/meltCurve_sp_P17987_TCPA_HUMAN_.pdf")</f>
        <v>Melting_Curves/meltCurve_sp_P17987_TCPA_HUMAN_.pdf</v>
      </c>
      <c r="AA661" t="s">
        <v>11531</v>
      </c>
      <c r="AB661" t="s">
        <v>15087</v>
      </c>
    </row>
    <row r="662" spans="1:28" x14ac:dyDescent="0.25">
      <c r="A662" t="s">
        <v>666</v>
      </c>
      <c r="B662">
        <v>0.98018197421672304</v>
      </c>
      <c r="C662">
        <v>0.87853496953079402</v>
      </c>
      <c r="D662">
        <v>0.91676949758168003</v>
      </c>
      <c r="E662">
        <v>0.843733299293289</v>
      </c>
      <c r="F662">
        <v>0.73518886276119799</v>
      </c>
      <c r="G662">
        <v>0.49906077319926401</v>
      </c>
      <c r="H662">
        <v>0.478214468146269</v>
      </c>
      <c r="I662">
        <v>0.45712190970974098</v>
      </c>
      <c r="J662">
        <v>0.50909369150087003</v>
      </c>
      <c r="K662">
        <v>0.63151282618639903</v>
      </c>
      <c r="L662">
        <v>1094.6967771546999</v>
      </c>
      <c r="M662">
        <v>21.204173658702398</v>
      </c>
      <c r="O662">
        <v>51.173880128294599</v>
      </c>
      <c r="P662">
        <v>-5.1319811035623698E-2</v>
      </c>
      <c r="Q662">
        <v>0.50459451214670903</v>
      </c>
      <c r="R662">
        <v>0.88234601048561401</v>
      </c>
      <c r="S662" t="s">
        <v>4291</v>
      </c>
      <c r="T662" t="s">
        <v>7256</v>
      </c>
      <c r="U662" t="s">
        <v>7256</v>
      </c>
      <c r="V662" t="s">
        <v>7256</v>
      </c>
      <c r="W662">
        <v>7</v>
      </c>
      <c r="X662" t="s">
        <v>7918</v>
      </c>
      <c r="Y662">
        <v>0.70275295735810417</v>
      </c>
      <c r="Z662" t="str">
        <f>HYPERLINK("Melting_Curves/meltCurve_sp_P18065_IBP2_HUMAN_.pdf", "Melting_Curves/meltCurve_sp_P18065_IBP2_HUMAN_.pdf")</f>
        <v>Melting_Curves/meltCurve_sp_P18065_IBP2_HUMAN_.pdf</v>
      </c>
      <c r="AA662" t="s">
        <v>11532</v>
      </c>
      <c r="AB662" t="s">
        <v>15088</v>
      </c>
    </row>
    <row r="663" spans="1:28" x14ac:dyDescent="0.25">
      <c r="A663" t="s">
        <v>667</v>
      </c>
      <c r="B663">
        <v>0.98018197421672304</v>
      </c>
      <c r="C663">
        <v>0.889867257161161</v>
      </c>
      <c r="D663">
        <v>0.88982364331237795</v>
      </c>
      <c r="E663">
        <v>0.80966691465398899</v>
      </c>
      <c r="F663">
        <v>0.68884027375645596</v>
      </c>
      <c r="G663">
        <v>0.59071344161533001</v>
      </c>
      <c r="H663">
        <v>0.47746692328405999</v>
      </c>
      <c r="I663">
        <v>0.46970282205604302</v>
      </c>
      <c r="J663">
        <v>0.30555017883638602</v>
      </c>
      <c r="K663">
        <v>8.3549809430395694E-2</v>
      </c>
      <c r="L663">
        <v>457.74885074847998</v>
      </c>
      <c r="M663">
        <v>7.7112932819229503</v>
      </c>
      <c r="N663">
        <v>59.360849621518199</v>
      </c>
      <c r="O663">
        <v>55.7646245928198</v>
      </c>
      <c r="P663">
        <v>-3.4615561596132098E-2</v>
      </c>
      <c r="Q663">
        <v>0</v>
      </c>
      <c r="R663">
        <v>0.94589402820104895</v>
      </c>
      <c r="S663" t="s">
        <v>4292</v>
      </c>
      <c r="T663" t="s">
        <v>7256</v>
      </c>
      <c r="U663" t="s">
        <v>7256</v>
      </c>
      <c r="V663" t="s">
        <v>7256</v>
      </c>
      <c r="W663">
        <v>62</v>
      </c>
      <c r="X663" t="s">
        <v>7919</v>
      </c>
      <c r="Y663">
        <v>0.63462109417001877</v>
      </c>
      <c r="Z663" t="str">
        <f>HYPERLINK("Melting_Curves/meltCurve_sp_P18206_2_VINC_HUMAN_.pdf", "Melting_Curves/meltCurve_sp_P18206_2_VINC_HUMAN_.pdf")</f>
        <v>Melting_Curves/meltCurve_sp_P18206_2_VINC_HUMAN_.pdf</v>
      </c>
      <c r="AA663" t="s">
        <v>11533</v>
      </c>
      <c r="AB663" t="s">
        <v>15089</v>
      </c>
    </row>
    <row r="664" spans="1:28" x14ac:dyDescent="0.25">
      <c r="A664" t="s">
        <v>668</v>
      </c>
      <c r="B664">
        <v>0.98018197421672304</v>
      </c>
      <c r="C664">
        <v>0.95434531481505502</v>
      </c>
      <c r="D664">
        <v>0.91699869979983895</v>
      </c>
      <c r="E664">
        <v>0.62882601498513302</v>
      </c>
      <c r="F664">
        <v>0.36482960065492498</v>
      </c>
      <c r="G664">
        <v>0.19424288467033801</v>
      </c>
      <c r="H664">
        <v>0.101913417947832</v>
      </c>
      <c r="I664">
        <v>7.50847978081884E-2</v>
      </c>
      <c r="J664">
        <v>7.8153991168086995E-2</v>
      </c>
      <c r="K664">
        <v>6.8956754587504498E-2</v>
      </c>
      <c r="L664">
        <v>982.35777692420595</v>
      </c>
      <c r="M664">
        <v>19.229505587894302</v>
      </c>
      <c r="N664">
        <v>51.458690073678397</v>
      </c>
      <c r="O664">
        <v>50.543118655204097</v>
      </c>
      <c r="P664">
        <v>-8.8934411504468097E-2</v>
      </c>
      <c r="Q664">
        <v>6.5009701529594802E-2</v>
      </c>
      <c r="R664">
        <v>0.99889740526048199</v>
      </c>
      <c r="S664" t="s">
        <v>4293</v>
      </c>
      <c r="T664" t="s">
        <v>7256</v>
      </c>
      <c r="U664" t="s">
        <v>7256</v>
      </c>
      <c r="V664" t="s">
        <v>7256</v>
      </c>
      <c r="W664">
        <v>9</v>
      </c>
      <c r="X664" t="s">
        <v>7920</v>
      </c>
      <c r="Y664">
        <v>0.42447486708023863</v>
      </c>
      <c r="Z664" t="str">
        <f>HYPERLINK("Melting_Curves/meltCurve_sp_P18283_GPX2_HUMAN_.pdf", "Melting_Curves/meltCurve_sp_P18283_GPX2_HUMAN_.pdf")</f>
        <v>Melting_Curves/meltCurve_sp_P18283_GPX2_HUMAN_.pdf</v>
      </c>
      <c r="AA664" t="s">
        <v>11534</v>
      </c>
      <c r="AB664" t="s">
        <v>15090</v>
      </c>
    </row>
    <row r="665" spans="1:28" x14ac:dyDescent="0.25">
      <c r="A665" t="s">
        <v>669</v>
      </c>
      <c r="B665">
        <v>0.98018197421672304</v>
      </c>
      <c r="C665">
        <v>1.0884039100249501</v>
      </c>
      <c r="D665">
        <v>0.96950064662914304</v>
      </c>
      <c r="E665">
        <v>0.752727689583777</v>
      </c>
      <c r="F665">
        <v>0.55959446822000802</v>
      </c>
      <c r="G665">
        <v>0.30809116667894199</v>
      </c>
      <c r="H665">
        <v>0.14981217180294301</v>
      </c>
      <c r="I665">
        <v>0.121086553412747</v>
      </c>
      <c r="J665">
        <v>0.19795016755415801</v>
      </c>
      <c r="K665">
        <v>0.183700783043103</v>
      </c>
      <c r="L665">
        <v>1113.67449429044</v>
      </c>
      <c r="M665">
        <v>21.181751499548</v>
      </c>
      <c r="N665">
        <v>53.478729058120599</v>
      </c>
      <c r="O665">
        <v>52.115199242426499</v>
      </c>
      <c r="P665">
        <v>-8.6354930468460406E-2</v>
      </c>
      <c r="Q665">
        <v>0.15015790325091399</v>
      </c>
      <c r="R665">
        <v>0.98659195561509405</v>
      </c>
      <c r="S665" t="s">
        <v>4294</v>
      </c>
      <c r="T665" t="s">
        <v>7256</v>
      </c>
      <c r="U665" t="s">
        <v>7256</v>
      </c>
      <c r="V665" t="s">
        <v>7256</v>
      </c>
      <c r="W665">
        <v>1</v>
      </c>
      <c r="X665" t="s">
        <v>7921</v>
      </c>
      <c r="Y665">
        <v>0.51703606216320652</v>
      </c>
      <c r="Z665" t="str">
        <f>HYPERLINK("Melting_Curves/meltCurve_sp_P18510_4_IL1RA_HUMAN_.pdf", "Melting_Curves/meltCurve_sp_P18510_4_IL1RA_HUMAN_.pdf")</f>
        <v>Melting_Curves/meltCurve_sp_P18510_4_IL1RA_HUMAN_.pdf</v>
      </c>
      <c r="AA665" t="s">
        <v>11535</v>
      </c>
      <c r="AB665" t="s">
        <v>15091</v>
      </c>
    </row>
    <row r="666" spans="1:28" x14ac:dyDescent="0.25">
      <c r="A666" t="s">
        <v>670</v>
      </c>
      <c r="B666">
        <v>0.98018197421672304</v>
      </c>
      <c r="C666">
        <v>0.85037029136419096</v>
      </c>
      <c r="D666">
        <v>0.84834160968880301</v>
      </c>
      <c r="E666">
        <v>0.70067861427382305</v>
      </c>
      <c r="F666">
        <v>0.56967030678421204</v>
      </c>
      <c r="G666">
        <v>0.39016411320340699</v>
      </c>
      <c r="H666">
        <v>0.33679107349642501</v>
      </c>
      <c r="I666">
        <v>0.310644450465555</v>
      </c>
      <c r="J666">
        <v>0.36929849861414499</v>
      </c>
      <c r="K666">
        <v>0.37668436341466499</v>
      </c>
      <c r="L666">
        <v>632.04830560613402</v>
      </c>
      <c r="M666">
        <v>12.5756016495127</v>
      </c>
      <c r="N666">
        <v>54.3838781152457</v>
      </c>
      <c r="O666">
        <v>49.039771265348598</v>
      </c>
      <c r="P666">
        <v>-4.4415530203332797E-2</v>
      </c>
      <c r="Q666">
        <v>0.307328657253222</v>
      </c>
      <c r="R666">
        <v>0.97049096787438105</v>
      </c>
      <c r="S666" t="s">
        <v>4295</v>
      </c>
      <c r="T666" t="s">
        <v>7256</v>
      </c>
      <c r="U666" t="s">
        <v>7256</v>
      </c>
      <c r="V666" t="s">
        <v>7256</v>
      </c>
      <c r="W666">
        <v>2</v>
      </c>
      <c r="X666" t="s">
        <v>7922</v>
      </c>
      <c r="Y666">
        <v>0.56617573316680347</v>
      </c>
      <c r="Z666" t="str">
        <f>HYPERLINK("Melting_Curves/meltCurve_sp_P18583_2_SON_HUMAN_.pdf", "Melting_Curves/meltCurve_sp_P18583_2_SON_HUMAN_.pdf")</f>
        <v>Melting_Curves/meltCurve_sp_P18583_2_SON_HUMAN_.pdf</v>
      </c>
      <c r="AA666" t="s">
        <v>11536</v>
      </c>
      <c r="AB666" t="s">
        <v>15092</v>
      </c>
    </row>
    <row r="667" spans="1:28" x14ac:dyDescent="0.25">
      <c r="A667" t="s">
        <v>671</v>
      </c>
      <c r="B667">
        <v>0.98018197421672304</v>
      </c>
      <c r="C667">
        <v>0.92701080617028797</v>
      </c>
      <c r="D667">
        <v>0.85352995495697503</v>
      </c>
      <c r="E667">
        <v>0.58284789600313902</v>
      </c>
      <c r="F667">
        <v>0.45102129196399598</v>
      </c>
      <c r="G667">
        <v>0.33172213222370001</v>
      </c>
      <c r="H667">
        <v>0.259960907298664</v>
      </c>
      <c r="I667">
        <v>0.25547676153281001</v>
      </c>
      <c r="J667">
        <v>0.295533308465186</v>
      </c>
      <c r="K667">
        <v>0.36654995644104299</v>
      </c>
      <c r="L667">
        <v>907.98770911664201</v>
      </c>
      <c r="M667">
        <v>18.4784571027804</v>
      </c>
      <c r="N667">
        <v>51.514672378663199</v>
      </c>
      <c r="O667">
        <v>48.572999496180501</v>
      </c>
      <c r="P667">
        <v>-6.7827408585865195E-2</v>
      </c>
      <c r="Q667">
        <v>0.286859487119066</v>
      </c>
      <c r="R667">
        <v>0.98515848046122001</v>
      </c>
      <c r="S667" t="s">
        <v>4296</v>
      </c>
      <c r="T667" t="s">
        <v>7256</v>
      </c>
      <c r="U667" t="s">
        <v>7256</v>
      </c>
      <c r="V667" t="s">
        <v>7256</v>
      </c>
      <c r="W667">
        <v>1</v>
      </c>
      <c r="X667" t="s">
        <v>7923</v>
      </c>
      <c r="Y667">
        <v>0.51576879533271436</v>
      </c>
      <c r="Z667" t="str">
        <f>HYPERLINK("Melting_Curves/meltCurve_sp_P18621_2_RL17_HUMAN_.pdf", "Melting_Curves/meltCurve_sp_P18621_2_RL17_HUMAN_.pdf")</f>
        <v>Melting_Curves/meltCurve_sp_P18621_2_RL17_HUMAN_.pdf</v>
      </c>
      <c r="AA667" t="s">
        <v>11537</v>
      </c>
      <c r="AB667" t="s">
        <v>15093</v>
      </c>
    </row>
    <row r="668" spans="1:28" x14ac:dyDescent="0.25">
      <c r="A668" t="s">
        <v>672</v>
      </c>
      <c r="B668">
        <v>0.98018197421672304</v>
      </c>
      <c r="C668">
        <v>0.93210586468498202</v>
      </c>
      <c r="D668">
        <v>0.98558804653085497</v>
      </c>
      <c r="E668">
        <v>0.84943472160677502</v>
      </c>
      <c r="F668">
        <v>0.85842923280981198</v>
      </c>
      <c r="G668">
        <v>0.58003654435879803</v>
      </c>
      <c r="H668">
        <v>0.13243639314495501</v>
      </c>
      <c r="I668">
        <v>8.9398771473768193E-2</v>
      </c>
      <c r="J668">
        <v>8.8608957783327599E-2</v>
      </c>
      <c r="K668">
        <v>7.8693234348694005E-2</v>
      </c>
      <c r="L668">
        <v>1379.1599719537301</v>
      </c>
      <c r="M668">
        <v>24.197065073715901</v>
      </c>
      <c r="N668">
        <v>57.199543930965703</v>
      </c>
      <c r="O668">
        <v>56.611978790409999</v>
      </c>
      <c r="P668">
        <v>-0.102469153778983</v>
      </c>
      <c r="Q668">
        <v>4.1058450955114803E-2</v>
      </c>
      <c r="R668">
        <v>0.98069589656321099</v>
      </c>
      <c r="S668" t="s">
        <v>4297</v>
      </c>
      <c r="T668" t="s">
        <v>7256</v>
      </c>
      <c r="U668" t="s">
        <v>7256</v>
      </c>
      <c r="V668" t="s">
        <v>7256</v>
      </c>
      <c r="W668">
        <v>17</v>
      </c>
      <c r="X668" t="s">
        <v>7924</v>
      </c>
      <c r="Y668">
        <v>0.59344218957926242</v>
      </c>
      <c r="Z668" t="str">
        <f>HYPERLINK("Melting_Curves/meltCurve_sp_P18669_PGAM1_HUMAN_.pdf", "Melting_Curves/meltCurve_sp_P18669_PGAM1_HUMAN_.pdf")</f>
        <v>Melting_Curves/meltCurve_sp_P18669_PGAM1_HUMAN_.pdf</v>
      </c>
      <c r="AA668" t="s">
        <v>11538</v>
      </c>
      <c r="AB668" t="s">
        <v>15094</v>
      </c>
    </row>
    <row r="669" spans="1:28" x14ac:dyDescent="0.25">
      <c r="A669" t="s">
        <v>673</v>
      </c>
      <c r="B669">
        <v>0.98018197421672304</v>
      </c>
      <c r="C669">
        <v>1.01303698590741</v>
      </c>
      <c r="D669">
        <v>0.95250181122040001</v>
      </c>
      <c r="E669">
        <v>0.74905045723621599</v>
      </c>
      <c r="F669">
        <v>0.51839014632616998</v>
      </c>
      <c r="G669">
        <v>0.35064369465836598</v>
      </c>
      <c r="H669">
        <v>0.39196301950527301</v>
      </c>
      <c r="I669">
        <v>0.45196990410405002</v>
      </c>
      <c r="J669">
        <v>0.43279590634082099</v>
      </c>
      <c r="K669">
        <v>0.81080227827474505</v>
      </c>
      <c r="L669">
        <v>2424.3034762959301</v>
      </c>
      <c r="M669">
        <v>48.475364886558999</v>
      </c>
      <c r="N669">
        <v>54.140418894197602</v>
      </c>
      <c r="O669">
        <v>49.926160704719003</v>
      </c>
      <c r="P669">
        <v>-0.124376578200543</v>
      </c>
      <c r="Q669">
        <v>0.48760464455767699</v>
      </c>
      <c r="R669">
        <v>0.77747597654834799</v>
      </c>
      <c r="S669" t="s">
        <v>4298</v>
      </c>
      <c r="T669" t="s">
        <v>7256</v>
      </c>
      <c r="U669" t="s">
        <v>7256</v>
      </c>
      <c r="V669" t="s">
        <v>7256</v>
      </c>
      <c r="W669">
        <v>2</v>
      </c>
      <c r="X669" t="s">
        <v>7925</v>
      </c>
      <c r="Y669">
        <v>0.65979470706446652</v>
      </c>
      <c r="Z669" t="str">
        <f>HYPERLINK("Melting_Curves/meltCurve_sp_P18859_ATP5J_HUMAN_.pdf", "Melting_Curves/meltCurve_sp_P18859_ATP5J_HUMAN_.pdf")</f>
        <v>Melting_Curves/meltCurve_sp_P18859_ATP5J_HUMAN_.pdf</v>
      </c>
      <c r="AA669" t="s">
        <v>11539</v>
      </c>
      <c r="AB669" t="s">
        <v>15095</v>
      </c>
    </row>
    <row r="670" spans="1:28" x14ac:dyDescent="0.25">
      <c r="A670" t="s">
        <v>674</v>
      </c>
      <c r="B670">
        <v>0.98018197421672304</v>
      </c>
      <c r="C670">
        <v>0.97875627958464295</v>
      </c>
      <c r="D670">
        <v>0.81354656450773999</v>
      </c>
      <c r="E670">
        <v>0.615906866793827</v>
      </c>
      <c r="F670">
        <v>0.34857308253462699</v>
      </c>
      <c r="G670">
        <v>0.18477256862292499</v>
      </c>
      <c r="H670">
        <v>0.248713307125811</v>
      </c>
      <c r="I670">
        <v>0.27269828143921798</v>
      </c>
      <c r="J670">
        <v>0.286347976378584</v>
      </c>
      <c r="K670">
        <v>0.43153872171082203</v>
      </c>
      <c r="L670">
        <v>1159.50656277184</v>
      </c>
      <c r="M670">
        <v>23.711226503153799</v>
      </c>
      <c r="N670">
        <v>50.654234813818803</v>
      </c>
      <c r="O670">
        <v>48.557324318761701</v>
      </c>
      <c r="P670">
        <v>-8.7907905503431499E-2</v>
      </c>
      <c r="Q670">
        <v>0.27991890522443202</v>
      </c>
      <c r="R670">
        <v>0.94474039799131804</v>
      </c>
      <c r="S670" t="s">
        <v>4299</v>
      </c>
      <c r="T670" t="s">
        <v>7256</v>
      </c>
      <c r="U670" t="s">
        <v>7256</v>
      </c>
      <c r="V670" t="s">
        <v>7256</v>
      </c>
      <c r="W670">
        <v>7</v>
      </c>
      <c r="X670" t="s">
        <v>7926</v>
      </c>
      <c r="Y670">
        <v>0.50068490522780928</v>
      </c>
      <c r="Z670" t="str">
        <f>HYPERLINK("Melting_Curves/meltCurve_sp_P19105_ML12A_HUMAN_.pdf", "Melting_Curves/meltCurve_sp_P19105_ML12A_HUMAN_.pdf")</f>
        <v>Melting_Curves/meltCurve_sp_P19105_ML12A_HUMAN_.pdf</v>
      </c>
      <c r="AA670" t="s">
        <v>11540</v>
      </c>
      <c r="AB670" t="s">
        <v>15096</v>
      </c>
    </row>
    <row r="671" spans="1:28" x14ac:dyDescent="0.25">
      <c r="A671" t="s">
        <v>675</v>
      </c>
      <c r="B671">
        <v>0.98018197421672304</v>
      </c>
      <c r="C671">
        <v>0.97413031907082703</v>
      </c>
      <c r="D671">
        <v>0.96882081656837205</v>
      </c>
      <c r="E671">
        <v>0.84801235514038797</v>
      </c>
      <c r="F671">
        <v>0.52768197121027904</v>
      </c>
      <c r="G671">
        <v>9.9329752001893007E-2</v>
      </c>
      <c r="H671">
        <v>4.5210514443452199E-2</v>
      </c>
      <c r="I671">
        <v>3.5851035137124801E-2</v>
      </c>
      <c r="J671">
        <v>3.8109587559605397E-2</v>
      </c>
      <c r="K671">
        <v>3.7273775475024903E-2</v>
      </c>
      <c r="L671">
        <v>1641.06393464537</v>
      </c>
      <c r="M671">
        <v>30.988048596101802</v>
      </c>
      <c r="N671">
        <v>53.060753259057599</v>
      </c>
      <c r="O671">
        <v>52.7388869837336</v>
      </c>
      <c r="P671">
        <v>-0.14261520228546801</v>
      </c>
      <c r="Q671">
        <v>2.9132344915540901E-2</v>
      </c>
      <c r="R671">
        <v>0.99828905162053705</v>
      </c>
      <c r="S671" t="s">
        <v>4300</v>
      </c>
      <c r="T671" t="s">
        <v>7256</v>
      </c>
      <c r="U671" t="s">
        <v>7256</v>
      </c>
      <c r="V671" t="s">
        <v>7256</v>
      </c>
      <c r="W671">
        <v>3</v>
      </c>
      <c r="X671" t="s">
        <v>7927</v>
      </c>
      <c r="Y671">
        <v>0.45438547537711049</v>
      </c>
      <c r="Z671" t="str">
        <f>HYPERLINK("Melting_Curves/meltCurve_sp_P19174_PLCG1_HUMAN_.pdf", "Melting_Curves/meltCurve_sp_P19174_PLCG1_HUMAN_.pdf")</f>
        <v>Melting_Curves/meltCurve_sp_P19174_PLCG1_HUMAN_.pdf</v>
      </c>
      <c r="AA671" t="s">
        <v>11541</v>
      </c>
      <c r="AB671" t="s">
        <v>15097</v>
      </c>
    </row>
    <row r="672" spans="1:28" x14ac:dyDescent="0.25">
      <c r="A672" t="s">
        <v>676</v>
      </c>
      <c r="B672">
        <v>0.98018197421672304</v>
      </c>
      <c r="C672">
        <v>0.97791744986635698</v>
      </c>
      <c r="D672">
        <v>0.94078154972848105</v>
      </c>
      <c r="E672">
        <v>0.84043396069579701</v>
      </c>
      <c r="F672">
        <v>0.81591842467104803</v>
      </c>
      <c r="G672">
        <v>0.67049481487894402</v>
      </c>
      <c r="H672">
        <v>0.53964935918074497</v>
      </c>
      <c r="I672">
        <v>0.57351872346979704</v>
      </c>
      <c r="J672">
        <v>0.64887839110808199</v>
      </c>
      <c r="K672">
        <v>0.73660654683586202</v>
      </c>
      <c r="L672">
        <v>960.51235756034896</v>
      </c>
      <c r="M672">
        <v>18.673399885740601</v>
      </c>
      <c r="O672">
        <v>50.858447829194802</v>
      </c>
      <c r="P672">
        <v>-3.4665955080491202E-2</v>
      </c>
      <c r="Q672">
        <v>0.62235448502120105</v>
      </c>
      <c r="R672">
        <v>0.87060645872805598</v>
      </c>
      <c r="S672" t="s">
        <v>4301</v>
      </c>
      <c r="T672" t="s">
        <v>7256</v>
      </c>
      <c r="U672" t="s">
        <v>7256</v>
      </c>
      <c r="V672" t="s">
        <v>7256</v>
      </c>
      <c r="W672">
        <v>30</v>
      </c>
      <c r="X672" t="s">
        <v>7928</v>
      </c>
      <c r="Y672">
        <v>0.77226189612418972</v>
      </c>
      <c r="Z672" t="str">
        <f>HYPERLINK("Melting_Curves/meltCurve_sp_P19338_NUCL_HUMAN_.pdf", "Melting_Curves/meltCurve_sp_P19338_NUCL_HUMAN_.pdf")</f>
        <v>Melting_Curves/meltCurve_sp_P19338_NUCL_HUMAN_.pdf</v>
      </c>
      <c r="AA672" t="s">
        <v>11542</v>
      </c>
      <c r="AB672" t="s">
        <v>15098</v>
      </c>
    </row>
    <row r="673" spans="1:28" x14ac:dyDescent="0.25">
      <c r="A673" t="s">
        <v>677</v>
      </c>
      <c r="B673">
        <v>0.98018197421672304</v>
      </c>
      <c r="C673">
        <v>0.83540077243826705</v>
      </c>
      <c r="D673">
        <v>0.70038648667118197</v>
      </c>
      <c r="E673">
        <v>0.35847852095073002</v>
      </c>
      <c r="F673">
        <v>0.184191548572297</v>
      </c>
      <c r="G673">
        <v>0.113746731507432</v>
      </c>
      <c r="H673">
        <v>7.2749887973293695E-2</v>
      </c>
      <c r="I673">
        <v>7.2232577934384604E-2</v>
      </c>
      <c r="J673">
        <v>7.1973968060004695E-2</v>
      </c>
      <c r="K673">
        <v>5.5220659149846099E-2</v>
      </c>
      <c r="L673">
        <v>804.36002356495203</v>
      </c>
      <c r="M673">
        <v>16.8453417234143</v>
      </c>
      <c r="N673">
        <v>48.074797896833402</v>
      </c>
      <c r="O673">
        <v>47.092011193796303</v>
      </c>
      <c r="P673">
        <v>-8.4619072370368198E-2</v>
      </c>
      <c r="Q673">
        <v>5.3832898822994003E-2</v>
      </c>
      <c r="R673">
        <v>0.99715843242063396</v>
      </c>
      <c r="S673" t="s">
        <v>4302</v>
      </c>
      <c r="T673" t="s">
        <v>7256</v>
      </c>
      <c r="U673" t="s">
        <v>7256</v>
      </c>
      <c r="V673" t="s">
        <v>7256</v>
      </c>
      <c r="W673">
        <v>2</v>
      </c>
      <c r="X673" t="s">
        <v>7929</v>
      </c>
      <c r="Y673">
        <v>0.31769675675654169</v>
      </c>
      <c r="Z673" t="str">
        <f>HYPERLINK("Melting_Curves/meltCurve_sp_P19388_RPAB1_HUMAN_.pdf", "Melting_Curves/meltCurve_sp_P19388_RPAB1_HUMAN_.pdf")</f>
        <v>Melting_Curves/meltCurve_sp_P19388_RPAB1_HUMAN_.pdf</v>
      </c>
      <c r="AA673" t="s">
        <v>11543</v>
      </c>
      <c r="AB673" t="s">
        <v>15099</v>
      </c>
    </row>
    <row r="674" spans="1:28" x14ac:dyDescent="0.25">
      <c r="A674" t="s">
        <v>678</v>
      </c>
      <c r="B674">
        <v>0.98018197421672304</v>
      </c>
      <c r="C674">
        <v>0.92565118925767198</v>
      </c>
      <c r="D674">
        <v>0.88740666368377696</v>
      </c>
      <c r="E674">
        <v>0.78653725902989102</v>
      </c>
      <c r="F674">
        <v>0.65774617476336295</v>
      </c>
      <c r="G674">
        <v>0.42855142148867498</v>
      </c>
      <c r="H674">
        <v>0.39744440729337699</v>
      </c>
      <c r="I674">
        <v>0.37967822793030198</v>
      </c>
      <c r="J674">
        <v>0.32241991798270297</v>
      </c>
      <c r="K674">
        <v>0.30565790055500902</v>
      </c>
      <c r="L674">
        <v>655.10907894557704</v>
      </c>
      <c r="M674">
        <v>12.3982126311963</v>
      </c>
      <c r="N674">
        <v>56.515740511802903</v>
      </c>
      <c r="O674">
        <v>51.520817382664603</v>
      </c>
      <c r="P674">
        <v>-4.3517118880484901E-2</v>
      </c>
      <c r="Q674">
        <v>0.27681141798604503</v>
      </c>
      <c r="R674">
        <v>0.98943614654127798</v>
      </c>
      <c r="S674" t="s">
        <v>4303</v>
      </c>
      <c r="T674" t="s">
        <v>7256</v>
      </c>
      <c r="U674" t="s">
        <v>7256</v>
      </c>
      <c r="V674" t="s">
        <v>7256</v>
      </c>
      <c r="W674">
        <v>7</v>
      </c>
      <c r="X674" t="s">
        <v>7930</v>
      </c>
      <c r="Y674">
        <v>0.60638111619940716</v>
      </c>
      <c r="Z674" t="str">
        <f>HYPERLINK("Melting_Curves/meltCurve_sp_P19404_NDUV2_HUMAN_.pdf", "Melting_Curves/meltCurve_sp_P19404_NDUV2_HUMAN_.pdf")</f>
        <v>Melting_Curves/meltCurve_sp_P19404_NDUV2_HUMAN_.pdf</v>
      </c>
      <c r="AA674" t="s">
        <v>11544</v>
      </c>
      <c r="AB674" t="s">
        <v>15100</v>
      </c>
    </row>
    <row r="675" spans="1:28" x14ac:dyDescent="0.25">
      <c r="A675" t="s">
        <v>679</v>
      </c>
      <c r="B675">
        <v>0.98018197421672304</v>
      </c>
      <c r="C675">
        <v>0.77042392798684201</v>
      </c>
      <c r="D675">
        <v>0.908541002789367</v>
      </c>
      <c r="E675">
        <v>0.74821068113213896</v>
      </c>
      <c r="F675">
        <v>0.58256212192615597</v>
      </c>
      <c r="G675">
        <v>0.20083631739390201</v>
      </c>
      <c r="H675">
        <v>0.21128251490643599</v>
      </c>
      <c r="I675">
        <v>0.162167399897928</v>
      </c>
      <c r="J675">
        <v>0.171086237109632</v>
      </c>
      <c r="K675">
        <v>0.116779517465129</v>
      </c>
      <c r="L675">
        <v>766.99501121146602</v>
      </c>
      <c r="M675">
        <v>14.596992318801099</v>
      </c>
      <c r="N675">
        <v>53.324092244558798</v>
      </c>
      <c r="O675">
        <v>51.588100404225401</v>
      </c>
      <c r="P675">
        <v>-6.3950206058102504E-2</v>
      </c>
      <c r="Q675">
        <v>9.6060664223317493E-2</v>
      </c>
      <c r="R675">
        <v>0.945279537668544</v>
      </c>
      <c r="S675" t="s">
        <v>4304</v>
      </c>
      <c r="T675" t="s">
        <v>7256</v>
      </c>
      <c r="U675" t="s">
        <v>7256</v>
      </c>
      <c r="V675" t="s">
        <v>7256</v>
      </c>
      <c r="W675">
        <v>4</v>
      </c>
      <c r="X675" t="s">
        <v>7931</v>
      </c>
      <c r="Y675">
        <v>0.49465303404860028</v>
      </c>
      <c r="Z675" t="str">
        <f>HYPERLINK("Melting_Curves/meltCurve_sp_P19525_2_E2AK2_HUMAN_.pdf", "Melting_Curves/meltCurve_sp_P19525_2_E2AK2_HUMAN_.pdf")</f>
        <v>Melting_Curves/meltCurve_sp_P19525_2_E2AK2_HUMAN_.pdf</v>
      </c>
      <c r="AA675" t="s">
        <v>11545</v>
      </c>
      <c r="AB675" t="s">
        <v>15101</v>
      </c>
    </row>
    <row r="676" spans="1:28" x14ac:dyDescent="0.25">
      <c r="A676" t="s">
        <v>680</v>
      </c>
      <c r="B676">
        <v>0.98018197421672304</v>
      </c>
      <c r="C676">
        <v>0.99916065671392895</v>
      </c>
      <c r="D676">
        <v>0.85290999670874101</v>
      </c>
      <c r="E676">
        <v>0.33386754007360803</v>
      </c>
      <c r="F676">
        <v>0.14532523883675699</v>
      </c>
      <c r="G676">
        <v>8.5334702678442398E-2</v>
      </c>
      <c r="H676">
        <v>4.7784453383478302E-2</v>
      </c>
      <c r="I676">
        <v>3.76094383281807E-2</v>
      </c>
      <c r="J676">
        <v>4.2452071305474202E-2</v>
      </c>
      <c r="K676">
        <v>4.1369330065856302E-2</v>
      </c>
      <c r="L676">
        <v>1411.06810782662</v>
      </c>
      <c r="M676">
        <v>29.013183197682501</v>
      </c>
      <c r="N676">
        <v>48.808978916713997</v>
      </c>
      <c r="O676">
        <v>48.406116040478501</v>
      </c>
      <c r="P676">
        <v>-0.142499226223574</v>
      </c>
      <c r="Q676">
        <v>4.9014045049989997E-2</v>
      </c>
      <c r="R676">
        <v>0.99878630944366997</v>
      </c>
      <c r="S676" t="s">
        <v>4305</v>
      </c>
      <c r="T676" t="s">
        <v>7256</v>
      </c>
      <c r="U676" t="s">
        <v>7256</v>
      </c>
      <c r="V676" t="s">
        <v>7256</v>
      </c>
      <c r="W676">
        <v>5</v>
      </c>
      <c r="X676" t="s">
        <v>7932</v>
      </c>
      <c r="Y676">
        <v>0.32892816102438438</v>
      </c>
      <c r="Z676" t="str">
        <f>HYPERLINK("Melting_Curves/meltCurve_sp_P19623_SPEE_HUMAN_.pdf", "Melting_Curves/meltCurve_sp_P19623_SPEE_HUMAN_.pdf")</f>
        <v>Melting_Curves/meltCurve_sp_P19623_SPEE_HUMAN_.pdf</v>
      </c>
      <c r="AA676" t="s">
        <v>11546</v>
      </c>
      <c r="AB676" t="s">
        <v>15102</v>
      </c>
    </row>
    <row r="677" spans="1:28" x14ac:dyDescent="0.25">
      <c r="A677" t="s">
        <v>681</v>
      </c>
      <c r="B677">
        <v>0.98018197421672304</v>
      </c>
      <c r="C677">
        <v>0.960026740929529</v>
      </c>
      <c r="D677">
        <v>0.90667057552855701</v>
      </c>
      <c r="E677">
        <v>0.77798168645963806</v>
      </c>
      <c r="F677">
        <v>0.70721124493422405</v>
      </c>
      <c r="G677">
        <v>0.57209665199596504</v>
      </c>
      <c r="H677">
        <v>0.40687824189244998</v>
      </c>
      <c r="I677">
        <v>0.42527135985622699</v>
      </c>
      <c r="J677">
        <v>0.41520258725603998</v>
      </c>
      <c r="K677">
        <v>0.55830801810150399</v>
      </c>
      <c r="L677">
        <v>773.40555544176004</v>
      </c>
      <c r="M677">
        <v>14.942100154489699</v>
      </c>
      <c r="N677">
        <v>59.859821862544798</v>
      </c>
      <c r="O677">
        <v>50.8596108174658</v>
      </c>
      <c r="P677">
        <v>-4.1590912392819597E-2</v>
      </c>
      <c r="Q677">
        <v>0.433792952261086</v>
      </c>
      <c r="R677">
        <v>0.94601825555278496</v>
      </c>
      <c r="S677" t="s">
        <v>4306</v>
      </c>
      <c r="T677" t="s">
        <v>7256</v>
      </c>
      <c r="U677" t="s">
        <v>7256</v>
      </c>
      <c r="V677" t="s">
        <v>7256</v>
      </c>
      <c r="W677">
        <v>9</v>
      </c>
      <c r="X677" t="s">
        <v>7933</v>
      </c>
      <c r="Y677">
        <v>0.66858933838444945</v>
      </c>
      <c r="Z677" t="str">
        <f>HYPERLINK("Melting_Curves/meltCurve_sp_P19652_A1AG2_HUMAN_.pdf", "Melting_Curves/meltCurve_sp_P19652_A1AG2_HUMAN_.pdf")</f>
        <v>Melting_Curves/meltCurve_sp_P19652_A1AG2_HUMAN_.pdf</v>
      </c>
      <c r="AA677" t="s">
        <v>11547</v>
      </c>
      <c r="AB677" t="s">
        <v>15103</v>
      </c>
    </row>
    <row r="678" spans="1:28" x14ac:dyDescent="0.25">
      <c r="A678" t="s">
        <v>682</v>
      </c>
      <c r="B678">
        <v>0.98018197421672304</v>
      </c>
      <c r="C678">
        <v>0.86517935064551499</v>
      </c>
      <c r="D678">
        <v>0.82412956591050301</v>
      </c>
      <c r="E678">
        <v>0.61291805425063395</v>
      </c>
      <c r="F678">
        <v>0.36381294382443202</v>
      </c>
      <c r="G678">
        <v>0.25190059304280799</v>
      </c>
      <c r="H678">
        <v>0.16481779039174399</v>
      </c>
      <c r="I678">
        <v>0.120216135295645</v>
      </c>
      <c r="J678">
        <v>0.10810760280776301</v>
      </c>
      <c r="K678">
        <v>7.5761863767987894E-2</v>
      </c>
      <c r="L678">
        <v>646.34965200101601</v>
      </c>
      <c r="M678">
        <v>12.7195119805377</v>
      </c>
      <c r="N678">
        <v>51.3008408506115</v>
      </c>
      <c r="O678">
        <v>49.608666650475001</v>
      </c>
      <c r="P678">
        <v>-6.0477901645069297E-2</v>
      </c>
      <c r="Q678">
        <v>5.6677257201170901E-2</v>
      </c>
      <c r="R678">
        <v>0.99393850165928799</v>
      </c>
      <c r="S678" t="s">
        <v>4307</v>
      </c>
      <c r="T678" t="s">
        <v>7256</v>
      </c>
      <c r="U678" t="s">
        <v>7256</v>
      </c>
      <c r="V678" t="s">
        <v>7256</v>
      </c>
      <c r="W678">
        <v>5</v>
      </c>
      <c r="X678" t="s">
        <v>7934</v>
      </c>
      <c r="Y678">
        <v>0.42529587833316401</v>
      </c>
      <c r="Z678" t="str">
        <f>HYPERLINK("Melting_Curves/meltCurve_sp_P19784_CSK22_HUMAN_.pdf", "Melting_Curves/meltCurve_sp_P19784_CSK22_HUMAN_.pdf")</f>
        <v>Melting_Curves/meltCurve_sp_P19784_CSK22_HUMAN_.pdf</v>
      </c>
      <c r="AA678" t="s">
        <v>11548</v>
      </c>
      <c r="AB678" t="s">
        <v>15104</v>
      </c>
    </row>
    <row r="679" spans="1:28" x14ac:dyDescent="0.25">
      <c r="A679" t="s">
        <v>683</v>
      </c>
      <c r="B679">
        <v>0.98018197421672304</v>
      </c>
      <c r="C679">
        <v>0.88392339854144397</v>
      </c>
      <c r="D679">
        <v>0.80514942226728803</v>
      </c>
      <c r="E679">
        <v>0.69675925632021696</v>
      </c>
      <c r="F679">
        <v>0.33494854662645202</v>
      </c>
      <c r="G679">
        <v>0.23893280572911799</v>
      </c>
      <c r="H679">
        <v>0.122036489534986</v>
      </c>
      <c r="I679">
        <v>8.7040503088196705E-2</v>
      </c>
      <c r="J679">
        <v>8.0687820547948999E-2</v>
      </c>
      <c r="K679">
        <v>5.3062032078341502E-2</v>
      </c>
      <c r="L679">
        <v>689.66319882341804</v>
      </c>
      <c r="M679">
        <v>13.435634205426799</v>
      </c>
      <c r="N679">
        <v>51.534996498294603</v>
      </c>
      <c r="O679">
        <v>50.233797359921503</v>
      </c>
      <c r="P679">
        <v>-6.5143217517628998E-2</v>
      </c>
      <c r="Q679">
        <v>2.5909415468974802E-2</v>
      </c>
      <c r="R679">
        <v>0.98469357435911997</v>
      </c>
      <c r="S679" t="s">
        <v>4308</v>
      </c>
      <c r="T679" t="s">
        <v>7256</v>
      </c>
      <c r="U679" t="s">
        <v>7256</v>
      </c>
      <c r="V679" t="s">
        <v>7256</v>
      </c>
      <c r="W679">
        <v>7</v>
      </c>
      <c r="X679" t="s">
        <v>7935</v>
      </c>
      <c r="Y679">
        <v>0.4202614660994094</v>
      </c>
      <c r="Z679" t="str">
        <f>HYPERLINK("Melting_Curves/meltCurve_sp_P19827_ITIH1_HUMAN_.pdf", "Melting_Curves/meltCurve_sp_P19827_ITIH1_HUMAN_.pdf")</f>
        <v>Melting_Curves/meltCurve_sp_P19827_ITIH1_HUMAN_.pdf</v>
      </c>
      <c r="AA679" t="s">
        <v>11549</v>
      </c>
      <c r="AB679" t="s">
        <v>15105</v>
      </c>
    </row>
    <row r="680" spans="1:28" x14ac:dyDescent="0.25">
      <c r="A680" t="s">
        <v>684</v>
      </c>
      <c r="B680">
        <v>0.98018197421672304</v>
      </c>
      <c r="C680">
        <v>0.93468289934204296</v>
      </c>
      <c r="D680">
        <v>0.84106052827632904</v>
      </c>
      <c r="E680">
        <v>0.60958090573091905</v>
      </c>
      <c r="F680">
        <v>0.34586525703758703</v>
      </c>
      <c r="G680">
        <v>0.19296345377944901</v>
      </c>
      <c r="H680">
        <v>0.13350134522273799</v>
      </c>
      <c r="I680">
        <v>9.7729424299298998E-2</v>
      </c>
      <c r="J680">
        <v>0.104516416010859</v>
      </c>
      <c r="K680">
        <v>7.44963001229699E-2</v>
      </c>
      <c r="L680">
        <v>834.96819070755498</v>
      </c>
      <c r="M680">
        <v>16.513045800929</v>
      </c>
      <c r="N680">
        <v>51.058257819985798</v>
      </c>
      <c r="O680">
        <v>49.840061763757497</v>
      </c>
      <c r="P680">
        <v>-7.6719052825639705E-2</v>
      </c>
      <c r="Q680">
        <v>7.3843262080268798E-2</v>
      </c>
      <c r="R680">
        <v>0.998141285073323</v>
      </c>
      <c r="S680" t="s">
        <v>4309</v>
      </c>
      <c r="T680" t="s">
        <v>7256</v>
      </c>
      <c r="U680" t="s">
        <v>7256</v>
      </c>
      <c r="V680" t="s">
        <v>7256</v>
      </c>
      <c r="W680">
        <v>6</v>
      </c>
      <c r="X680" t="s">
        <v>7936</v>
      </c>
      <c r="Y680">
        <v>0.41832144768500612</v>
      </c>
      <c r="Z680" t="str">
        <f>HYPERLINK("Melting_Curves/meltCurve_sp_P19838_NFKB1_HUMAN_.pdf", "Melting_Curves/meltCurve_sp_P19838_NFKB1_HUMAN_.pdf")</f>
        <v>Melting_Curves/meltCurve_sp_P19838_NFKB1_HUMAN_.pdf</v>
      </c>
      <c r="AA680" t="s">
        <v>11550</v>
      </c>
      <c r="AB680" t="s">
        <v>15106</v>
      </c>
    </row>
    <row r="681" spans="1:28" x14ac:dyDescent="0.25">
      <c r="A681" t="s">
        <v>685</v>
      </c>
      <c r="B681">
        <v>0.98018197421672304</v>
      </c>
      <c r="C681">
        <v>0.96141993927792802</v>
      </c>
      <c r="D681">
        <v>0.91171912199817695</v>
      </c>
      <c r="E681">
        <v>0.81841989439441998</v>
      </c>
      <c r="F681">
        <v>0.71014836898262501</v>
      </c>
      <c r="G681">
        <v>0.59725821047599004</v>
      </c>
      <c r="H681">
        <v>0.39889086971700699</v>
      </c>
      <c r="I681">
        <v>0.28813915459005102</v>
      </c>
      <c r="J681">
        <v>0.23279570717040299</v>
      </c>
      <c r="K681">
        <v>8.6928820304887494E-2</v>
      </c>
      <c r="L681">
        <v>580.12642753145997</v>
      </c>
      <c r="M681">
        <v>9.9666443792797796</v>
      </c>
      <c r="N681">
        <v>58.206794198858901</v>
      </c>
      <c r="O681">
        <v>56.009005255371399</v>
      </c>
      <c r="P681">
        <v>-4.4508727446733398E-2</v>
      </c>
      <c r="Q681">
        <v>0</v>
      </c>
      <c r="R681">
        <v>0.99093936149960105</v>
      </c>
      <c r="S681" t="s">
        <v>4310</v>
      </c>
      <c r="T681" t="s">
        <v>7256</v>
      </c>
      <c r="U681" t="s">
        <v>7256</v>
      </c>
      <c r="V681" t="s">
        <v>7256</v>
      </c>
      <c r="W681">
        <v>20</v>
      </c>
      <c r="X681" t="s">
        <v>7937</v>
      </c>
      <c r="Y681">
        <v>0.61542674885925142</v>
      </c>
      <c r="Z681" t="str">
        <f>HYPERLINK("Melting_Curves/meltCurve_sp_P19971_TYPH_HUMAN_.pdf", "Melting_Curves/meltCurve_sp_P19971_TYPH_HUMAN_.pdf")</f>
        <v>Melting_Curves/meltCurve_sp_P19971_TYPH_HUMAN_.pdf</v>
      </c>
      <c r="AA681" t="s">
        <v>11551</v>
      </c>
      <c r="AB681" t="s">
        <v>15107</v>
      </c>
    </row>
    <row r="682" spans="1:28" x14ac:dyDescent="0.25">
      <c r="A682" t="s">
        <v>686</v>
      </c>
      <c r="B682">
        <v>0.98018197421672304</v>
      </c>
      <c r="C682">
        <v>0.94121065062866205</v>
      </c>
      <c r="D682">
        <v>0.89557854845289298</v>
      </c>
      <c r="E682">
        <v>0.78842483344699399</v>
      </c>
      <c r="F682">
        <v>0.62249654860211301</v>
      </c>
      <c r="G682">
        <v>0.33417732170664399</v>
      </c>
      <c r="H682">
        <v>0.12709022903703299</v>
      </c>
      <c r="I682">
        <v>8.40747335338691E-2</v>
      </c>
      <c r="J682">
        <v>6.4058463812986993E-2</v>
      </c>
      <c r="K682">
        <v>6.2600725554228298E-2</v>
      </c>
      <c r="L682">
        <v>813.22619229591999</v>
      </c>
      <c r="M682">
        <v>14.9724839370748</v>
      </c>
      <c r="N682">
        <v>54.332504615609402</v>
      </c>
      <c r="O682">
        <v>53.3734358611622</v>
      </c>
      <c r="P682">
        <v>-6.9966421435099097E-2</v>
      </c>
      <c r="Q682">
        <v>2.4451879389481598E-3</v>
      </c>
      <c r="R682">
        <v>0.99513226886976802</v>
      </c>
      <c r="S682" t="s">
        <v>4311</v>
      </c>
      <c r="T682" t="s">
        <v>7256</v>
      </c>
      <c r="U682" t="s">
        <v>7256</v>
      </c>
      <c r="V682" t="s">
        <v>7256</v>
      </c>
      <c r="W682">
        <v>12</v>
      </c>
      <c r="X682" t="s">
        <v>7938</v>
      </c>
      <c r="Y682">
        <v>0.4985875675911916</v>
      </c>
      <c r="Z682" t="str">
        <f>HYPERLINK("Melting_Curves/meltCurve_sp_P20042_IF2B_HUMAN_.pdf", "Melting_Curves/meltCurve_sp_P20042_IF2B_HUMAN_.pdf")</f>
        <v>Melting_Curves/meltCurve_sp_P20042_IF2B_HUMAN_.pdf</v>
      </c>
      <c r="AA682" t="s">
        <v>11552</v>
      </c>
      <c r="AB682" t="s">
        <v>15108</v>
      </c>
    </row>
    <row r="683" spans="1:28" x14ac:dyDescent="0.25">
      <c r="A683" t="s">
        <v>687</v>
      </c>
      <c r="B683">
        <v>0.98018197421672304</v>
      </c>
      <c r="C683">
        <v>0.91022005103292003</v>
      </c>
      <c r="D683">
        <v>0.72039102078155204</v>
      </c>
      <c r="E683">
        <v>0.429979332647488</v>
      </c>
      <c r="F683">
        <v>0.25658837719148497</v>
      </c>
      <c r="G683">
        <v>0.159427055944277</v>
      </c>
      <c r="H683">
        <v>0.107408515467097</v>
      </c>
      <c r="I683">
        <v>9.5878940650144504E-2</v>
      </c>
      <c r="J683">
        <v>0.10642523980265201</v>
      </c>
      <c r="K683">
        <v>7.3168997945067801E-2</v>
      </c>
      <c r="L683">
        <v>799.13162534653304</v>
      </c>
      <c r="M683">
        <v>16.498133576673599</v>
      </c>
      <c r="N683">
        <v>48.966614122792301</v>
      </c>
      <c r="O683">
        <v>47.742829902804502</v>
      </c>
      <c r="P683">
        <v>-7.9345403342615306E-2</v>
      </c>
      <c r="Q683">
        <v>8.1614728988412003E-2</v>
      </c>
      <c r="R683">
        <v>0.999350398546903</v>
      </c>
      <c r="S683" t="s">
        <v>4312</v>
      </c>
      <c r="T683" t="s">
        <v>7256</v>
      </c>
      <c r="U683" t="s">
        <v>7256</v>
      </c>
      <c r="V683" t="s">
        <v>7256</v>
      </c>
      <c r="W683">
        <v>2</v>
      </c>
      <c r="X683" t="s">
        <v>7939</v>
      </c>
      <c r="Y683">
        <v>0.35912649803256019</v>
      </c>
      <c r="Z683" t="str">
        <f>HYPERLINK("Melting_Curves/meltCurve_sp_P20132_SDHL_HUMAN_.pdf", "Melting_Curves/meltCurve_sp_P20132_SDHL_HUMAN_.pdf")</f>
        <v>Melting_Curves/meltCurve_sp_P20132_SDHL_HUMAN_.pdf</v>
      </c>
      <c r="AA683" t="s">
        <v>11553</v>
      </c>
      <c r="AB683" t="s">
        <v>15109</v>
      </c>
    </row>
    <row r="684" spans="1:28" x14ac:dyDescent="0.25">
      <c r="A684" t="s">
        <v>688</v>
      </c>
      <c r="B684">
        <v>0.98018197421672304</v>
      </c>
      <c r="C684">
        <v>0.80649002001792403</v>
      </c>
      <c r="D684">
        <v>0.67556990414372198</v>
      </c>
      <c r="E684">
        <v>0.68205522268102603</v>
      </c>
      <c r="F684">
        <v>0.66404495976992595</v>
      </c>
      <c r="G684">
        <v>0.33473824216131398</v>
      </c>
      <c r="H684">
        <v>0.50689963104198299</v>
      </c>
      <c r="I684">
        <v>0.44186734093630198</v>
      </c>
      <c r="J684">
        <v>0.82404138655437498</v>
      </c>
      <c r="K684">
        <v>0.81742136839357704</v>
      </c>
      <c r="L684">
        <v>1093.26422231879</v>
      </c>
      <c r="M684">
        <v>25.284116816968101</v>
      </c>
      <c r="O684">
        <v>42.971411546563502</v>
      </c>
      <c r="P684">
        <v>-5.7877066815547003E-2</v>
      </c>
      <c r="Q684">
        <v>0.60654710006409795</v>
      </c>
      <c r="R684">
        <v>0.399626483193188</v>
      </c>
      <c r="S684" t="s">
        <v>4313</v>
      </c>
      <c r="T684" t="s">
        <v>7256</v>
      </c>
      <c r="U684" t="s">
        <v>7256</v>
      </c>
      <c r="V684" t="s">
        <v>7256</v>
      </c>
      <c r="W684">
        <v>3</v>
      </c>
      <c r="X684" t="s">
        <v>7940</v>
      </c>
      <c r="Y684">
        <v>0.65418084222087769</v>
      </c>
      <c r="Z684" t="str">
        <f>HYPERLINK("Melting_Curves/meltCurve_sp_P20290_BTF3_HUMAN_.pdf", "Melting_Curves/meltCurve_sp_P20290_BTF3_HUMAN_.pdf")</f>
        <v>Melting_Curves/meltCurve_sp_P20290_BTF3_HUMAN_.pdf</v>
      </c>
      <c r="AA684" t="s">
        <v>11554</v>
      </c>
      <c r="AB684" t="s">
        <v>15110</v>
      </c>
    </row>
    <row r="685" spans="1:28" x14ac:dyDescent="0.25">
      <c r="A685" t="s">
        <v>689</v>
      </c>
      <c r="B685">
        <v>0.98018197421672304</v>
      </c>
      <c r="C685">
        <v>0.93810257562144095</v>
      </c>
      <c r="D685">
        <v>0.922108307475348</v>
      </c>
      <c r="E685">
        <v>0.67225576832918599</v>
      </c>
      <c r="F685">
        <v>0.48048803204825802</v>
      </c>
      <c r="G685">
        <v>0.25035558737506503</v>
      </c>
      <c r="H685">
        <v>0.18859276990257701</v>
      </c>
      <c r="I685">
        <v>4.9706752451246602E-2</v>
      </c>
      <c r="J685">
        <v>0.25396794511016901</v>
      </c>
      <c r="K685">
        <v>4.3169095599079298E-2</v>
      </c>
      <c r="L685">
        <v>853.28332341845305</v>
      </c>
      <c r="M685">
        <v>16.455999134826801</v>
      </c>
      <c r="N685">
        <v>52.5382978463333</v>
      </c>
      <c r="O685">
        <v>51.1048167406231</v>
      </c>
      <c r="P685">
        <v>-7.2724995015108401E-2</v>
      </c>
      <c r="Q685">
        <v>9.6660597370346005E-2</v>
      </c>
      <c r="R685">
        <v>0.97400942986697403</v>
      </c>
      <c r="S685" t="s">
        <v>4314</v>
      </c>
      <c r="T685" t="s">
        <v>7256</v>
      </c>
      <c r="U685" t="s">
        <v>7256</v>
      </c>
      <c r="V685" t="s">
        <v>7256</v>
      </c>
      <c r="W685">
        <v>2</v>
      </c>
      <c r="X685" t="s">
        <v>7941</v>
      </c>
      <c r="Y685">
        <v>0.47106490295219322</v>
      </c>
      <c r="Z685" t="str">
        <f>HYPERLINK("Melting_Curves/meltCurve_sp_P20338_RAB4A_HUMAN_.pdf", "Melting_Curves/meltCurve_sp_P20338_RAB4A_HUMAN_.pdf")</f>
        <v>Melting_Curves/meltCurve_sp_P20338_RAB4A_HUMAN_.pdf</v>
      </c>
      <c r="AA685" t="s">
        <v>11555</v>
      </c>
      <c r="AB685" t="s">
        <v>15111</v>
      </c>
    </row>
    <row r="686" spans="1:28" x14ac:dyDescent="0.25">
      <c r="A686" t="s">
        <v>690</v>
      </c>
      <c r="B686">
        <v>0.98018197421672304</v>
      </c>
      <c r="C686">
        <v>0.95616781907056803</v>
      </c>
      <c r="D686">
        <v>0.86364637549204604</v>
      </c>
      <c r="E686">
        <v>0.66454628883421196</v>
      </c>
      <c r="F686">
        <v>0.43724836806612299</v>
      </c>
      <c r="G686">
        <v>0.22310672989920399</v>
      </c>
      <c r="H686">
        <v>0.11287227198175399</v>
      </c>
      <c r="I686">
        <v>8.1750612061091202E-2</v>
      </c>
      <c r="J686">
        <v>9.1516962044161904E-2</v>
      </c>
      <c r="K686">
        <v>4.3996550782044903E-2</v>
      </c>
      <c r="L686">
        <v>789.89997964797203</v>
      </c>
      <c r="M686">
        <v>15.2386300995454</v>
      </c>
      <c r="N686">
        <v>52.087026667321801</v>
      </c>
      <c r="O686">
        <v>50.967303569063297</v>
      </c>
      <c r="P686">
        <v>-7.2101138386799005E-2</v>
      </c>
      <c r="Q686">
        <v>3.5490381946890699E-2</v>
      </c>
      <c r="R686">
        <v>0.99886794187429495</v>
      </c>
      <c r="S686" t="s">
        <v>4315</v>
      </c>
      <c r="T686" t="s">
        <v>7256</v>
      </c>
      <c r="U686" t="s">
        <v>7256</v>
      </c>
      <c r="V686" t="s">
        <v>7256</v>
      </c>
      <c r="W686">
        <v>4</v>
      </c>
      <c r="X686" t="s">
        <v>7942</v>
      </c>
      <c r="Y686">
        <v>0.43716053321188653</v>
      </c>
      <c r="Z686" t="str">
        <f>HYPERLINK("Melting_Curves/meltCurve_sp_P20340_2_RAB6A_HUMAN_.pdf", "Melting_Curves/meltCurve_sp_P20340_2_RAB6A_HUMAN_.pdf")</f>
        <v>Melting_Curves/meltCurve_sp_P20340_2_RAB6A_HUMAN_.pdf</v>
      </c>
      <c r="AA686" t="s">
        <v>11556</v>
      </c>
      <c r="AB686" t="s">
        <v>15112</v>
      </c>
    </row>
    <row r="687" spans="1:28" x14ac:dyDescent="0.25">
      <c r="A687" t="s">
        <v>691</v>
      </c>
      <c r="B687">
        <v>0.98018197421672304</v>
      </c>
      <c r="C687">
        <v>0.93702654191107404</v>
      </c>
      <c r="D687">
        <v>0.67968746554094905</v>
      </c>
      <c r="E687">
        <v>0.43918060085150101</v>
      </c>
      <c r="F687">
        <v>0.242988510668115</v>
      </c>
      <c r="G687">
        <v>0.18295721805305901</v>
      </c>
      <c r="H687">
        <v>9.0768403529438602E-2</v>
      </c>
      <c r="I687">
        <v>9.0808359521780305E-2</v>
      </c>
      <c r="J687">
        <v>0.10673308430697</v>
      </c>
      <c r="K687">
        <v>4.71637801794932E-2</v>
      </c>
      <c r="L687">
        <v>771.26811934855095</v>
      </c>
      <c r="M687">
        <v>15.9296410781009</v>
      </c>
      <c r="N687">
        <v>48.894798963059799</v>
      </c>
      <c r="O687">
        <v>47.673416333658601</v>
      </c>
      <c r="P687">
        <v>-7.7522446532688E-2</v>
      </c>
      <c r="Q687">
        <v>7.2053175750597998E-2</v>
      </c>
      <c r="R687">
        <v>0.99399145184739202</v>
      </c>
      <c r="S687" t="s">
        <v>4316</v>
      </c>
      <c r="T687" t="s">
        <v>7256</v>
      </c>
      <c r="U687" t="s">
        <v>7256</v>
      </c>
      <c r="V687" t="s">
        <v>7256</v>
      </c>
      <c r="W687">
        <v>6</v>
      </c>
      <c r="X687" t="s">
        <v>7943</v>
      </c>
      <c r="Y687">
        <v>0.35323913943008728</v>
      </c>
      <c r="Z687" t="str">
        <f>HYPERLINK("Melting_Curves/meltCurve_sp_P20591_MX1_HUMAN_.pdf", "Melting_Curves/meltCurve_sp_P20591_MX1_HUMAN_.pdf")</f>
        <v>Melting_Curves/meltCurve_sp_P20591_MX1_HUMAN_.pdf</v>
      </c>
      <c r="AA687" t="s">
        <v>11557</v>
      </c>
      <c r="AB687" t="s">
        <v>15113</v>
      </c>
    </row>
    <row r="688" spans="1:28" x14ac:dyDescent="0.25">
      <c r="A688" t="s">
        <v>692</v>
      </c>
      <c r="B688">
        <v>0.98018197421672304</v>
      </c>
      <c r="C688">
        <v>0.96508101240266797</v>
      </c>
      <c r="D688">
        <v>0.88542666989456298</v>
      </c>
      <c r="E688">
        <v>0.772929206530382</v>
      </c>
      <c r="F688">
        <v>0.66667155679706502</v>
      </c>
      <c r="G688">
        <v>0.52879297188343199</v>
      </c>
      <c r="H688">
        <v>0.38965182848536301</v>
      </c>
      <c r="I688">
        <v>0.38565954123041402</v>
      </c>
      <c r="J688">
        <v>0.32858496531952502</v>
      </c>
      <c r="K688">
        <v>0.26786441949701301</v>
      </c>
      <c r="L688">
        <v>538.12856454198004</v>
      </c>
      <c r="M688">
        <v>9.8306476349126797</v>
      </c>
      <c r="N688">
        <v>57.798039492934002</v>
      </c>
      <c r="O688">
        <v>52.619047708343402</v>
      </c>
      <c r="P688">
        <v>-3.7254658819967201E-2</v>
      </c>
      <c r="Q688">
        <v>0.20278397722024999</v>
      </c>
      <c r="R688">
        <v>0.99660653502331198</v>
      </c>
      <c r="S688" t="s">
        <v>4317</v>
      </c>
      <c r="T688" t="s">
        <v>7256</v>
      </c>
      <c r="U688" t="s">
        <v>7256</v>
      </c>
      <c r="V688" t="s">
        <v>7256</v>
      </c>
      <c r="W688">
        <v>14</v>
      </c>
      <c r="X688" t="s">
        <v>7944</v>
      </c>
      <c r="Y688">
        <v>0.61620535625350792</v>
      </c>
      <c r="Z688" t="str">
        <f>HYPERLINK("Melting_Curves/meltCurve_sp_P20618_PSB1_HUMAN_.pdf", "Melting_Curves/meltCurve_sp_P20618_PSB1_HUMAN_.pdf")</f>
        <v>Melting_Curves/meltCurve_sp_P20618_PSB1_HUMAN_.pdf</v>
      </c>
      <c r="AA688" t="s">
        <v>11558</v>
      </c>
      <c r="AB688" t="s">
        <v>15114</v>
      </c>
    </row>
    <row r="689" spans="1:28" x14ac:dyDescent="0.25">
      <c r="A689" t="s">
        <v>693</v>
      </c>
      <c r="B689">
        <v>0.98018197421672304</v>
      </c>
      <c r="C689">
        <v>1.03748882613718</v>
      </c>
      <c r="D689">
        <v>1.0000239333691801</v>
      </c>
      <c r="E689">
        <v>0.62664973242475897</v>
      </c>
      <c r="F689">
        <v>0.53068789590123699</v>
      </c>
      <c r="G689">
        <v>0.40065309584735498</v>
      </c>
      <c r="H689">
        <v>0.381486773049446</v>
      </c>
      <c r="I689">
        <v>0.426265026044924</v>
      </c>
      <c r="J689">
        <v>0.44112999709636103</v>
      </c>
      <c r="K689">
        <v>0.690734639146386</v>
      </c>
      <c r="L689">
        <v>2439.4985807930698</v>
      </c>
      <c r="M689">
        <v>49.624962532657896</v>
      </c>
      <c r="N689">
        <v>52.322915325400999</v>
      </c>
      <c r="O689">
        <v>49.079067024881098</v>
      </c>
      <c r="P689">
        <v>-0.132676434986332</v>
      </c>
      <c r="Q689">
        <v>0.47513270779002098</v>
      </c>
      <c r="R689">
        <v>0.89086140657096502</v>
      </c>
      <c r="S689" t="s">
        <v>4318</v>
      </c>
      <c r="T689" t="s">
        <v>7256</v>
      </c>
      <c r="U689" t="s">
        <v>7256</v>
      </c>
      <c r="V689" t="s">
        <v>7256</v>
      </c>
      <c r="W689">
        <v>1</v>
      </c>
      <c r="X689" t="s">
        <v>7945</v>
      </c>
      <c r="Y689">
        <v>0.63652503062691823</v>
      </c>
      <c r="Z689" t="str">
        <f>HYPERLINK("Melting_Curves/meltCurve_sp_P20674_COX5A_HUMAN_.pdf", "Melting_Curves/meltCurve_sp_P20674_COX5A_HUMAN_.pdf")</f>
        <v>Melting_Curves/meltCurve_sp_P20674_COX5A_HUMAN_.pdf</v>
      </c>
      <c r="AA689" t="s">
        <v>11559</v>
      </c>
      <c r="AB689" t="s">
        <v>15115</v>
      </c>
    </row>
    <row r="690" spans="1:28" x14ac:dyDescent="0.25">
      <c r="A690" t="s">
        <v>694</v>
      </c>
      <c r="B690">
        <v>0.98018197421672304</v>
      </c>
      <c r="C690">
        <v>0.94512507045983096</v>
      </c>
      <c r="D690">
        <v>0.90920176256583995</v>
      </c>
      <c r="E690">
        <v>0.757062910575375</v>
      </c>
      <c r="F690">
        <v>0.59700786393891603</v>
      </c>
      <c r="G690">
        <v>0.37818401342819802</v>
      </c>
      <c r="H690">
        <v>0.252465683506925</v>
      </c>
      <c r="I690">
        <v>0.18973699575931999</v>
      </c>
      <c r="J690">
        <v>0.184893928466937</v>
      </c>
      <c r="K690">
        <v>0.221878338805026</v>
      </c>
      <c r="L690">
        <v>782.081522707369</v>
      </c>
      <c r="M690">
        <v>14.7500291405726</v>
      </c>
      <c r="N690">
        <v>54.416112621138701</v>
      </c>
      <c r="O690">
        <v>52.076386587586398</v>
      </c>
      <c r="P690">
        <v>-5.9676878793021602E-2</v>
      </c>
      <c r="Q690">
        <v>0.15731124787988801</v>
      </c>
      <c r="R690">
        <v>0.99570791067200803</v>
      </c>
      <c r="S690" t="s">
        <v>4319</v>
      </c>
      <c r="T690" t="s">
        <v>7256</v>
      </c>
      <c r="U690" t="s">
        <v>7256</v>
      </c>
      <c r="V690" t="s">
        <v>7256</v>
      </c>
      <c r="W690">
        <v>12</v>
      </c>
      <c r="X690" t="s">
        <v>7946</v>
      </c>
      <c r="Y690">
        <v>0.54164577411502823</v>
      </c>
      <c r="Z690" t="str">
        <f>HYPERLINK("Melting_Curves/meltCurve_sp_P20700_LMNB1_HUMAN_.pdf", "Melting_Curves/meltCurve_sp_P20700_LMNB1_HUMAN_.pdf")</f>
        <v>Melting_Curves/meltCurve_sp_P20700_LMNB1_HUMAN_.pdf</v>
      </c>
      <c r="AA690" t="s">
        <v>11560</v>
      </c>
      <c r="AB690" t="s">
        <v>15116</v>
      </c>
    </row>
    <row r="691" spans="1:28" x14ac:dyDescent="0.25">
      <c r="A691" t="s">
        <v>695</v>
      </c>
      <c r="B691">
        <v>0.98018197421672304</v>
      </c>
      <c r="C691">
        <v>0.89245145144969895</v>
      </c>
      <c r="D691">
        <v>0.88482974999960495</v>
      </c>
      <c r="E691">
        <v>0.82676449312896905</v>
      </c>
      <c r="F691">
        <v>0.73839356345423501</v>
      </c>
      <c r="G691">
        <v>0.60163362231717499</v>
      </c>
      <c r="H691">
        <v>0.25343270289765302</v>
      </c>
      <c r="I691">
        <v>6.0518851145558099E-2</v>
      </c>
      <c r="J691">
        <v>4.4225295849194303E-2</v>
      </c>
      <c r="K691">
        <v>3.7475726363357803E-2</v>
      </c>
      <c r="L691">
        <v>885.82817604040895</v>
      </c>
      <c r="M691">
        <v>15.584762620935299</v>
      </c>
      <c r="N691">
        <v>56.8393756182396</v>
      </c>
      <c r="O691">
        <v>55.928210477504599</v>
      </c>
      <c r="P691">
        <v>-6.9670196154176897E-2</v>
      </c>
      <c r="Q691">
        <v>0</v>
      </c>
      <c r="R691">
        <v>0.966479976352561</v>
      </c>
      <c r="S691" t="s">
        <v>4320</v>
      </c>
      <c r="T691" t="s">
        <v>7256</v>
      </c>
      <c r="U691" t="s">
        <v>7256</v>
      </c>
      <c r="V691" t="s">
        <v>7256</v>
      </c>
      <c r="W691">
        <v>14</v>
      </c>
      <c r="X691" t="s">
        <v>7947</v>
      </c>
      <c r="Y691">
        <v>0.57706455472066309</v>
      </c>
      <c r="Z691" t="str">
        <f>HYPERLINK("Melting_Curves/meltCurve_sp_P20711_3_DDC_HUMAN_.pdf", "Melting_Curves/meltCurve_sp_P20711_3_DDC_HUMAN_.pdf")</f>
        <v>Melting_Curves/meltCurve_sp_P20711_3_DDC_HUMAN_.pdf</v>
      </c>
      <c r="AA691" t="s">
        <v>11561</v>
      </c>
      <c r="AB691" t="s">
        <v>15117</v>
      </c>
    </row>
    <row r="692" spans="1:28" x14ac:dyDescent="0.25">
      <c r="A692" t="s">
        <v>696</v>
      </c>
      <c r="B692">
        <v>0.98018197421672304</v>
      </c>
      <c r="C692">
        <v>0.42498588109212598</v>
      </c>
      <c r="D692">
        <v>0.55734240061337204</v>
      </c>
      <c r="E692">
        <v>0.44136059390719501</v>
      </c>
      <c r="F692">
        <v>0.26048963708106698</v>
      </c>
      <c r="G692">
        <v>0.22695749606976101</v>
      </c>
      <c r="H692">
        <v>9.214680494869E-2</v>
      </c>
      <c r="I692">
        <v>2.2345034725204702E-2</v>
      </c>
      <c r="J692">
        <v>3.5904431993505299E-2</v>
      </c>
      <c r="K692">
        <v>0</v>
      </c>
      <c r="L692">
        <v>405.57559519029599</v>
      </c>
      <c r="M692">
        <v>8.7228431996126794</v>
      </c>
      <c r="N692">
        <v>46.495803722113003</v>
      </c>
      <c r="O692">
        <v>44.246122960605</v>
      </c>
      <c r="P692">
        <v>-4.9326192216189897E-2</v>
      </c>
      <c r="Q692">
        <v>0</v>
      </c>
      <c r="R692">
        <v>0.86640362463420895</v>
      </c>
      <c r="S692" t="s">
        <v>4321</v>
      </c>
      <c r="T692" t="s">
        <v>7256</v>
      </c>
      <c r="U692" t="s">
        <v>7256</v>
      </c>
      <c r="V692" t="s">
        <v>7256</v>
      </c>
      <c r="W692">
        <v>3</v>
      </c>
      <c r="X692" t="s">
        <v>7948</v>
      </c>
      <c r="Y692">
        <v>0.29044837644782051</v>
      </c>
      <c r="Z692" t="str">
        <f>HYPERLINK("Melting_Curves/meltCurve_sp_P20742_PZP_HUMAN_.pdf", "Melting_Curves/meltCurve_sp_P20742_PZP_HUMAN_.pdf")</f>
        <v>Melting_Curves/meltCurve_sp_P20742_PZP_HUMAN_.pdf</v>
      </c>
      <c r="AA692" t="s">
        <v>11562</v>
      </c>
      <c r="AB692" t="s">
        <v>15118</v>
      </c>
    </row>
    <row r="693" spans="1:28" x14ac:dyDescent="0.25">
      <c r="A693" t="s">
        <v>697</v>
      </c>
      <c r="B693">
        <v>0.98018197421672304</v>
      </c>
      <c r="C693">
        <v>0.95882357082560998</v>
      </c>
      <c r="D693">
        <v>0.94934101440287799</v>
      </c>
      <c r="E693">
        <v>0.88089774343390004</v>
      </c>
      <c r="F693">
        <v>0.83807213108604595</v>
      </c>
      <c r="G693">
        <v>0.69881841362832997</v>
      </c>
      <c r="H693">
        <v>0.63357924189224402</v>
      </c>
      <c r="I693">
        <v>0.73098971481566</v>
      </c>
      <c r="J693">
        <v>0.72241094853215804</v>
      </c>
      <c r="K693">
        <v>0.94414763001184199</v>
      </c>
      <c r="L693">
        <v>1170.7197512810801</v>
      </c>
      <c r="M693">
        <v>23.422513437683399</v>
      </c>
      <c r="O693">
        <v>49.622630487353199</v>
      </c>
      <c r="P693">
        <v>-2.96221500506159E-2</v>
      </c>
      <c r="Q693">
        <v>0.74897608513370095</v>
      </c>
      <c r="R693">
        <v>0.58387713252831996</v>
      </c>
      <c r="S693" t="s">
        <v>4322</v>
      </c>
      <c r="T693" t="s">
        <v>7256</v>
      </c>
      <c r="U693" t="s">
        <v>7256</v>
      </c>
      <c r="V693" t="s">
        <v>7256</v>
      </c>
      <c r="W693">
        <v>24</v>
      </c>
      <c r="X693" t="s">
        <v>7949</v>
      </c>
      <c r="Y693">
        <v>0.83506229893627193</v>
      </c>
      <c r="Z693" t="str">
        <f>HYPERLINK("Melting_Curves/meltCurve_sp_P20810_5_ICAL_HUMAN_.pdf", "Melting_Curves/meltCurve_sp_P20810_5_ICAL_HUMAN_.pdf")</f>
        <v>Melting_Curves/meltCurve_sp_P20810_5_ICAL_HUMAN_.pdf</v>
      </c>
      <c r="AA693" t="s">
        <v>11563</v>
      </c>
      <c r="AB693" t="s">
        <v>15119</v>
      </c>
    </row>
    <row r="694" spans="1:28" x14ac:dyDescent="0.25">
      <c r="A694" t="s">
        <v>698</v>
      </c>
      <c r="B694">
        <v>0.98018197421672304</v>
      </c>
      <c r="C694">
        <v>0.73066328903945699</v>
      </c>
      <c r="D694">
        <v>0.77532172866791305</v>
      </c>
      <c r="E694">
        <v>0.67982677958236404</v>
      </c>
      <c r="F694">
        <v>0.189351266404508</v>
      </c>
      <c r="G694">
        <v>7.84546775391292E-2</v>
      </c>
      <c r="H694">
        <v>9.11737806276368E-2</v>
      </c>
      <c r="I694">
        <v>2.9232615000957599E-2</v>
      </c>
      <c r="J694">
        <v>5.9859178409393303E-2</v>
      </c>
      <c r="K694">
        <v>0.25289330463256599</v>
      </c>
      <c r="L694">
        <v>772.50758951970397</v>
      </c>
      <c r="M694">
        <v>15.634459364381501</v>
      </c>
      <c r="N694">
        <v>49.853688523397402</v>
      </c>
      <c r="O694">
        <v>48.623394817899097</v>
      </c>
      <c r="P694">
        <v>-7.5177302766680804E-2</v>
      </c>
      <c r="Q694">
        <v>6.4870383650087807E-2</v>
      </c>
      <c r="R694">
        <v>0.88966807259931602</v>
      </c>
      <c r="S694" t="s">
        <v>4323</v>
      </c>
      <c r="T694" t="s">
        <v>7256</v>
      </c>
      <c r="U694" t="s">
        <v>7256</v>
      </c>
      <c r="V694" t="s">
        <v>7256</v>
      </c>
      <c r="W694">
        <v>5</v>
      </c>
      <c r="X694" t="s">
        <v>7950</v>
      </c>
      <c r="Y694">
        <v>0.3792686978892037</v>
      </c>
      <c r="Z694" t="str">
        <f>HYPERLINK("Melting_Curves/meltCurve_sp_P20930_FILA_HUMAN_.pdf", "Melting_Curves/meltCurve_sp_P20930_FILA_HUMAN_.pdf")</f>
        <v>Melting_Curves/meltCurve_sp_P20930_FILA_HUMAN_.pdf</v>
      </c>
      <c r="AA694" t="s">
        <v>11564</v>
      </c>
      <c r="AB694" t="s">
        <v>15120</v>
      </c>
    </row>
    <row r="695" spans="1:28" x14ac:dyDescent="0.25">
      <c r="A695" t="s">
        <v>699</v>
      </c>
      <c r="B695">
        <v>0.98018197421672304</v>
      </c>
      <c r="C695">
        <v>0.89098814085806199</v>
      </c>
      <c r="D695">
        <v>0.81279761080384005</v>
      </c>
      <c r="E695">
        <v>0.59756745029076397</v>
      </c>
      <c r="F695">
        <v>0.48023742512847001</v>
      </c>
      <c r="G695">
        <v>0.28268961963772499</v>
      </c>
      <c r="H695">
        <v>0.22614496119846</v>
      </c>
      <c r="I695">
        <v>0.23448158882238901</v>
      </c>
      <c r="J695">
        <v>0.20152612035982201</v>
      </c>
      <c r="K695">
        <v>0.23259405336651701</v>
      </c>
      <c r="L695">
        <v>669.77132777385896</v>
      </c>
      <c r="M695">
        <v>13.374667688416601</v>
      </c>
      <c r="N695">
        <v>51.846765071291202</v>
      </c>
      <c r="O695">
        <v>48.997832496571</v>
      </c>
      <c r="P695">
        <v>-5.5747250002627098E-2</v>
      </c>
      <c r="Q695">
        <v>0.183213358433476</v>
      </c>
      <c r="R695">
        <v>0.99397957153387395</v>
      </c>
      <c r="S695" t="s">
        <v>4324</v>
      </c>
      <c r="T695" t="s">
        <v>7256</v>
      </c>
      <c r="U695" t="s">
        <v>7256</v>
      </c>
      <c r="V695" t="s">
        <v>7256</v>
      </c>
      <c r="W695">
        <v>2</v>
      </c>
      <c r="X695" t="s">
        <v>7951</v>
      </c>
      <c r="Y695">
        <v>0.48123312088749087</v>
      </c>
      <c r="Z695" t="str">
        <f>HYPERLINK("Melting_Curves/meltCurve_sp_P20933_ASPG_HUMAN_.pdf", "Melting_Curves/meltCurve_sp_P20933_ASPG_HUMAN_.pdf")</f>
        <v>Melting_Curves/meltCurve_sp_P20933_ASPG_HUMAN_.pdf</v>
      </c>
      <c r="AA695" t="s">
        <v>11565</v>
      </c>
      <c r="AB695" t="s">
        <v>15121</v>
      </c>
    </row>
    <row r="696" spans="1:28" x14ac:dyDescent="0.25">
      <c r="A696" t="s">
        <v>700</v>
      </c>
      <c r="B696">
        <v>0.98018197421672304</v>
      </c>
      <c r="C696">
        <v>1.03116358449699</v>
      </c>
      <c r="D696">
        <v>0.86747228257375497</v>
      </c>
      <c r="E696">
        <v>0.80484422271093004</v>
      </c>
      <c r="F696">
        <v>0.93855655517509295</v>
      </c>
      <c r="G696">
        <v>0.876650035090075</v>
      </c>
      <c r="H696">
        <v>0.56277541172694601</v>
      </c>
      <c r="I696">
        <v>0.60551031593653704</v>
      </c>
      <c r="J696">
        <v>0.89248896925681798</v>
      </c>
      <c r="K696">
        <v>1.06964871560976</v>
      </c>
      <c r="L696">
        <v>11451.3010503486</v>
      </c>
      <c r="M696">
        <v>250</v>
      </c>
      <c r="O696">
        <v>45.802272749018698</v>
      </c>
      <c r="P696">
        <v>-0.24357918200838799</v>
      </c>
      <c r="Q696">
        <v>0.82149631725428096</v>
      </c>
      <c r="R696">
        <v>0.20979307048346901</v>
      </c>
      <c r="S696" t="s">
        <v>4325</v>
      </c>
      <c r="T696" t="s">
        <v>7256</v>
      </c>
      <c r="U696" t="s">
        <v>7256</v>
      </c>
      <c r="V696" t="s">
        <v>7256</v>
      </c>
      <c r="W696">
        <v>3</v>
      </c>
      <c r="X696" t="s">
        <v>7952</v>
      </c>
      <c r="Y696">
        <v>0.85605234433954547</v>
      </c>
      <c r="Z696" t="str">
        <f>HYPERLINK("Melting_Curves/meltCurve_sp_P20962_PTMS_HUMAN_.pdf", "Melting_Curves/meltCurve_sp_P20962_PTMS_HUMAN_.pdf")</f>
        <v>Melting_Curves/meltCurve_sp_P20962_PTMS_HUMAN_.pdf</v>
      </c>
      <c r="AA696" t="s">
        <v>11566</v>
      </c>
      <c r="AB696" t="s">
        <v>15122</v>
      </c>
    </row>
    <row r="697" spans="1:28" x14ac:dyDescent="0.25">
      <c r="A697" t="s">
        <v>701</v>
      </c>
      <c r="B697">
        <v>0.98018197421672304</v>
      </c>
      <c r="C697">
        <v>0.93384549249208304</v>
      </c>
      <c r="D697">
        <v>0.79745623202236704</v>
      </c>
      <c r="E697">
        <v>0.31439408278672898</v>
      </c>
      <c r="F697">
        <v>0.17671423783074999</v>
      </c>
      <c r="G697">
        <v>0.115003934000821</v>
      </c>
      <c r="H697">
        <v>7.0277117930452299E-2</v>
      </c>
      <c r="I697">
        <v>4.5237259166562099E-2</v>
      </c>
      <c r="J697">
        <v>6.0598642340000598E-2</v>
      </c>
      <c r="K697">
        <v>3.0143733441063501E-2</v>
      </c>
      <c r="L697">
        <v>1143.8153937407001</v>
      </c>
      <c r="M697">
        <v>23.712308226655502</v>
      </c>
      <c r="N697">
        <v>48.486991410446898</v>
      </c>
      <c r="O697">
        <v>47.898057428104003</v>
      </c>
      <c r="P697">
        <v>-0.11665044380509899</v>
      </c>
      <c r="Q697">
        <v>5.7495892417538899E-2</v>
      </c>
      <c r="R697">
        <v>0.99680272762075695</v>
      </c>
      <c r="S697" t="s">
        <v>4326</v>
      </c>
      <c r="T697" t="s">
        <v>7256</v>
      </c>
      <c r="U697" t="s">
        <v>7256</v>
      </c>
      <c r="V697" t="s">
        <v>7256</v>
      </c>
      <c r="W697">
        <v>5</v>
      </c>
      <c r="X697" t="s">
        <v>7953</v>
      </c>
      <c r="Y697">
        <v>0.32559385233765531</v>
      </c>
      <c r="Z697" t="str">
        <f>HYPERLINK("Melting_Curves/meltCurve_sp_P21266_GSTM3_HUMAN_.pdf", "Melting_Curves/meltCurve_sp_P21266_GSTM3_HUMAN_.pdf")</f>
        <v>Melting_Curves/meltCurve_sp_P21266_GSTM3_HUMAN_.pdf</v>
      </c>
      <c r="AA697" t="s">
        <v>11567</v>
      </c>
      <c r="AB697" t="s">
        <v>15123</v>
      </c>
    </row>
    <row r="698" spans="1:28" x14ac:dyDescent="0.25">
      <c r="A698" t="s">
        <v>702</v>
      </c>
      <c r="B698">
        <v>0.98018197421672304</v>
      </c>
      <c r="C698">
        <v>0.99918268012889999</v>
      </c>
      <c r="D698">
        <v>0.89532141966393297</v>
      </c>
      <c r="E698">
        <v>0.76373763011800599</v>
      </c>
      <c r="F698">
        <v>0.54871690962424002</v>
      </c>
      <c r="G698">
        <v>0.31507213304625797</v>
      </c>
      <c r="H698">
        <v>0.196971553954053</v>
      </c>
      <c r="I698">
        <v>9.0353631842468002E-2</v>
      </c>
      <c r="J698">
        <v>7.6489326341351305E-2</v>
      </c>
      <c r="K698">
        <v>6.2679981285786598E-2</v>
      </c>
      <c r="L698">
        <v>765.45322335646904</v>
      </c>
      <c r="M698">
        <v>14.253548403523901</v>
      </c>
      <c r="N698">
        <v>53.879014868430097</v>
      </c>
      <c r="O698">
        <v>52.6787423924482</v>
      </c>
      <c r="P698">
        <v>-6.6110081540326202E-2</v>
      </c>
      <c r="Q698">
        <v>2.2792984337954601E-2</v>
      </c>
      <c r="R698">
        <v>0.99798950963507305</v>
      </c>
      <c r="S698" t="s">
        <v>4327</v>
      </c>
      <c r="T698" t="s">
        <v>7256</v>
      </c>
      <c r="U698" t="s">
        <v>7256</v>
      </c>
      <c r="V698" t="s">
        <v>7256</v>
      </c>
      <c r="W698">
        <v>15</v>
      </c>
      <c r="X698" t="s">
        <v>7954</v>
      </c>
      <c r="Y698">
        <v>0.49084290222542343</v>
      </c>
      <c r="Z698" t="str">
        <f>HYPERLINK("Melting_Curves/meltCurve_sp_P21281_VATB2_HUMAN_.pdf", "Melting_Curves/meltCurve_sp_P21281_VATB2_HUMAN_.pdf")</f>
        <v>Melting_Curves/meltCurve_sp_P21281_VATB2_HUMAN_.pdf</v>
      </c>
      <c r="AA698" t="s">
        <v>11568</v>
      </c>
      <c r="AB698" t="s">
        <v>15124</v>
      </c>
    </row>
    <row r="699" spans="1:28" x14ac:dyDescent="0.25">
      <c r="A699" t="s">
        <v>703</v>
      </c>
      <c r="B699">
        <v>0.98018197421672304</v>
      </c>
      <c r="C699">
        <v>0.94149385516439799</v>
      </c>
      <c r="D699">
        <v>0.90739561591412599</v>
      </c>
      <c r="E699">
        <v>0.72054505260266599</v>
      </c>
      <c r="F699">
        <v>0.48221340114377798</v>
      </c>
      <c r="G699">
        <v>0.16942205899288701</v>
      </c>
      <c r="H699">
        <v>7.9397682191599595E-2</v>
      </c>
      <c r="I699">
        <v>6.2823794393005797E-2</v>
      </c>
      <c r="J699">
        <v>4.7153324386019602E-2</v>
      </c>
      <c r="K699">
        <v>4.7326506337916803E-2</v>
      </c>
      <c r="L699">
        <v>976.584036855009</v>
      </c>
      <c r="M699">
        <v>18.651565600453299</v>
      </c>
      <c r="N699">
        <v>52.507651776659998</v>
      </c>
      <c r="O699">
        <v>51.768594190503997</v>
      </c>
      <c r="P699">
        <v>-8.7764729724322699E-2</v>
      </c>
      <c r="Q699">
        <v>2.5655351497261201E-2</v>
      </c>
      <c r="R699">
        <v>0.99690693637035199</v>
      </c>
      <c r="S699" t="s">
        <v>4328</v>
      </c>
      <c r="T699" t="s">
        <v>7256</v>
      </c>
      <c r="U699" t="s">
        <v>7256</v>
      </c>
      <c r="V699" t="s">
        <v>7256</v>
      </c>
      <c r="W699">
        <v>8</v>
      </c>
      <c r="X699" t="s">
        <v>7955</v>
      </c>
      <c r="Y699">
        <v>0.44225567099728857</v>
      </c>
      <c r="Z699" t="str">
        <f>HYPERLINK("Melting_Curves/meltCurve_sp_P21283_VATC1_HUMAN_.pdf", "Melting_Curves/meltCurve_sp_P21283_VATC1_HUMAN_.pdf")</f>
        <v>Melting_Curves/meltCurve_sp_P21283_VATC1_HUMAN_.pdf</v>
      </c>
      <c r="AA699" t="s">
        <v>11569</v>
      </c>
      <c r="AB699" t="s">
        <v>15125</v>
      </c>
    </row>
    <row r="700" spans="1:28" x14ac:dyDescent="0.25">
      <c r="A700" t="s">
        <v>704</v>
      </c>
      <c r="B700">
        <v>0.98018197421672304</v>
      </c>
      <c r="C700">
        <v>0.96679699211959702</v>
      </c>
      <c r="D700">
        <v>0.92277784430387</v>
      </c>
      <c r="E700">
        <v>0.79950286703139095</v>
      </c>
      <c r="F700">
        <v>0.78175740237793301</v>
      </c>
      <c r="G700">
        <v>0.61392516383612605</v>
      </c>
      <c r="H700">
        <v>0.47836330030079299</v>
      </c>
      <c r="I700">
        <v>0.52494775323234699</v>
      </c>
      <c r="J700">
        <v>0.50529909278629104</v>
      </c>
      <c r="K700">
        <v>0.70581546426354003</v>
      </c>
      <c r="L700">
        <v>856.49215359595496</v>
      </c>
      <c r="M700">
        <v>16.689953304745</v>
      </c>
      <c r="O700">
        <v>50.598066502735598</v>
      </c>
      <c r="P700">
        <v>-3.7376665028763502E-2</v>
      </c>
      <c r="Q700">
        <v>0.54677843108624202</v>
      </c>
      <c r="R700">
        <v>0.87013846465172096</v>
      </c>
      <c r="S700" t="s">
        <v>4329</v>
      </c>
      <c r="T700" t="s">
        <v>7256</v>
      </c>
      <c r="U700" t="s">
        <v>7256</v>
      </c>
      <c r="V700" t="s">
        <v>7256</v>
      </c>
      <c r="W700">
        <v>7</v>
      </c>
      <c r="X700" t="s">
        <v>7956</v>
      </c>
      <c r="Y700">
        <v>0.72644006633558245</v>
      </c>
      <c r="Z700" t="str">
        <f>HYPERLINK("Melting_Curves/meltCurve_sp_P21291_CSRP1_HUMAN_.pdf", "Melting_Curves/meltCurve_sp_P21291_CSRP1_HUMAN_.pdf")</f>
        <v>Melting_Curves/meltCurve_sp_P21291_CSRP1_HUMAN_.pdf</v>
      </c>
      <c r="AA700" t="s">
        <v>11570</v>
      </c>
      <c r="AB700" t="s">
        <v>15126</v>
      </c>
    </row>
    <row r="701" spans="1:28" x14ac:dyDescent="0.25">
      <c r="A701" t="s">
        <v>705</v>
      </c>
      <c r="B701">
        <v>0.98018197421672304</v>
      </c>
      <c r="C701">
        <v>0.956320200697652</v>
      </c>
      <c r="D701">
        <v>0.761763364489072</v>
      </c>
      <c r="E701">
        <v>0.36865413474942899</v>
      </c>
      <c r="F701">
        <v>0.23927878674800401</v>
      </c>
      <c r="G701">
        <v>0.17147926190014101</v>
      </c>
      <c r="H701">
        <v>0.102669944843077</v>
      </c>
      <c r="I701">
        <v>7.0986607389843998E-2</v>
      </c>
      <c r="J701">
        <v>5.78516301690827E-2</v>
      </c>
      <c r="K701">
        <v>5.3625709200679501E-2</v>
      </c>
      <c r="L701">
        <v>933.72030438043998</v>
      </c>
      <c r="M701">
        <v>19.272518864525999</v>
      </c>
      <c r="N701">
        <v>48.852927889989203</v>
      </c>
      <c r="O701">
        <v>47.935702090842298</v>
      </c>
      <c r="P701">
        <v>-9.3100770161604798E-2</v>
      </c>
      <c r="Q701">
        <v>7.3772837292496396E-2</v>
      </c>
      <c r="R701">
        <v>0.99548076329915403</v>
      </c>
      <c r="S701" t="s">
        <v>4330</v>
      </c>
      <c r="T701" t="s">
        <v>7256</v>
      </c>
      <c r="U701" t="s">
        <v>7256</v>
      </c>
      <c r="V701" t="s">
        <v>7256</v>
      </c>
      <c r="W701">
        <v>3</v>
      </c>
      <c r="X701" t="s">
        <v>7957</v>
      </c>
      <c r="Y701">
        <v>0.3487106864316501</v>
      </c>
      <c r="Z701" t="str">
        <f>HYPERLINK("Melting_Curves/meltCurve_sp_P21397_2_AOFA_HUMAN_.pdf", "Melting_Curves/meltCurve_sp_P21397_2_AOFA_HUMAN_.pdf")</f>
        <v>Melting_Curves/meltCurve_sp_P21397_2_AOFA_HUMAN_.pdf</v>
      </c>
      <c r="AA701" t="s">
        <v>11571</v>
      </c>
      <c r="AB701" t="s">
        <v>15127</v>
      </c>
    </row>
    <row r="702" spans="1:28" x14ac:dyDescent="0.25">
      <c r="A702" t="s">
        <v>706</v>
      </c>
      <c r="B702">
        <v>0.98018197421672304</v>
      </c>
      <c r="C702">
        <v>0.78543918466247098</v>
      </c>
      <c r="D702">
        <v>0.94469938176081802</v>
      </c>
      <c r="E702">
        <v>0.718769598325252</v>
      </c>
      <c r="F702">
        <v>0.52316075047622401</v>
      </c>
      <c r="G702">
        <v>0.15158488940551401</v>
      </c>
      <c r="H702">
        <v>5.4954507271396197E-2</v>
      </c>
      <c r="I702">
        <v>3.6573116356084699E-2</v>
      </c>
      <c r="J702">
        <v>3.8130667772155499E-2</v>
      </c>
      <c r="K702">
        <v>2.7094011084345299E-2</v>
      </c>
      <c r="L702">
        <v>950.76178153170304</v>
      </c>
      <c r="M702">
        <v>18.052180977867899</v>
      </c>
      <c r="N702">
        <v>52.6674199180678</v>
      </c>
      <c r="O702">
        <v>52.033875490899099</v>
      </c>
      <c r="P702">
        <v>-8.6737055293903104E-2</v>
      </c>
      <c r="Q702">
        <v>0</v>
      </c>
      <c r="R702">
        <v>0.96870182273934502</v>
      </c>
      <c r="S702" t="s">
        <v>4331</v>
      </c>
      <c r="T702" t="s">
        <v>7256</v>
      </c>
      <c r="U702" t="s">
        <v>7256</v>
      </c>
      <c r="V702" t="s">
        <v>7256</v>
      </c>
      <c r="W702">
        <v>48</v>
      </c>
      <c r="X702" t="s">
        <v>7958</v>
      </c>
      <c r="Y702">
        <v>0.43864160613002101</v>
      </c>
      <c r="Z702" t="str">
        <f>HYPERLINK("Melting_Curves/meltCurve_sp_P21399_ACOC_HUMAN_.pdf", "Melting_Curves/meltCurve_sp_P21399_ACOC_HUMAN_.pdf")</f>
        <v>Melting_Curves/meltCurve_sp_P21399_ACOC_HUMAN_.pdf</v>
      </c>
      <c r="AA702" t="s">
        <v>11572</v>
      </c>
      <c r="AB702" t="s">
        <v>15128</v>
      </c>
    </row>
    <row r="703" spans="1:28" x14ac:dyDescent="0.25">
      <c r="A703" t="s">
        <v>707</v>
      </c>
      <c r="B703">
        <v>0.98018197421672304</v>
      </c>
      <c r="C703">
        <v>0.95602651836406205</v>
      </c>
      <c r="D703">
        <v>0.95480222035807805</v>
      </c>
      <c r="E703">
        <v>0.84680862118811495</v>
      </c>
      <c r="F703">
        <v>0.77129446706509397</v>
      </c>
      <c r="G703">
        <v>0.62328742500682199</v>
      </c>
      <c r="H703">
        <v>0.40453632863586197</v>
      </c>
      <c r="I703">
        <v>0.30692997735280603</v>
      </c>
      <c r="J703">
        <v>0.192695902866025</v>
      </c>
      <c r="K703">
        <v>0.14083218779869799</v>
      </c>
      <c r="L703">
        <v>641.14225122099401</v>
      </c>
      <c r="M703">
        <v>10.8777590299928</v>
      </c>
      <c r="N703">
        <v>58.940680751171598</v>
      </c>
      <c r="O703">
        <v>57.053611691773199</v>
      </c>
      <c r="P703">
        <v>-4.7681426469851199E-2</v>
      </c>
      <c r="Q703">
        <v>0</v>
      </c>
      <c r="R703">
        <v>0.99657766921704904</v>
      </c>
      <c r="S703" t="s">
        <v>4332</v>
      </c>
      <c r="T703" t="s">
        <v>7256</v>
      </c>
      <c r="U703" t="s">
        <v>7256</v>
      </c>
      <c r="V703" t="s">
        <v>7256</v>
      </c>
      <c r="W703">
        <v>22</v>
      </c>
      <c r="X703" t="s">
        <v>7959</v>
      </c>
      <c r="Y703">
        <v>0.63745801532727719</v>
      </c>
      <c r="Z703" t="str">
        <f>HYPERLINK("Melting_Curves/meltCurve_sp_P21549_SPYA_HUMAN_.pdf", "Melting_Curves/meltCurve_sp_P21549_SPYA_HUMAN_.pdf")</f>
        <v>Melting_Curves/meltCurve_sp_P21549_SPYA_HUMAN_.pdf</v>
      </c>
      <c r="AA703" t="s">
        <v>11573</v>
      </c>
      <c r="AB703" t="s">
        <v>15129</v>
      </c>
    </row>
    <row r="704" spans="1:28" x14ac:dyDescent="0.25">
      <c r="A704" t="s">
        <v>708</v>
      </c>
      <c r="B704">
        <v>0.98018197421672304</v>
      </c>
      <c r="C704">
        <v>0.96382168990526995</v>
      </c>
      <c r="D704">
        <v>0.97898572043305598</v>
      </c>
      <c r="E704">
        <v>0.77013914715495801</v>
      </c>
      <c r="F704">
        <v>0.37615655586116098</v>
      </c>
      <c r="G704">
        <v>0.104997869844564</v>
      </c>
      <c r="H704">
        <v>5.8120436018051003E-2</v>
      </c>
      <c r="I704">
        <v>4.0648769807630603E-2</v>
      </c>
      <c r="J704">
        <v>4.0722516378835498E-2</v>
      </c>
      <c r="K704">
        <v>2.8572387070695399E-2</v>
      </c>
      <c r="L704">
        <v>1532.0673504737599</v>
      </c>
      <c r="M704">
        <v>29.502684515091399</v>
      </c>
      <c r="N704">
        <v>52.068542514727802</v>
      </c>
      <c r="O704">
        <v>51.692951664929303</v>
      </c>
      <c r="P704">
        <v>-0.13728831626459601</v>
      </c>
      <c r="Q704">
        <v>3.7811556452602202E-2</v>
      </c>
      <c r="R704">
        <v>0.99897451599482701</v>
      </c>
      <c r="S704" t="s">
        <v>4333</v>
      </c>
      <c r="T704" t="s">
        <v>7256</v>
      </c>
      <c r="U704" t="s">
        <v>7256</v>
      </c>
      <c r="V704" t="s">
        <v>7256</v>
      </c>
      <c r="W704">
        <v>20</v>
      </c>
      <c r="X704" t="s">
        <v>7960</v>
      </c>
      <c r="Y704">
        <v>0.4267820517176289</v>
      </c>
      <c r="Z704" t="str">
        <f>HYPERLINK("Melting_Curves/meltCurve_sp_P21695_2_GPDA_HUMAN_.pdf", "Melting_Curves/meltCurve_sp_P21695_2_GPDA_HUMAN_.pdf")</f>
        <v>Melting_Curves/meltCurve_sp_P21695_2_GPDA_HUMAN_.pdf</v>
      </c>
      <c r="AA704" t="s">
        <v>11574</v>
      </c>
      <c r="AB704" t="s">
        <v>15130</v>
      </c>
    </row>
    <row r="705" spans="1:28" x14ac:dyDescent="0.25">
      <c r="A705" t="s">
        <v>709</v>
      </c>
      <c r="B705">
        <v>0.98018197421672304</v>
      </c>
      <c r="C705">
        <v>1.0268155099888101</v>
      </c>
      <c r="D705">
        <v>0.82796309360762699</v>
      </c>
      <c r="E705">
        <v>0.52819761819036604</v>
      </c>
      <c r="F705">
        <v>0.25492966493574798</v>
      </c>
      <c r="G705">
        <v>0.12627497623452499</v>
      </c>
      <c r="H705">
        <v>7.9940859819194507E-2</v>
      </c>
      <c r="I705">
        <v>5.9941442832410499E-2</v>
      </c>
      <c r="J705">
        <v>6.4866552141222597E-2</v>
      </c>
      <c r="K705">
        <v>4.2487202234815002E-2</v>
      </c>
      <c r="L705">
        <v>1033.6891089253299</v>
      </c>
      <c r="M705">
        <v>20.729799228361902</v>
      </c>
      <c r="N705">
        <v>50.135201802480502</v>
      </c>
      <c r="O705">
        <v>49.407792277052103</v>
      </c>
      <c r="P705">
        <v>-9.9348044393992502E-2</v>
      </c>
      <c r="Q705">
        <v>5.2874533848325897E-2</v>
      </c>
      <c r="R705">
        <v>0.99644500438288997</v>
      </c>
      <c r="S705" t="s">
        <v>4334</v>
      </c>
      <c r="T705" t="s">
        <v>7256</v>
      </c>
      <c r="U705" t="s">
        <v>7256</v>
      </c>
      <c r="V705" t="s">
        <v>7256</v>
      </c>
      <c r="W705">
        <v>4</v>
      </c>
      <c r="X705" t="s">
        <v>7961</v>
      </c>
      <c r="Y705">
        <v>0.37661131317861229</v>
      </c>
      <c r="Z705" t="str">
        <f>HYPERLINK("Melting_Curves/meltCurve_sp_P21912_DHSB_HUMAN_.pdf", "Melting_Curves/meltCurve_sp_P21912_DHSB_HUMAN_.pdf")</f>
        <v>Melting_Curves/meltCurve_sp_P21912_DHSB_HUMAN_.pdf</v>
      </c>
      <c r="AA705" t="s">
        <v>11575</v>
      </c>
      <c r="AB705" t="s">
        <v>15131</v>
      </c>
    </row>
    <row r="706" spans="1:28" x14ac:dyDescent="0.25">
      <c r="A706" t="s">
        <v>710</v>
      </c>
      <c r="B706">
        <v>0.98018197421672304</v>
      </c>
      <c r="C706">
        <v>0.897881447761955</v>
      </c>
      <c r="D706">
        <v>0.92103354481555799</v>
      </c>
      <c r="E706">
        <v>0.61631154512627295</v>
      </c>
      <c r="F706">
        <v>0.217520592180692</v>
      </c>
      <c r="G706">
        <v>8.5218698962044703E-2</v>
      </c>
      <c r="H706">
        <v>4.6460446204261902E-2</v>
      </c>
      <c r="I706">
        <v>3.7397869804145403E-2</v>
      </c>
      <c r="J706">
        <v>4.0052708401874602E-2</v>
      </c>
      <c r="K706">
        <v>3.10460432141423E-2</v>
      </c>
      <c r="L706">
        <v>1397.1991891805101</v>
      </c>
      <c r="M706">
        <v>27.636638571520798</v>
      </c>
      <c r="N706">
        <v>50.687667296369597</v>
      </c>
      <c r="O706">
        <v>50.293568545222598</v>
      </c>
      <c r="P706">
        <v>-0.13262124866247901</v>
      </c>
      <c r="Q706">
        <v>3.4624185161412101E-2</v>
      </c>
      <c r="R706">
        <v>0.99265975169008602</v>
      </c>
      <c r="S706" t="s">
        <v>4335</v>
      </c>
      <c r="T706" t="s">
        <v>7256</v>
      </c>
      <c r="U706" t="s">
        <v>7256</v>
      </c>
      <c r="V706" t="s">
        <v>7256</v>
      </c>
      <c r="W706">
        <v>14</v>
      </c>
      <c r="X706" t="s">
        <v>7962</v>
      </c>
      <c r="Y706">
        <v>0.38141422238515321</v>
      </c>
      <c r="Z706" t="str">
        <f>HYPERLINK("Melting_Curves/meltCurve_sp_P21964_2_COMT_HUMAN_.pdf", "Melting_Curves/meltCurve_sp_P21964_2_COMT_HUMAN_.pdf")</f>
        <v>Melting_Curves/meltCurve_sp_P21964_2_COMT_HUMAN_.pdf</v>
      </c>
      <c r="AA706" t="s">
        <v>11576</v>
      </c>
      <c r="AB706" t="s">
        <v>15132</v>
      </c>
    </row>
    <row r="707" spans="1:28" x14ac:dyDescent="0.25">
      <c r="A707" t="s">
        <v>711</v>
      </c>
      <c r="B707">
        <v>0.98018197421672304</v>
      </c>
      <c r="C707">
        <v>0.96751385857882999</v>
      </c>
      <c r="D707">
        <v>0.92765197351672102</v>
      </c>
      <c r="E707">
        <v>0.80198101133442801</v>
      </c>
      <c r="F707">
        <v>0.49822404540387699</v>
      </c>
      <c r="G707">
        <v>0.19555950616572701</v>
      </c>
      <c r="H707">
        <v>8.9554364475206705E-2</v>
      </c>
      <c r="I707">
        <v>6.1015465248760101E-2</v>
      </c>
      <c r="J707">
        <v>4.4070899503382499E-2</v>
      </c>
      <c r="K707">
        <v>3.1676177674637603E-2</v>
      </c>
      <c r="L707">
        <v>1128.0519530598699</v>
      </c>
      <c r="M707">
        <v>21.332041562817299</v>
      </c>
      <c r="N707">
        <v>53.044680861830798</v>
      </c>
      <c r="O707">
        <v>52.422504013880598</v>
      </c>
      <c r="P707">
        <v>-9.8486455582061497E-2</v>
      </c>
      <c r="Q707">
        <v>3.1920757190439103E-2</v>
      </c>
      <c r="R707">
        <v>0.99823892876739695</v>
      </c>
      <c r="S707" t="s">
        <v>4336</v>
      </c>
      <c r="T707" t="s">
        <v>7256</v>
      </c>
      <c r="U707" t="s">
        <v>7256</v>
      </c>
      <c r="V707" t="s">
        <v>7256</v>
      </c>
      <c r="W707">
        <v>33</v>
      </c>
      <c r="X707" t="s">
        <v>7963</v>
      </c>
      <c r="Y707">
        <v>0.45947903217029351</v>
      </c>
      <c r="Z707" t="str">
        <f>HYPERLINK("Melting_Curves/meltCurve_sp_P22033_MUTA_HUMAN_.pdf", "Melting_Curves/meltCurve_sp_P22033_MUTA_HUMAN_.pdf")</f>
        <v>Melting_Curves/meltCurve_sp_P22033_MUTA_HUMAN_.pdf</v>
      </c>
      <c r="AA707" t="s">
        <v>11577</v>
      </c>
      <c r="AB707" t="s">
        <v>15133</v>
      </c>
    </row>
    <row r="708" spans="1:28" x14ac:dyDescent="0.25">
      <c r="A708" t="s">
        <v>712</v>
      </c>
      <c r="B708">
        <v>0.98018197421672304</v>
      </c>
      <c r="C708">
        <v>0.977370403203775</v>
      </c>
      <c r="D708">
        <v>0.90311462628833195</v>
      </c>
      <c r="E708">
        <v>0.79542407524455305</v>
      </c>
      <c r="F708">
        <v>0.57198904857908195</v>
      </c>
      <c r="G708">
        <v>0.384254614862027</v>
      </c>
      <c r="H708">
        <v>0.20391312848717</v>
      </c>
      <c r="I708">
        <v>8.0211410020104901E-2</v>
      </c>
      <c r="J708">
        <v>7.5181983615316805E-2</v>
      </c>
      <c r="K708">
        <v>6.6172853551180799E-2</v>
      </c>
      <c r="L708">
        <v>732.07246320071602</v>
      </c>
      <c r="M708">
        <v>13.4199228623387</v>
      </c>
      <c r="N708">
        <v>54.5511678027611</v>
      </c>
      <c r="O708">
        <v>53.382577682639997</v>
      </c>
      <c r="P708">
        <v>-6.2857670719274505E-2</v>
      </c>
      <c r="Q708">
        <v>0</v>
      </c>
      <c r="R708">
        <v>0.99676737166922202</v>
      </c>
      <c r="S708" t="s">
        <v>4337</v>
      </c>
      <c r="T708" t="s">
        <v>7256</v>
      </c>
      <c r="U708" t="s">
        <v>7256</v>
      </c>
      <c r="V708" t="s">
        <v>7256</v>
      </c>
      <c r="W708">
        <v>27</v>
      </c>
      <c r="X708" t="s">
        <v>7964</v>
      </c>
      <c r="Y708">
        <v>0.5073984386512993</v>
      </c>
      <c r="Z708" t="str">
        <f>HYPERLINK("Melting_Curves/meltCurve_sp_P22059_OSBP1_HUMAN_.pdf", "Melting_Curves/meltCurve_sp_P22059_OSBP1_HUMAN_.pdf")</f>
        <v>Melting_Curves/meltCurve_sp_P22059_OSBP1_HUMAN_.pdf</v>
      </c>
      <c r="AA708" t="s">
        <v>11578</v>
      </c>
      <c r="AB708" t="s">
        <v>15134</v>
      </c>
    </row>
    <row r="709" spans="1:28" x14ac:dyDescent="0.25">
      <c r="A709" t="s">
        <v>713</v>
      </c>
      <c r="B709">
        <v>0.98018197421672304</v>
      </c>
      <c r="C709">
        <v>1.00706149244981</v>
      </c>
      <c r="D709">
        <v>0.97427873507479401</v>
      </c>
      <c r="E709">
        <v>0.839778033981184</v>
      </c>
      <c r="F709">
        <v>0.73939171844834595</v>
      </c>
      <c r="G709">
        <v>0.206696185924091</v>
      </c>
      <c r="H709">
        <v>6.1656909074575397E-2</v>
      </c>
      <c r="I709">
        <v>4.3679544370989101E-2</v>
      </c>
      <c r="J709">
        <v>5.0690518735277003E-2</v>
      </c>
      <c r="K709">
        <v>3.7852666768118298E-2</v>
      </c>
      <c r="L709">
        <v>1550.3755449943801</v>
      </c>
      <c r="M709">
        <v>28.5102913413971</v>
      </c>
      <c r="N709">
        <v>54.497747918932603</v>
      </c>
      <c r="O709">
        <v>54.114074985524603</v>
      </c>
      <c r="P709">
        <v>-0.127764645472321</v>
      </c>
      <c r="Q709">
        <v>2.9990887145254799E-2</v>
      </c>
      <c r="R709">
        <v>0.99309678285413405</v>
      </c>
      <c r="S709" t="s">
        <v>4338</v>
      </c>
      <c r="T709" t="s">
        <v>7256</v>
      </c>
      <c r="U709" t="s">
        <v>7256</v>
      </c>
      <c r="V709" t="s">
        <v>7256</v>
      </c>
      <c r="W709">
        <v>8</v>
      </c>
      <c r="X709" t="s">
        <v>7965</v>
      </c>
      <c r="Y709">
        <v>0.50198138925921509</v>
      </c>
      <c r="Z709" t="str">
        <f>HYPERLINK("Melting_Curves/meltCurve_sp_P22061_PIMT_HUMAN_.pdf", "Melting_Curves/meltCurve_sp_P22061_PIMT_HUMAN_.pdf")</f>
        <v>Melting_Curves/meltCurve_sp_P22061_PIMT_HUMAN_.pdf</v>
      </c>
      <c r="AA709" t="s">
        <v>11579</v>
      </c>
      <c r="AB709" t="s">
        <v>15135</v>
      </c>
    </row>
    <row r="710" spans="1:28" x14ac:dyDescent="0.25">
      <c r="A710" t="s">
        <v>714</v>
      </c>
      <c r="B710">
        <v>0.98018197421672304</v>
      </c>
      <c r="C710">
        <v>0.92860075848122103</v>
      </c>
      <c r="D710">
        <v>0.83316036778008096</v>
      </c>
      <c r="E710">
        <v>0.38623335753836702</v>
      </c>
      <c r="F710">
        <v>0.14949463780540401</v>
      </c>
      <c r="G710">
        <v>8.8270706565401702E-2</v>
      </c>
      <c r="H710">
        <v>6.16363005877218E-2</v>
      </c>
      <c r="I710">
        <v>4.7491938416239499E-2</v>
      </c>
      <c r="J710">
        <v>6.1655009851313898E-2</v>
      </c>
      <c r="K710">
        <v>3.3124361312945598E-2</v>
      </c>
      <c r="L710">
        <v>1187.4253255608401</v>
      </c>
      <c r="M710">
        <v>24.359709462569601</v>
      </c>
      <c r="N710">
        <v>48.9494752116385</v>
      </c>
      <c r="O710">
        <v>48.420498566576498</v>
      </c>
      <c r="P710">
        <v>-0.119702243298297</v>
      </c>
      <c r="Q710">
        <v>4.8271306673211001E-2</v>
      </c>
      <c r="R710">
        <v>0.99806625374241997</v>
      </c>
      <c r="S710" t="s">
        <v>4339</v>
      </c>
      <c r="T710" t="s">
        <v>7256</v>
      </c>
      <c r="U710" t="s">
        <v>7256</v>
      </c>
      <c r="V710" t="s">
        <v>7256</v>
      </c>
      <c r="W710">
        <v>24</v>
      </c>
      <c r="X710" t="s">
        <v>7966</v>
      </c>
      <c r="Y710">
        <v>0.33460247891090472</v>
      </c>
      <c r="Z710" t="str">
        <f>HYPERLINK("Melting_Curves/meltCurve_sp_P22102_PUR2_HUMAN_.pdf", "Melting_Curves/meltCurve_sp_P22102_PUR2_HUMAN_.pdf")</f>
        <v>Melting_Curves/meltCurve_sp_P22102_PUR2_HUMAN_.pdf</v>
      </c>
      <c r="AA710" t="s">
        <v>11580</v>
      </c>
      <c r="AB710" t="s">
        <v>15136</v>
      </c>
    </row>
    <row r="711" spans="1:28" x14ac:dyDescent="0.25">
      <c r="A711" t="s">
        <v>715</v>
      </c>
      <c r="B711">
        <v>0.98018197421672304</v>
      </c>
      <c r="C711">
        <v>0.98322709853537205</v>
      </c>
      <c r="D711">
        <v>0.89886684697096797</v>
      </c>
      <c r="E711">
        <v>0.82830348698727696</v>
      </c>
      <c r="F711">
        <v>0.65197825140922905</v>
      </c>
      <c r="G711">
        <v>0.43907098658480698</v>
      </c>
      <c r="H711">
        <v>0.434504869446384</v>
      </c>
      <c r="I711">
        <v>0.39746902712318499</v>
      </c>
      <c r="J711">
        <v>0.27496236973064098</v>
      </c>
      <c r="K711">
        <v>0.15185004859357401</v>
      </c>
      <c r="L711">
        <v>515.60925677985995</v>
      </c>
      <c r="M711">
        <v>9.1127585783679805</v>
      </c>
      <c r="N711">
        <v>57.6951307732554</v>
      </c>
      <c r="O711">
        <v>54.055999766432798</v>
      </c>
      <c r="P711">
        <v>-3.8771662821652599E-2</v>
      </c>
      <c r="Q711">
        <v>8.0677912694512799E-2</v>
      </c>
      <c r="R711">
        <v>0.97231235898631396</v>
      </c>
      <c r="S711" t="s">
        <v>4340</v>
      </c>
      <c r="T711" t="s">
        <v>7256</v>
      </c>
      <c r="U711" t="s">
        <v>7256</v>
      </c>
      <c r="V711" t="s">
        <v>7256</v>
      </c>
      <c r="W711">
        <v>24</v>
      </c>
      <c r="X711" t="s">
        <v>7967</v>
      </c>
      <c r="Y711">
        <v>0.60465916420832833</v>
      </c>
      <c r="Z711" t="str">
        <f>HYPERLINK("Melting_Curves/meltCurve_sp_P22234_PUR6_HUMAN_.pdf", "Melting_Curves/meltCurve_sp_P22234_PUR6_HUMAN_.pdf")</f>
        <v>Melting_Curves/meltCurve_sp_P22234_PUR6_HUMAN_.pdf</v>
      </c>
      <c r="AA711" t="s">
        <v>11581</v>
      </c>
      <c r="AB711" t="s">
        <v>15137</v>
      </c>
    </row>
    <row r="712" spans="1:28" x14ac:dyDescent="0.25">
      <c r="A712" t="s">
        <v>716</v>
      </c>
      <c r="B712">
        <v>0.98018197421672304</v>
      </c>
      <c r="C712">
        <v>0.78575669392361003</v>
      </c>
      <c r="D712">
        <v>0.82307346195040199</v>
      </c>
      <c r="E712">
        <v>0.54166937954446004</v>
      </c>
      <c r="F712">
        <v>0.21344518706898</v>
      </c>
      <c r="G712">
        <v>0.157926506314578</v>
      </c>
      <c r="H712">
        <v>7.7812496670420395E-2</v>
      </c>
      <c r="I712">
        <v>3.9395763209560598E-2</v>
      </c>
      <c r="J712">
        <v>1.1856432116501199E-2</v>
      </c>
      <c r="K712">
        <v>4.31284123445555E-3</v>
      </c>
      <c r="L712">
        <v>713.56109201196705</v>
      </c>
      <c r="M712">
        <v>14.332393182243299</v>
      </c>
      <c r="N712">
        <v>49.7865967531501</v>
      </c>
      <c r="O712">
        <v>48.847458895331002</v>
      </c>
      <c r="P712">
        <v>-7.3361665431049994E-2</v>
      </c>
      <c r="Q712">
        <v>0</v>
      </c>
      <c r="R712">
        <v>0.97752968659913397</v>
      </c>
      <c r="S712" t="s">
        <v>4341</v>
      </c>
      <c r="T712" t="s">
        <v>7256</v>
      </c>
      <c r="U712" t="s">
        <v>7256</v>
      </c>
      <c r="V712" t="s">
        <v>7256</v>
      </c>
      <c r="W712">
        <v>19</v>
      </c>
      <c r="X712" t="s">
        <v>7968</v>
      </c>
      <c r="Y712">
        <v>0.3522555174210279</v>
      </c>
      <c r="Z712" t="str">
        <f>HYPERLINK("Melting_Curves/meltCurve_sp_P22307_2_NLTP_HUMAN_.pdf", "Melting_Curves/meltCurve_sp_P22307_2_NLTP_HUMAN_.pdf")</f>
        <v>Melting_Curves/meltCurve_sp_P22307_2_NLTP_HUMAN_.pdf</v>
      </c>
      <c r="AA712" t="s">
        <v>11582</v>
      </c>
      <c r="AB712" t="s">
        <v>15138</v>
      </c>
    </row>
    <row r="713" spans="1:28" x14ac:dyDescent="0.25">
      <c r="A713" t="s">
        <v>717</v>
      </c>
      <c r="B713">
        <v>0.98018197421672304</v>
      </c>
      <c r="C713">
        <v>1.04288218176</v>
      </c>
      <c r="D713">
        <v>1.00723096221436</v>
      </c>
      <c r="E713">
        <v>0.79686234752993101</v>
      </c>
      <c r="F713">
        <v>0.53250350344616004</v>
      </c>
      <c r="G713">
        <v>0.351457983528008</v>
      </c>
      <c r="H713">
        <v>0.26678044788233002</v>
      </c>
      <c r="I713">
        <v>0.25992018372027698</v>
      </c>
      <c r="J713">
        <v>0.26312466456797801</v>
      </c>
      <c r="K713">
        <v>0.28569537943944801</v>
      </c>
      <c r="L713">
        <v>1388.05810947192</v>
      </c>
      <c r="M713">
        <v>26.742610421930799</v>
      </c>
      <c r="N713">
        <v>53.4396866173958</v>
      </c>
      <c r="O713">
        <v>51.616732909889997</v>
      </c>
      <c r="P713">
        <v>-9.4799769879894802E-2</v>
      </c>
      <c r="Q713">
        <v>0.26810375907031098</v>
      </c>
      <c r="R713">
        <v>0.99555948102857605</v>
      </c>
      <c r="S713" t="s">
        <v>4342</v>
      </c>
      <c r="T713" t="s">
        <v>7256</v>
      </c>
      <c r="U713" t="s">
        <v>7256</v>
      </c>
      <c r="V713" t="s">
        <v>7256</v>
      </c>
      <c r="W713">
        <v>36</v>
      </c>
      <c r="X713" t="s">
        <v>7969</v>
      </c>
      <c r="Y713">
        <v>0.56438538869152155</v>
      </c>
      <c r="Z713" t="str">
        <f>HYPERLINK("Melting_Curves/meltCurve_sp_P22307_NLTP_HUMAN_.pdf", "Melting_Curves/meltCurve_sp_P22307_NLTP_HUMAN_.pdf")</f>
        <v>Melting_Curves/meltCurve_sp_P22307_NLTP_HUMAN_.pdf</v>
      </c>
      <c r="AA713" t="s">
        <v>11582</v>
      </c>
      <c r="AB713" t="s">
        <v>15139</v>
      </c>
    </row>
    <row r="714" spans="1:28" x14ac:dyDescent="0.25">
      <c r="A714" t="s">
        <v>718</v>
      </c>
      <c r="B714">
        <v>0.98018197421672304</v>
      </c>
      <c r="C714">
        <v>0.81410889740818904</v>
      </c>
      <c r="D714">
        <v>0.80843284885453504</v>
      </c>
      <c r="E714">
        <v>0.227194333908737</v>
      </c>
      <c r="F714">
        <v>0.107267314096717</v>
      </c>
      <c r="G714">
        <v>6.1089432937320297E-2</v>
      </c>
      <c r="H714">
        <v>4.0069394133496201E-2</v>
      </c>
      <c r="I714">
        <v>3.2231028235057399E-2</v>
      </c>
      <c r="J714">
        <v>3.9161942903169697E-2</v>
      </c>
      <c r="K714">
        <v>2.5117387403027699E-2</v>
      </c>
      <c r="L714">
        <v>1239.30664299928</v>
      </c>
      <c r="M714">
        <v>25.933053690429499</v>
      </c>
      <c r="N714">
        <v>47.913447439306701</v>
      </c>
      <c r="O714">
        <v>47.507241822951102</v>
      </c>
      <c r="P714">
        <v>-0.13201533128267201</v>
      </c>
      <c r="Q714">
        <v>3.26459550632133E-2</v>
      </c>
      <c r="R714">
        <v>0.98129726873174405</v>
      </c>
      <c r="S714" t="s">
        <v>4343</v>
      </c>
      <c r="T714" t="s">
        <v>7256</v>
      </c>
      <c r="U714" t="s">
        <v>7256</v>
      </c>
      <c r="V714" t="s">
        <v>7256</v>
      </c>
      <c r="W714">
        <v>34</v>
      </c>
      <c r="X714" t="s">
        <v>7970</v>
      </c>
      <c r="Y714">
        <v>0.29170575696472978</v>
      </c>
      <c r="Z714" t="str">
        <f>HYPERLINK("Melting_Curves/meltCurve_sp_P22314_UBA1_HUMAN_.pdf", "Melting_Curves/meltCurve_sp_P22314_UBA1_HUMAN_.pdf")</f>
        <v>Melting_Curves/meltCurve_sp_P22314_UBA1_HUMAN_.pdf</v>
      </c>
      <c r="AA714" t="s">
        <v>11583</v>
      </c>
      <c r="AB714" t="s">
        <v>15140</v>
      </c>
    </row>
    <row r="715" spans="1:28" x14ac:dyDescent="0.25">
      <c r="A715" t="s">
        <v>719</v>
      </c>
      <c r="B715">
        <v>0.98018197421672304</v>
      </c>
      <c r="C715">
        <v>0.96565468401013799</v>
      </c>
      <c r="D715">
        <v>0.94102960073400999</v>
      </c>
      <c r="E715">
        <v>0.86347422419122399</v>
      </c>
      <c r="F715">
        <v>0.79044057543018598</v>
      </c>
      <c r="G715">
        <v>0.71428792601524804</v>
      </c>
      <c r="H715">
        <v>0.47422750654746798</v>
      </c>
      <c r="I715">
        <v>0.24657404539610001</v>
      </c>
      <c r="J715">
        <v>6.2595546838949995E-2</v>
      </c>
      <c r="K715">
        <v>4.8752373657935902E-2</v>
      </c>
      <c r="L715">
        <v>904.287101852668</v>
      </c>
      <c r="M715">
        <v>15.2136372713321</v>
      </c>
      <c r="N715">
        <v>59.439244556158101</v>
      </c>
      <c r="O715">
        <v>58.4406550104502</v>
      </c>
      <c r="P715">
        <v>-6.5087786182436103E-2</v>
      </c>
      <c r="Q715">
        <v>0</v>
      </c>
      <c r="R715">
        <v>0.97270890279770095</v>
      </c>
      <c r="S715" t="s">
        <v>4344</v>
      </c>
      <c r="T715" t="s">
        <v>7256</v>
      </c>
      <c r="U715" t="s">
        <v>7256</v>
      </c>
      <c r="V715" t="s">
        <v>7256</v>
      </c>
      <c r="W715">
        <v>14</v>
      </c>
      <c r="X715" t="s">
        <v>7971</v>
      </c>
      <c r="Y715">
        <v>0.65707194436571748</v>
      </c>
      <c r="Z715" t="str">
        <f>HYPERLINK("Melting_Curves/meltCurve_sp_P22392_2_NDKB_HUMAN_.pdf", "Melting_Curves/meltCurve_sp_P22392_2_NDKB_HUMAN_.pdf")</f>
        <v>Melting_Curves/meltCurve_sp_P22392_2_NDKB_HUMAN_.pdf</v>
      </c>
      <c r="AA715" t="s">
        <v>11584</v>
      </c>
      <c r="AB715" t="s">
        <v>15141</v>
      </c>
    </row>
    <row r="716" spans="1:28" x14ac:dyDescent="0.25">
      <c r="A716" t="s">
        <v>720</v>
      </c>
      <c r="B716">
        <v>0.98018197421672304</v>
      </c>
      <c r="C716">
        <v>0.82165777500135995</v>
      </c>
      <c r="D716">
        <v>0.49977027956129699</v>
      </c>
      <c r="E716">
        <v>0.21449303670872699</v>
      </c>
      <c r="F716">
        <v>0.125340208563087</v>
      </c>
      <c r="G716">
        <v>7.4476267279848199E-2</v>
      </c>
      <c r="H716">
        <v>4.6436770135867597E-2</v>
      </c>
      <c r="I716">
        <v>3.7259334752338599E-2</v>
      </c>
      <c r="J716">
        <v>4.1514514038411998E-2</v>
      </c>
      <c r="K716">
        <v>3.0785266774791601E-2</v>
      </c>
      <c r="L716">
        <v>909.51581078802099</v>
      </c>
      <c r="M716">
        <v>19.777398366310798</v>
      </c>
      <c r="N716">
        <v>46.195319479708097</v>
      </c>
      <c r="O716">
        <v>45.525211286709798</v>
      </c>
      <c r="P716">
        <v>-0.10399043282395801</v>
      </c>
      <c r="Q716">
        <v>4.25383006114394E-2</v>
      </c>
      <c r="R716">
        <v>0.99823112925790602</v>
      </c>
      <c r="S716" t="s">
        <v>4345</v>
      </c>
      <c r="T716" t="s">
        <v>7256</v>
      </c>
      <c r="U716" t="s">
        <v>7256</v>
      </c>
      <c r="V716" t="s">
        <v>7256</v>
      </c>
      <c r="W716">
        <v>19</v>
      </c>
      <c r="X716" t="s">
        <v>7972</v>
      </c>
      <c r="Y716">
        <v>0.24883470743455299</v>
      </c>
      <c r="Z716" t="str">
        <f>HYPERLINK("Melting_Curves/meltCurve_sp_P22570_ADRO_HUMAN_.pdf", "Melting_Curves/meltCurve_sp_P22570_ADRO_HUMAN_.pdf")</f>
        <v>Melting_Curves/meltCurve_sp_P22570_ADRO_HUMAN_.pdf</v>
      </c>
      <c r="AA716" t="s">
        <v>11585</v>
      </c>
      <c r="AB716" t="s">
        <v>15142</v>
      </c>
    </row>
    <row r="717" spans="1:28" x14ac:dyDescent="0.25">
      <c r="A717" t="s">
        <v>721</v>
      </c>
      <c r="B717">
        <v>0.98018197421672304</v>
      </c>
      <c r="C717">
        <v>1.00826789096509</v>
      </c>
      <c r="D717">
        <v>0.86631692874882704</v>
      </c>
      <c r="E717">
        <v>0.68971741400915498</v>
      </c>
      <c r="F717">
        <v>0.60450917615766597</v>
      </c>
      <c r="G717">
        <v>0.38536478490522302</v>
      </c>
      <c r="H717">
        <v>0.230552135735997</v>
      </c>
      <c r="I717">
        <v>0.22704139398745901</v>
      </c>
      <c r="J717">
        <v>0.31056682269274399</v>
      </c>
      <c r="K717">
        <v>0.36465731584142602</v>
      </c>
      <c r="L717">
        <v>846.93246455888095</v>
      </c>
      <c r="M717">
        <v>16.496145125860799</v>
      </c>
      <c r="N717">
        <v>53.821948245720201</v>
      </c>
      <c r="O717">
        <v>50.604533570536503</v>
      </c>
      <c r="P717">
        <v>-5.9801930979836798E-2</v>
      </c>
      <c r="Q717">
        <v>0.26624343615593998</v>
      </c>
      <c r="R717">
        <v>0.96634334918725395</v>
      </c>
      <c r="S717" t="s">
        <v>4346</v>
      </c>
      <c r="T717" t="s">
        <v>7256</v>
      </c>
      <c r="U717" t="s">
        <v>7256</v>
      </c>
      <c r="V717" t="s">
        <v>7256</v>
      </c>
      <c r="W717">
        <v>15</v>
      </c>
      <c r="X717" t="s">
        <v>7973</v>
      </c>
      <c r="Y717">
        <v>0.55796031901648935</v>
      </c>
      <c r="Z717" t="str">
        <f>HYPERLINK("Melting_Curves/meltCurve_sp_P22626_ROA2_HUMAN_.pdf", "Melting_Curves/meltCurve_sp_P22626_ROA2_HUMAN_.pdf")</f>
        <v>Melting_Curves/meltCurve_sp_P22626_ROA2_HUMAN_.pdf</v>
      </c>
      <c r="AA717" t="s">
        <v>11586</v>
      </c>
      <c r="AB717" t="s">
        <v>15143</v>
      </c>
    </row>
    <row r="718" spans="1:28" x14ac:dyDescent="0.25">
      <c r="A718" t="s">
        <v>722</v>
      </c>
      <c r="B718">
        <v>0.98018197421672304</v>
      </c>
      <c r="C718">
        <v>1.2061285819651</v>
      </c>
      <c r="D718">
        <v>1.04661030931712</v>
      </c>
      <c r="E718">
        <v>0.827985602574553</v>
      </c>
      <c r="F718">
        <v>0.57613012691182897</v>
      </c>
      <c r="G718">
        <v>0.34474016774920202</v>
      </c>
      <c r="H718">
        <v>0.27408201341927402</v>
      </c>
      <c r="I718">
        <v>0.29414506715022698</v>
      </c>
      <c r="J718">
        <v>0.34419432618545298</v>
      </c>
      <c r="K718">
        <v>0.31184970427791497</v>
      </c>
      <c r="L718">
        <v>1637.44882439292</v>
      </c>
      <c r="M718">
        <v>31.433732946702499</v>
      </c>
      <c r="N718">
        <v>53.694917352257001</v>
      </c>
      <c r="O718">
        <v>51.882620071518303</v>
      </c>
      <c r="P718">
        <v>-0.105366548606681</v>
      </c>
      <c r="Q718">
        <v>0.30435714604870001</v>
      </c>
      <c r="R718">
        <v>0.95695941464004797</v>
      </c>
      <c r="S718" t="s">
        <v>4347</v>
      </c>
      <c r="T718" t="s">
        <v>7256</v>
      </c>
      <c r="U718" t="s">
        <v>7256</v>
      </c>
      <c r="V718" t="s">
        <v>7256</v>
      </c>
      <c r="W718">
        <v>1</v>
      </c>
      <c r="X718" t="s">
        <v>7974</v>
      </c>
      <c r="Y718">
        <v>0.58880670373579636</v>
      </c>
      <c r="Z718" t="str">
        <f>HYPERLINK("Melting_Curves/meltCurve_sp_P22670_RFX1_HUMAN_.pdf", "Melting_Curves/meltCurve_sp_P22670_RFX1_HUMAN_.pdf")</f>
        <v>Melting_Curves/meltCurve_sp_P22670_RFX1_HUMAN_.pdf</v>
      </c>
      <c r="AA718" t="s">
        <v>11587</v>
      </c>
      <c r="AB718" t="s">
        <v>15144</v>
      </c>
    </row>
    <row r="719" spans="1:28" x14ac:dyDescent="0.25">
      <c r="A719" t="s">
        <v>723</v>
      </c>
      <c r="B719">
        <v>0.98018197421672304</v>
      </c>
      <c r="C719">
        <v>0.87969791206619297</v>
      </c>
      <c r="D719">
        <v>0.73209267182752602</v>
      </c>
      <c r="E719">
        <v>0.51995312912184</v>
      </c>
      <c r="F719">
        <v>0.31487421156027201</v>
      </c>
      <c r="G719">
        <v>0.19474090170036201</v>
      </c>
      <c r="H719">
        <v>0.115490861394221</v>
      </c>
      <c r="I719">
        <v>7.3570311066234101E-2</v>
      </c>
      <c r="J719">
        <v>0.11680157144536001</v>
      </c>
      <c r="K719">
        <v>8.8787602992057096E-2</v>
      </c>
      <c r="L719">
        <v>669.97474433228501</v>
      </c>
      <c r="M719">
        <v>13.5705151004863</v>
      </c>
      <c r="N719">
        <v>49.860325840987599</v>
      </c>
      <c r="O719">
        <v>48.334819970465198</v>
      </c>
      <c r="P719">
        <v>-6.5814563010557395E-2</v>
      </c>
      <c r="Q719">
        <v>6.2479295330394202E-2</v>
      </c>
      <c r="R719">
        <v>0.99672959224271196</v>
      </c>
      <c r="S719" t="s">
        <v>4348</v>
      </c>
      <c r="T719" t="s">
        <v>7256</v>
      </c>
      <c r="U719" t="s">
        <v>7256</v>
      </c>
      <c r="V719" t="s">
        <v>7256</v>
      </c>
      <c r="W719">
        <v>10</v>
      </c>
      <c r="X719" t="s">
        <v>7975</v>
      </c>
      <c r="Y719">
        <v>0.38263637069779299</v>
      </c>
      <c r="Z719" t="str">
        <f>HYPERLINK("Melting_Curves/meltCurve_sp_P22694_4_KAPCB_HUMAN_.pdf", "Melting_Curves/meltCurve_sp_P22694_4_KAPCB_HUMAN_.pdf")</f>
        <v>Melting_Curves/meltCurve_sp_P22694_4_KAPCB_HUMAN_.pdf</v>
      </c>
      <c r="AA719" t="s">
        <v>11588</v>
      </c>
      <c r="AB719" t="s">
        <v>15145</v>
      </c>
    </row>
    <row r="720" spans="1:28" x14ac:dyDescent="0.25">
      <c r="A720" t="s">
        <v>724</v>
      </c>
      <c r="B720">
        <v>0.98018197421672304</v>
      </c>
      <c r="C720">
        <v>1.0183391572195799</v>
      </c>
      <c r="D720">
        <v>0.87372306328467297</v>
      </c>
      <c r="E720">
        <v>0.50165141695215099</v>
      </c>
      <c r="F720">
        <v>0.24572355125606499</v>
      </c>
      <c r="G720">
        <v>0.133354687195607</v>
      </c>
      <c r="H720">
        <v>8.0471401160453607E-2</v>
      </c>
      <c r="I720">
        <v>5.6853133408559998E-2</v>
      </c>
      <c r="J720">
        <v>7.3561876434451196E-2</v>
      </c>
      <c r="K720">
        <v>4.4515369447542599E-2</v>
      </c>
      <c r="L720">
        <v>1147.06933866294</v>
      </c>
      <c r="M720">
        <v>23.0454628430697</v>
      </c>
      <c r="N720">
        <v>50.065057480952802</v>
      </c>
      <c r="O720">
        <v>49.403952124021998</v>
      </c>
      <c r="P720">
        <v>-0.109312798721622</v>
      </c>
      <c r="Q720">
        <v>6.2655589656965105E-2</v>
      </c>
      <c r="R720">
        <v>0.99792269287742197</v>
      </c>
      <c r="S720" t="s">
        <v>4349</v>
      </c>
      <c r="T720" t="s">
        <v>7256</v>
      </c>
      <c r="U720" t="s">
        <v>7256</v>
      </c>
      <c r="V720" t="s">
        <v>7256</v>
      </c>
      <c r="W720">
        <v>15</v>
      </c>
      <c r="X720" t="s">
        <v>7976</v>
      </c>
      <c r="Y720">
        <v>0.37789821004424962</v>
      </c>
      <c r="Z720" t="str">
        <f>HYPERLINK("Melting_Curves/meltCurve_sp_P22830_HEMH_HUMAN_.pdf", "Melting_Curves/meltCurve_sp_P22830_HEMH_HUMAN_.pdf")</f>
        <v>Melting_Curves/meltCurve_sp_P22830_HEMH_HUMAN_.pdf</v>
      </c>
      <c r="AA720" t="s">
        <v>11589</v>
      </c>
      <c r="AB720" t="s">
        <v>15146</v>
      </c>
    </row>
    <row r="721" spans="1:28" x14ac:dyDescent="0.25">
      <c r="A721" t="s">
        <v>725</v>
      </c>
      <c r="B721">
        <v>0.98018197421672304</v>
      </c>
      <c r="C721">
        <v>0.81915629868656203</v>
      </c>
      <c r="D721">
        <v>0.93431115345165905</v>
      </c>
      <c r="E721">
        <v>0.80042800287295301</v>
      </c>
      <c r="F721">
        <v>0.54389504548273204</v>
      </c>
      <c r="G721">
        <v>0.17824418477251999</v>
      </c>
      <c r="H721">
        <v>6.3821696777352194E-2</v>
      </c>
      <c r="I721">
        <v>4.9144073073423201E-2</v>
      </c>
      <c r="J721">
        <v>4.30115950966279E-2</v>
      </c>
      <c r="K721">
        <v>3.4389803244057902E-2</v>
      </c>
      <c r="L721">
        <v>1123.3466227762001</v>
      </c>
      <c r="M721">
        <v>21.149075309993201</v>
      </c>
      <c r="N721">
        <v>53.211458268401202</v>
      </c>
      <c r="O721">
        <v>52.6475916833678</v>
      </c>
      <c r="P721">
        <v>-9.8553521778477607E-2</v>
      </c>
      <c r="Q721">
        <v>1.8686143090406698E-2</v>
      </c>
      <c r="R721">
        <v>0.97769707923445703</v>
      </c>
      <c r="S721" t="s">
        <v>4350</v>
      </c>
      <c r="T721" t="s">
        <v>7256</v>
      </c>
      <c r="U721" t="s">
        <v>7256</v>
      </c>
      <c r="V721" t="s">
        <v>7256</v>
      </c>
      <c r="W721">
        <v>32</v>
      </c>
      <c r="X721" t="s">
        <v>7977</v>
      </c>
      <c r="Y721">
        <v>0.45995096112458439</v>
      </c>
      <c r="Z721" t="str">
        <f>HYPERLINK("Melting_Curves/meltCurve_sp_P23141_3_EST1_HUMAN_.pdf", "Melting_Curves/meltCurve_sp_P23141_3_EST1_HUMAN_.pdf")</f>
        <v>Melting_Curves/meltCurve_sp_P23141_3_EST1_HUMAN_.pdf</v>
      </c>
      <c r="AA721" t="s">
        <v>11590</v>
      </c>
      <c r="AB721" t="s">
        <v>15147</v>
      </c>
    </row>
    <row r="722" spans="1:28" x14ac:dyDescent="0.25">
      <c r="A722" t="s">
        <v>726</v>
      </c>
      <c r="B722">
        <v>0.98018197421672304</v>
      </c>
      <c r="C722">
        <v>0.91257525145395202</v>
      </c>
      <c r="D722">
        <v>0.82656122005117905</v>
      </c>
      <c r="E722">
        <v>0.76558536739817096</v>
      </c>
      <c r="F722">
        <v>0.62017162361491895</v>
      </c>
      <c r="G722">
        <v>0.444789067131171</v>
      </c>
      <c r="H722">
        <v>0.31166012393674702</v>
      </c>
      <c r="I722">
        <v>0.184956101091937</v>
      </c>
      <c r="J722">
        <v>0.142479521753171</v>
      </c>
      <c r="K722">
        <v>7.4698685315942495E-2</v>
      </c>
      <c r="L722">
        <v>544.80026366666402</v>
      </c>
      <c r="M722">
        <v>9.8425883438484405</v>
      </c>
      <c r="N722">
        <v>55.351320666178701</v>
      </c>
      <c r="O722">
        <v>53.211661261371603</v>
      </c>
      <c r="P722">
        <v>-4.6266525598755999E-2</v>
      </c>
      <c r="Q722">
        <v>0</v>
      </c>
      <c r="R722">
        <v>0.99241321426191398</v>
      </c>
      <c r="S722" t="s">
        <v>4351</v>
      </c>
      <c r="T722" t="s">
        <v>7256</v>
      </c>
      <c r="U722" t="s">
        <v>7256</v>
      </c>
      <c r="V722" t="s">
        <v>7256</v>
      </c>
      <c r="W722">
        <v>5</v>
      </c>
      <c r="X722" t="s">
        <v>7978</v>
      </c>
      <c r="Y722">
        <v>0.53605613235381544</v>
      </c>
      <c r="Z722" t="str">
        <f>HYPERLINK("Melting_Curves/meltCurve_sp_P23142_3_FBLN1_HUMAN_.pdf", "Melting_Curves/meltCurve_sp_P23142_3_FBLN1_HUMAN_.pdf")</f>
        <v>Melting_Curves/meltCurve_sp_P23142_3_FBLN1_HUMAN_.pdf</v>
      </c>
      <c r="AA722" t="s">
        <v>11591</v>
      </c>
      <c r="AB722" t="s">
        <v>15148</v>
      </c>
    </row>
    <row r="723" spans="1:28" x14ac:dyDescent="0.25">
      <c r="A723" t="s">
        <v>727</v>
      </c>
      <c r="B723">
        <v>0.98018197421672304</v>
      </c>
      <c r="C723">
        <v>1.0076583321764401</v>
      </c>
      <c r="D723">
        <v>0.93621983223515404</v>
      </c>
      <c r="E723">
        <v>0.84539935701295299</v>
      </c>
      <c r="F723">
        <v>0.73552972526126603</v>
      </c>
      <c r="G723">
        <v>0.531588110141064</v>
      </c>
      <c r="H723">
        <v>0.41676081045694702</v>
      </c>
      <c r="I723">
        <v>0.42774045620650403</v>
      </c>
      <c r="J723">
        <v>0.49023992948040201</v>
      </c>
      <c r="K723">
        <v>0.60636548678439905</v>
      </c>
      <c r="L723">
        <v>1232.8772520842001</v>
      </c>
      <c r="M723">
        <v>23.6079550312968</v>
      </c>
      <c r="N723">
        <v>60.556333830833502</v>
      </c>
      <c r="O723">
        <v>51.852566397123901</v>
      </c>
      <c r="P723">
        <v>-5.91216389467943E-2</v>
      </c>
      <c r="Q723">
        <v>0.48058905600194801</v>
      </c>
      <c r="R723">
        <v>0.93820761265663</v>
      </c>
      <c r="S723" t="s">
        <v>4352</v>
      </c>
      <c r="T723" t="s">
        <v>7256</v>
      </c>
      <c r="U723" t="s">
        <v>7256</v>
      </c>
      <c r="V723" t="s">
        <v>7256</v>
      </c>
      <c r="W723">
        <v>19</v>
      </c>
      <c r="X723" t="s">
        <v>7979</v>
      </c>
      <c r="Y723">
        <v>0.69751207473749177</v>
      </c>
      <c r="Z723" t="str">
        <f>HYPERLINK("Melting_Curves/meltCurve_sp_P23193_TCEA1_HUMAN_.pdf", "Melting_Curves/meltCurve_sp_P23193_TCEA1_HUMAN_.pdf")</f>
        <v>Melting_Curves/meltCurve_sp_P23193_TCEA1_HUMAN_.pdf</v>
      </c>
      <c r="AA723" t="s">
        <v>11592</v>
      </c>
      <c r="AB723" t="s">
        <v>15149</v>
      </c>
    </row>
    <row r="724" spans="1:28" x14ac:dyDescent="0.25">
      <c r="A724" t="s">
        <v>728</v>
      </c>
      <c r="B724">
        <v>0.98018197421672304</v>
      </c>
      <c r="C724">
        <v>0.91546249894784804</v>
      </c>
      <c r="D724">
        <v>0.85459711185059795</v>
      </c>
      <c r="E724">
        <v>0.71610075984313104</v>
      </c>
      <c r="F724">
        <v>0.520998617854183</v>
      </c>
      <c r="G724">
        <v>0.31578831551705999</v>
      </c>
      <c r="H724">
        <v>0.19501207424196301</v>
      </c>
      <c r="I724">
        <v>0.16224720348640501</v>
      </c>
      <c r="J724">
        <v>0.15882170640061999</v>
      </c>
      <c r="K724">
        <v>0.14715331538856799</v>
      </c>
      <c r="L724">
        <v>688.27897775643896</v>
      </c>
      <c r="M724">
        <v>13.142963406862499</v>
      </c>
      <c r="N724">
        <v>53.245756085978201</v>
      </c>
      <c r="O724">
        <v>51.200778420264797</v>
      </c>
      <c r="P724">
        <v>-5.7937046715241802E-2</v>
      </c>
      <c r="Q724">
        <v>9.7336227840312595E-2</v>
      </c>
      <c r="R724">
        <v>0.99604061737881899</v>
      </c>
      <c r="S724" t="s">
        <v>4353</v>
      </c>
      <c r="T724" t="s">
        <v>7256</v>
      </c>
      <c r="U724" t="s">
        <v>7256</v>
      </c>
      <c r="V724" t="s">
        <v>7256</v>
      </c>
      <c r="W724">
        <v>18</v>
      </c>
      <c r="X724" t="s">
        <v>7980</v>
      </c>
      <c r="Y724">
        <v>0.49347163913493358</v>
      </c>
      <c r="Z724" t="str">
        <f>HYPERLINK("Melting_Curves/meltCurve_sp_P23246_SFPQ_HUMAN_.pdf", "Melting_Curves/meltCurve_sp_P23246_SFPQ_HUMAN_.pdf")</f>
        <v>Melting_Curves/meltCurve_sp_P23246_SFPQ_HUMAN_.pdf</v>
      </c>
      <c r="AA724" t="s">
        <v>11593</v>
      </c>
      <c r="AB724" t="s">
        <v>15150</v>
      </c>
    </row>
    <row r="725" spans="1:28" x14ac:dyDescent="0.25">
      <c r="A725" t="s">
        <v>729</v>
      </c>
      <c r="B725">
        <v>0.98018197421672304</v>
      </c>
      <c r="C725">
        <v>1.0020811806344601</v>
      </c>
      <c r="D725">
        <v>0.95722031850135803</v>
      </c>
      <c r="E725">
        <v>0.74672332528873098</v>
      </c>
      <c r="F725">
        <v>0.28448290732568698</v>
      </c>
      <c r="G725">
        <v>9.2626452650988095E-2</v>
      </c>
      <c r="H725">
        <v>4.86211334390695E-2</v>
      </c>
      <c r="I725">
        <v>3.4884848919105697E-2</v>
      </c>
      <c r="J725">
        <v>4.0283903889683698E-2</v>
      </c>
      <c r="K725">
        <v>3.0627176359280001E-2</v>
      </c>
      <c r="L725">
        <v>1760.14096198841</v>
      </c>
      <c r="M725">
        <v>34.227510674170297</v>
      </c>
      <c r="N725">
        <v>51.551654395572598</v>
      </c>
      <c r="O725">
        <v>51.2501326053792</v>
      </c>
      <c r="P725">
        <v>-0.160218186600352</v>
      </c>
      <c r="Q725">
        <v>4.0400557460822897E-2</v>
      </c>
      <c r="R725">
        <v>0.99895726976168098</v>
      </c>
      <c r="S725" t="s">
        <v>4354</v>
      </c>
      <c r="T725" t="s">
        <v>7256</v>
      </c>
      <c r="U725" t="s">
        <v>7256</v>
      </c>
      <c r="V725" t="s">
        <v>7256</v>
      </c>
      <c r="W725">
        <v>17</v>
      </c>
      <c r="X725" t="s">
        <v>7981</v>
      </c>
      <c r="Y725">
        <v>0.41050558598289227</v>
      </c>
      <c r="Z725" t="str">
        <f>HYPERLINK("Melting_Curves/meltCurve_sp_P23284_PPIB_HUMAN_.pdf", "Melting_Curves/meltCurve_sp_P23284_PPIB_HUMAN_.pdf")</f>
        <v>Melting_Curves/meltCurve_sp_P23284_PPIB_HUMAN_.pdf</v>
      </c>
      <c r="AA725" t="s">
        <v>11594</v>
      </c>
      <c r="AB725" t="s">
        <v>15151</v>
      </c>
    </row>
    <row r="726" spans="1:28" x14ac:dyDescent="0.25">
      <c r="A726" t="s">
        <v>730</v>
      </c>
      <c r="B726">
        <v>0.98018197421672304</v>
      </c>
      <c r="C726">
        <v>1.1846163653008399</v>
      </c>
      <c r="D726">
        <v>0.90596461443839205</v>
      </c>
      <c r="E726">
        <v>0.80758165627134804</v>
      </c>
      <c r="F726">
        <v>0.52997339149253997</v>
      </c>
      <c r="G726">
        <v>0.20203870176785499</v>
      </c>
      <c r="H726">
        <v>0.117650722953468</v>
      </c>
      <c r="I726">
        <v>7.2251572518771706E-2</v>
      </c>
      <c r="J726">
        <v>9.3277493808097203E-2</v>
      </c>
      <c r="K726">
        <v>4.1414887221777101E-2</v>
      </c>
      <c r="L726">
        <v>1203.92225104364</v>
      </c>
      <c r="M726">
        <v>22.745767355511699</v>
      </c>
      <c r="N726">
        <v>53.231826616250203</v>
      </c>
      <c r="O726">
        <v>52.5254833269816</v>
      </c>
      <c r="P726">
        <v>-0.101702442695472</v>
      </c>
      <c r="Q726">
        <v>6.0596134432233502E-2</v>
      </c>
      <c r="R726">
        <v>0.97609579012127501</v>
      </c>
      <c r="S726" t="s">
        <v>4355</v>
      </c>
      <c r="T726" t="s">
        <v>7256</v>
      </c>
      <c r="U726" t="s">
        <v>7256</v>
      </c>
      <c r="V726" t="s">
        <v>7256</v>
      </c>
      <c r="W726">
        <v>7</v>
      </c>
      <c r="X726" t="s">
        <v>7982</v>
      </c>
      <c r="Y726">
        <v>0.47576145124463409</v>
      </c>
      <c r="Z726" t="str">
        <f>HYPERLINK("Melting_Curves/meltCurve_sp_P23368_MAOM_HUMAN_.pdf", "Melting_Curves/meltCurve_sp_P23368_MAOM_HUMAN_.pdf")</f>
        <v>Melting_Curves/meltCurve_sp_P23368_MAOM_HUMAN_.pdf</v>
      </c>
      <c r="AA726" t="s">
        <v>11595</v>
      </c>
      <c r="AB726" t="s">
        <v>15152</v>
      </c>
    </row>
    <row r="727" spans="1:28" x14ac:dyDescent="0.25">
      <c r="A727" t="s">
        <v>731</v>
      </c>
      <c r="B727">
        <v>0.98018197421672304</v>
      </c>
      <c r="C727">
        <v>0.98934576617917103</v>
      </c>
      <c r="D727">
        <v>0.92278697157684197</v>
      </c>
      <c r="E727">
        <v>0.78298911687681105</v>
      </c>
      <c r="F727">
        <v>0.63872815550901196</v>
      </c>
      <c r="G727">
        <v>0.48304474318498403</v>
      </c>
      <c r="H727">
        <v>0.29489298497532102</v>
      </c>
      <c r="I727">
        <v>0.19947112717056001</v>
      </c>
      <c r="J727">
        <v>0.131619080242002</v>
      </c>
      <c r="K727">
        <v>6.6227185582092798E-2</v>
      </c>
      <c r="L727">
        <v>631.39479605623501</v>
      </c>
      <c r="M727">
        <v>11.262035727423401</v>
      </c>
      <c r="N727">
        <v>56.064009602347497</v>
      </c>
      <c r="O727">
        <v>54.383559808722097</v>
      </c>
      <c r="P727">
        <v>-5.17872966193893E-2</v>
      </c>
      <c r="Q727">
        <v>0</v>
      </c>
      <c r="R727">
        <v>0.99758580469932301</v>
      </c>
      <c r="S727" t="s">
        <v>4356</v>
      </c>
      <c r="T727" t="s">
        <v>7256</v>
      </c>
      <c r="U727" t="s">
        <v>7256</v>
      </c>
      <c r="V727" t="s">
        <v>7256</v>
      </c>
      <c r="W727">
        <v>46</v>
      </c>
      <c r="X727" t="s">
        <v>7983</v>
      </c>
      <c r="Y727">
        <v>0.55602238767431678</v>
      </c>
      <c r="Z727" t="str">
        <f>HYPERLINK("Melting_Curves/meltCurve_sp_P23378_GCSP_HUMAN_.pdf", "Melting_Curves/meltCurve_sp_P23378_GCSP_HUMAN_.pdf")</f>
        <v>Melting_Curves/meltCurve_sp_P23378_GCSP_HUMAN_.pdf</v>
      </c>
      <c r="AA727" t="s">
        <v>11596</v>
      </c>
      <c r="AB727" t="s">
        <v>15153</v>
      </c>
    </row>
    <row r="728" spans="1:28" x14ac:dyDescent="0.25">
      <c r="A728" t="s">
        <v>732</v>
      </c>
      <c r="B728">
        <v>0.98018197421672304</v>
      </c>
      <c r="C728">
        <v>0.95672253875388402</v>
      </c>
      <c r="D728">
        <v>0.92627481003263801</v>
      </c>
      <c r="E728">
        <v>0.87353251895149298</v>
      </c>
      <c r="F728">
        <v>0.76125150866609703</v>
      </c>
      <c r="G728">
        <v>0.64569175874998497</v>
      </c>
      <c r="H728">
        <v>0.50681342094541404</v>
      </c>
      <c r="I728">
        <v>0.54182115468310599</v>
      </c>
      <c r="J728">
        <v>0.46230372405929598</v>
      </c>
      <c r="K728">
        <v>0.43548717668541898</v>
      </c>
      <c r="L728">
        <v>595.618002251799</v>
      </c>
      <c r="M728">
        <v>10.769649486133201</v>
      </c>
      <c r="N728">
        <v>63.961768153675102</v>
      </c>
      <c r="O728">
        <v>53.500772814861598</v>
      </c>
      <c r="P728">
        <v>-3.10316438541859E-2</v>
      </c>
      <c r="Q728">
        <v>0.383597652495964</v>
      </c>
      <c r="R728">
        <v>0.988986038170374</v>
      </c>
      <c r="S728" t="s">
        <v>4357</v>
      </c>
      <c r="T728" t="s">
        <v>7256</v>
      </c>
      <c r="U728" t="s">
        <v>7256</v>
      </c>
      <c r="V728" t="s">
        <v>7256</v>
      </c>
      <c r="W728">
        <v>17</v>
      </c>
      <c r="X728" t="s">
        <v>7984</v>
      </c>
      <c r="Y728">
        <v>0.71276651241313305</v>
      </c>
      <c r="Z728" t="str">
        <f>HYPERLINK("Melting_Curves/meltCurve_sp_P23381_SYWC_HUMAN_.pdf", "Melting_Curves/meltCurve_sp_P23381_SYWC_HUMAN_.pdf")</f>
        <v>Melting_Curves/meltCurve_sp_P23381_SYWC_HUMAN_.pdf</v>
      </c>
      <c r="AA728" t="s">
        <v>11597</v>
      </c>
      <c r="AB728" t="s">
        <v>15154</v>
      </c>
    </row>
    <row r="729" spans="1:28" x14ac:dyDescent="0.25">
      <c r="A729" t="s">
        <v>733</v>
      </c>
      <c r="B729">
        <v>0.98018197421672304</v>
      </c>
      <c r="C729">
        <v>0.69478054605268003</v>
      </c>
      <c r="D729">
        <v>0.52019908457786601</v>
      </c>
      <c r="E729">
        <v>0.26268632049744101</v>
      </c>
      <c r="F729">
        <v>0.13369265127346999</v>
      </c>
      <c r="G729">
        <v>0.11654054168147999</v>
      </c>
      <c r="H729">
        <v>8.4351458825747197E-2</v>
      </c>
      <c r="I729">
        <v>6.3097271264733107E-2</v>
      </c>
      <c r="J729">
        <v>8.7801817998363896E-2</v>
      </c>
      <c r="K729">
        <v>3.9368654639176201E-2</v>
      </c>
      <c r="L729">
        <v>730.81012892217996</v>
      </c>
      <c r="M729">
        <v>16.0080279195214</v>
      </c>
      <c r="N729">
        <v>46.034878737311203</v>
      </c>
      <c r="O729">
        <v>44.958103089365103</v>
      </c>
      <c r="P729">
        <v>-8.3484392543348898E-2</v>
      </c>
      <c r="Q729">
        <v>6.22186587218704E-2</v>
      </c>
      <c r="R729">
        <v>0.98891927588866702</v>
      </c>
      <c r="S729" t="s">
        <v>4358</v>
      </c>
      <c r="T729" t="s">
        <v>7256</v>
      </c>
      <c r="U729" t="s">
        <v>7256</v>
      </c>
      <c r="V729" t="s">
        <v>7256</v>
      </c>
      <c r="W729">
        <v>6</v>
      </c>
      <c r="X729" t="s">
        <v>7985</v>
      </c>
      <c r="Y729">
        <v>0.26348211508203589</v>
      </c>
      <c r="Z729" t="str">
        <f>HYPERLINK("Melting_Curves/meltCurve_sp_P23396_RS3_HUMAN_.pdf", "Melting_Curves/meltCurve_sp_P23396_RS3_HUMAN_.pdf")</f>
        <v>Melting_Curves/meltCurve_sp_P23396_RS3_HUMAN_.pdf</v>
      </c>
      <c r="AA729" t="s">
        <v>11598</v>
      </c>
      <c r="AB729" t="s">
        <v>15155</v>
      </c>
    </row>
    <row r="730" spans="1:28" x14ac:dyDescent="0.25">
      <c r="A730" t="s">
        <v>734</v>
      </c>
      <c r="B730">
        <v>0.98018197421672304</v>
      </c>
      <c r="C730">
        <v>0.90230175567825099</v>
      </c>
      <c r="D730">
        <v>0.87629488300492397</v>
      </c>
      <c r="E730">
        <v>0.86620176991867204</v>
      </c>
      <c r="F730">
        <v>0.45989693642020701</v>
      </c>
      <c r="G730">
        <v>0.142572685321085</v>
      </c>
      <c r="H730">
        <v>4.6340518619098298E-2</v>
      </c>
      <c r="I730">
        <v>2.7066486455892099E-2</v>
      </c>
      <c r="J730">
        <v>4.0109868438344597E-2</v>
      </c>
      <c r="K730">
        <v>5.02714122902609E-2</v>
      </c>
      <c r="L730">
        <v>1517.7855619711399</v>
      </c>
      <c r="M730">
        <v>28.8092197425233</v>
      </c>
      <c r="N730">
        <v>52.817862498158597</v>
      </c>
      <c r="O730">
        <v>52.4321396100379</v>
      </c>
      <c r="P730">
        <v>-0.132529996903687</v>
      </c>
      <c r="Q730">
        <v>3.5200875955720003E-2</v>
      </c>
      <c r="R730">
        <v>0.98522094426024198</v>
      </c>
      <c r="S730" t="s">
        <v>4359</v>
      </c>
      <c r="T730" t="s">
        <v>7256</v>
      </c>
      <c r="U730" t="s">
        <v>7256</v>
      </c>
      <c r="V730" t="s">
        <v>7256</v>
      </c>
      <c r="W730">
        <v>2</v>
      </c>
      <c r="X730" t="s">
        <v>7986</v>
      </c>
      <c r="Y730">
        <v>0.44986204662770463</v>
      </c>
      <c r="Z730" t="str">
        <f>HYPERLINK("Melting_Curves/meltCurve_sp_P23409_MYF6_HUMAN_.pdf", "Melting_Curves/meltCurve_sp_P23409_MYF6_HUMAN_.pdf")</f>
        <v>Melting_Curves/meltCurve_sp_P23409_MYF6_HUMAN_.pdf</v>
      </c>
      <c r="AA730" t="s">
        <v>11599</v>
      </c>
      <c r="AB730" t="s">
        <v>15156</v>
      </c>
    </row>
    <row r="731" spans="1:28" x14ac:dyDescent="0.25">
      <c r="A731" t="s">
        <v>735</v>
      </c>
      <c r="B731">
        <v>0.98018197421672304</v>
      </c>
      <c r="C731">
        <v>1.0171359491454499</v>
      </c>
      <c r="D731">
        <v>0.99605150115971297</v>
      </c>
      <c r="E731">
        <v>0.85144308326079499</v>
      </c>
      <c r="F731">
        <v>0.93235891448697605</v>
      </c>
      <c r="G731">
        <v>0.80397929686636904</v>
      </c>
      <c r="H731">
        <v>0.60270624239431503</v>
      </c>
      <c r="I731">
        <v>0.70248401048868603</v>
      </c>
      <c r="J731">
        <v>0.77446253156043998</v>
      </c>
      <c r="K731">
        <v>1.0691386463486601</v>
      </c>
      <c r="L731">
        <v>1153.7401061978601</v>
      </c>
      <c r="M731">
        <v>22.908604747886098</v>
      </c>
      <c r="O731">
        <v>49.983687472502297</v>
      </c>
      <c r="P731">
        <v>-2.3370160939709599E-2</v>
      </c>
      <c r="Q731">
        <v>0.79604090196801702</v>
      </c>
      <c r="R731">
        <v>0.34878211635650902</v>
      </c>
      <c r="S731" t="s">
        <v>4360</v>
      </c>
      <c r="T731" t="s">
        <v>7256</v>
      </c>
      <c r="U731" t="s">
        <v>7256</v>
      </c>
      <c r="V731" t="s">
        <v>7256</v>
      </c>
      <c r="W731">
        <v>1</v>
      </c>
      <c r="X731" t="s">
        <v>7987</v>
      </c>
      <c r="Y731">
        <v>0.86866972229203454</v>
      </c>
      <c r="Z731" t="str">
        <f>HYPERLINK("Melting_Curves/meltCurve_sp_P23434_GCSH_HUMAN_.pdf", "Melting_Curves/meltCurve_sp_P23434_GCSH_HUMAN_.pdf")</f>
        <v>Melting_Curves/meltCurve_sp_P23434_GCSH_HUMAN_.pdf</v>
      </c>
      <c r="AA731" t="s">
        <v>11600</v>
      </c>
      <c r="AB731" t="s">
        <v>15157</v>
      </c>
    </row>
    <row r="732" spans="1:28" x14ac:dyDescent="0.25">
      <c r="A732" t="s">
        <v>736</v>
      </c>
      <c r="B732">
        <v>0.98018197421672304</v>
      </c>
      <c r="C732">
        <v>1.14586242968604</v>
      </c>
      <c r="D732">
        <v>1.02865099751256</v>
      </c>
      <c r="E732">
        <v>0.97165955896337497</v>
      </c>
      <c r="F732">
        <v>0.834398687680314</v>
      </c>
      <c r="G732">
        <v>0.62167276001960103</v>
      </c>
      <c r="H732">
        <v>0.49731551871810797</v>
      </c>
      <c r="I732">
        <v>0.60025507877133899</v>
      </c>
      <c r="J732">
        <v>0.63702160808582198</v>
      </c>
      <c r="K732">
        <v>0.66435747960098701</v>
      </c>
      <c r="L732">
        <v>2530.7866831077199</v>
      </c>
      <c r="M732">
        <v>47.430008569869898</v>
      </c>
      <c r="O732">
        <v>53.263733336839401</v>
      </c>
      <c r="P732">
        <v>-8.8973211927113605E-2</v>
      </c>
      <c r="Q732">
        <v>0.60033389160925199</v>
      </c>
      <c r="R732">
        <v>0.91214065184623305</v>
      </c>
      <c r="S732" t="s">
        <v>4361</v>
      </c>
      <c r="T732" t="s">
        <v>7256</v>
      </c>
      <c r="U732" t="s">
        <v>7256</v>
      </c>
      <c r="V732" t="s">
        <v>7256</v>
      </c>
      <c r="W732">
        <v>8</v>
      </c>
      <c r="X732" t="s">
        <v>7988</v>
      </c>
      <c r="Y732">
        <v>0.779342154556942</v>
      </c>
      <c r="Z732" t="str">
        <f>HYPERLINK("Melting_Curves/meltCurve_sp_P23497_SP100_HUMAN_.pdf", "Melting_Curves/meltCurve_sp_P23497_SP100_HUMAN_.pdf")</f>
        <v>Melting_Curves/meltCurve_sp_P23497_SP100_HUMAN_.pdf</v>
      </c>
      <c r="AA732" t="s">
        <v>11601</v>
      </c>
      <c r="AB732" t="s">
        <v>15158</v>
      </c>
    </row>
    <row r="733" spans="1:28" x14ac:dyDescent="0.25">
      <c r="A733" t="s">
        <v>737</v>
      </c>
      <c r="B733">
        <v>0.98018197421672304</v>
      </c>
      <c r="C733">
        <v>0.92394914615486601</v>
      </c>
      <c r="D733">
        <v>0.86953073126114999</v>
      </c>
      <c r="E733">
        <v>0.76344988132873204</v>
      </c>
      <c r="F733">
        <v>0.51382205071363096</v>
      </c>
      <c r="G733">
        <v>0.30355388406596301</v>
      </c>
      <c r="H733">
        <v>0.34917092669535799</v>
      </c>
      <c r="I733">
        <v>0.34695230948025002</v>
      </c>
      <c r="J733">
        <v>0.369279569340495</v>
      </c>
      <c r="K733">
        <v>0.32060285674480099</v>
      </c>
      <c r="L733">
        <v>1047.15161197616</v>
      </c>
      <c r="M733">
        <v>20.6671574142363</v>
      </c>
      <c r="N733">
        <v>53.341808070494601</v>
      </c>
      <c r="O733">
        <v>50.2002081482525</v>
      </c>
      <c r="P733">
        <v>-6.9722792740801495E-2</v>
      </c>
      <c r="Q733">
        <v>0.32259699287891402</v>
      </c>
      <c r="R733">
        <v>0.97286323351528903</v>
      </c>
      <c r="S733" t="s">
        <v>4362</v>
      </c>
      <c r="T733" t="s">
        <v>7256</v>
      </c>
      <c r="U733" t="s">
        <v>7256</v>
      </c>
      <c r="V733" t="s">
        <v>7256</v>
      </c>
      <c r="W733">
        <v>4</v>
      </c>
      <c r="X733" t="s">
        <v>7989</v>
      </c>
      <c r="Y733">
        <v>0.57230897873111219</v>
      </c>
      <c r="Z733" t="str">
        <f>HYPERLINK("Melting_Curves/meltCurve_sp_P23508_CRCM_HUMAN_.pdf", "Melting_Curves/meltCurve_sp_P23508_CRCM_HUMAN_.pdf")</f>
        <v>Melting_Curves/meltCurve_sp_P23508_CRCM_HUMAN_.pdf</v>
      </c>
      <c r="AA733" t="s">
        <v>11602</v>
      </c>
      <c r="AB733" t="s">
        <v>15159</v>
      </c>
    </row>
    <row r="734" spans="1:28" x14ac:dyDescent="0.25">
      <c r="A734" t="s">
        <v>738</v>
      </c>
      <c r="B734">
        <v>0.98018197421672304</v>
      </c>
      <c r="C734">
        <v>0.94258923906444603</v>
      </c>
      <c r="D734">
        <v>0.90930070901560101</v>
      </c>
      <c r="E734">
        <v>0.84385116454896503</v>
      </c>
      <c r="F734">
        <v>0.70566700536355897</v>
      </c>
      <c r="G734">
        <v>0.33643259499185701</v>
      </c>
      <c r="H734">
        <v>0.117132738038665</v>
      </c>
      <c r="I734">
        <v>6.1607597725725501E-2</v>
      </c>
      <c r="J734">
        <v>5.2042840604811999E-2</v>
      </c>
      <c r="K734">
        <v>3.5941140904880001E-2</v>
      </c>
      <c r="L734">
        <v>1013.1301259747599</v>
      </c>
      <c r="M734">
        <v>18.4290325886662</v>
      </c>
      <c r="N734">
        <v>54.992550574385298</v>
      </c>
      <c r="O734">
        <v>54.339639393654402</v>
      </c>
      <c r="P734">
        <v>-8.45369026763646E-2</v>
      </c>
      <c r="Q734">
        <v>2.98656667743824E-3</v>
      </c>
      <c r="R734">
        <v>0.99333960124965304</v>
      </c>
      <c r="S734" t="s">
        <v>4363</v>
      </c>
      <c r="T734" t="s">
        <v>7256</v>
      </c>
      <c r="U734" t="s">
        <v>7256</v>
      </c>
      <c r="V734" t="s">
        <v>7256</v>
      </c>
      <c r="W734">
        <v>28</v>
      </c>
      <c r="X734" t="s">
        <v>7990</v>
      </c>
      <c r="Y734">
        <v>0.51560113673476582</v>
      </c>
      <c r="Z734" t="str">
        <f>HYPERLINK("Melting_Curves/meltCurve_sp_P23526_SAHH_HUMAN_.pdf", "Melting_Curves/meltCurve_sp_P23526_SAHH_HUMAN_.pdf")</f>
        <v>Melting_Curves/meltCurve_sp_P23526_SAHH_HUMAN_.pdf</v>
      </c>
      <c r="AA734" t="s">
        <v>11603</v>
      </c>
      <c r="AB734" t="s">
        <v>15160</v>
      </c>
    </row>
    <row r="735" spans="1:28" x14ac:dyDescent="0.25">
      <c r="A735" t="s">
        <v>739</v>
      </c>
      <c r="B735">
        <v>0.98018197421672304</v>
      </c>
      <c r="C735">
        <v>1.0714203837721601</v>
      </c>
      <c r="D735">
        <v>0.97180935598739204</v>
      </c>
      <c r="E735">
        <v>0.86280896190937995</v>
      </c>
      <c r="F735">
        <v>0.93081217195237498</v>
      </c>
      <c r="G735">
        <v>0.74356689827436295</v>
      </c>
      <c r="H735">
        <v>0.45813552857460199</v>
      </c>
      <c r="I735">
        <v>0.45177499754047101</v>
      </c>
      <c r="J735">
        <v>0.44912817851096898</v>
      </c>
      <c r="K735">
        <v>0.56375430704757001</v>
      </c>
      <c r="L735">
        <v>1965.2272661126201</v>
      </c>
      <c r="M735">
        <v>34.658751841490101</v>
      </c>
      <c r="N735">
        <v>61.813385634794301</v>
      </c>
      <c r="O735">
        <v>56.514424128833497</v>
      </c>
      <c r="P735">
        <v>-8.1023974092537199E-2</v>
      </c>
      <c r="Q735">
        <v>0.47153247429753598</v>
      </c>
      <c r="R735">
        <v>0.930199665188717</v>
      </c>
      <c r="S735" t="s">
        <v>4364</v>
      </c>
      <c r="T735" t="s">
        <v>7256</v>
      </c>
      <c r="U735" t="s">
        <v>7256</v>
      </c>
      <c r="V735" t="s">
        <v>7256</v>
      </c>
      <c r="W735">
        <v>17</v>
      </c>
      <c r="X735" t="s">
        <v>7991</v>
      </c>
      <c r="Y735">
        <v>0.76845375765749502</v>
      </c>
      <c r="Z735" t="str">
        <f>HYPERLINK("Melting_Curves/meltCurve_sp_P23528_COF1_HUMAN_.pdf", "Melting_Curves/meltCurve_sp_P23528_COF1_HUMAN_.pdf")</f>
        <v>Melting_Curves/meltCurve_sp_P23528_COF1_HUMAN_.pdf</v>
      </c>
      <c r="AA735" t="s">
        <v>11604</v>
      </c>
      <c r="AB735" t="s">
        <v>15161</v>
      </c>
    </row>
    <row r="736" spans="1:28" x14ac:dyDescent="0.25">
      <c r="A736" t="s">
        <v>740</v>
      </c>
      <c r="B736">
        <v>0.98018197421672304</v>
      </c>
      <c r="C736">
        <v>0.94154273827973201</v>
      </c>
      <c r="D736">
        <v>0.92257346588243805</v>
      </c>
      <c r="E736">
        <v>0.83549668996299697</v>
      </c>
      <c r="F736">
        <v>0.79648839911797698</v>
      </c>
      <c r="G736">
        <v>0.65218811741160199</v>
      </c>
      <c r="H736">
        <v>0.57097823439477402</v>
      </c>
      <c r="I736">
        <v>0.63141126900386402</v>
      </c>
      <c r="J736">
        <v>0.71882330982333298</v>
      </c>
      <c r="K736">
        <v>0.85588197870701799</v>
      </c>
      <c r="L736">
        <v>916.58514199060198</v>
      </c>
      <c r="M736">
        <v>18.641153519227899</v>
      </c>
      <c r="O736">
        <v>48.614608055187297</v>
      </c>
      <c r="P736">
        <v>-2.9946419935936601E-2</v>
      </c>
      <c r="Q736">
        <v>0.68762215149348804</v>
      </c>
      <c r="R736">
        <v>0.69277677736445997</v>
      </c>
      <c r="S736" t="s">
        <v>4365</v>
      </c>
      <c r="T736" t="s">
        <v>7256</v>
      </c>
      <c r="U736" t="s">
        <v>7256</v>
      </c>
      <c r="V736" t="s">
        <v>7256</v>
      </c>
      <c r="W736">
        <v>23</v>
      </c>
      <c r="X736" t="s">
        <v>7992</v>
      </c>
      <c r="Y736">
        <v>0.78813723730556551</v>
      </c>
      <c r="Z736" t="str">
        <f>HYPERLINK("Melting_Curves/meltCurve_sp_P23588_IF4B_HUMAN_.pdf", "Melting_Curves/meltCurve_sp_P23588_IF4B_HUMAN_.pdf")</f>
        <v>Melting_Curves/meltCurve_sp_P23588_IF4B_HUMAN_.pdf</v>
      </c>
      <c r="AA736" t="s">
        <v>11605</v>
      </c>
      <c r="AB736" t="s">
        <v>15162</v>
      </c>
    </row>
    <row r="737" spans="1:28" x14ac:dyDescent="0.25">
      <c r="A737" t="s">
        <v>741</v>
      </c>
      <c r="B737">
        <v>0.98018197421672304</v>
      </c>
      <c r="C737">
        <v>0.57123654700418103</v>
      </c>
      <c r="D737">
        <v>0.31002022641065602</v>
      </c>
      <c r="E737">
        <v>0.1350563317806</v>
      </c>
      <c r="F737">
        <v>7.5694568595897294E-2</v>
      </c>
      <c r="G737">
        <v>4.9998076707600002E-2</v>
      </c>
      <c r="H737">
        <v>4.4817592831470798E-2</v>
      </c>
      <c r="I737">
        <v>3.2916021155743297E-2</v>
      </c>
      <c r="J737">
        <v>3.3825656561875403E-2</v>
      </c>
      <c r="K737">
        <v>3.5740220468790801E-2</v>
      </c>
      <c r="L737">
        <v>982.70523270705996</v>
      </c>
      <c r="M737">
        <v>22.4481547863987</v>
      </c>
      <c r="N737">
        <v>43.9685353183582</v>
      </c>
      <c r="O737">
        <v>43.433693670125201</v>
      </c>
      <c r="P737">
        <v>-0.12318357367779401</v>
      </c>
      <c r="Q737">
        <v>4.66551913732682E-2</v>
      </c>
      <c r="R737">
        <v>0.98600794465716102</v>
      </c>
      <c r="S737" t="s">
        <v>4366</v>
      </c>
      <c r="T737" t="s">
        <v>7256</v>
      </c>
      <c r="U737" t="s">
        <v>7256</v>
      </c>
      <c r="V737" t="s">
        <v>7256</v>
      </c>
      <c r="W737">
        <v>23</v>
      </c>
      <c r="X737" t="s">
        <v>7993</v>
      </c>
      <c r="Y737">
        <v>0.18140646927155249</v>
      </c>
      <c r="Z737" t="str">
        <f>HYPERLINK("Melting_Curves/meltCurve_sp_P23786_CPT2_HUMAN_.pdf", "Melting_Curves/meltCurve_sp_P23786_CPT2_HUMAN_.pdf")</f>
        <v>Melting_Curves/meltCurve_sp_P23786_CPT2_HUMAN_.pdf</v>
      </c>
      <c r="AA737" t="s">
        <v>11606</v>
      </c>
      <c r="AB737" t="s">
        <v>15163</v>
      </c>
    </row>
    <row r="738" spans="1:28" x14ac:dyDescent="0.25">
      <c r="A738" t="s">
        <v>742</v>
      </c>
      <c r="B738">
        <v>0.98018197421672304</v>
      </c>
      <c r="C738">
        <v>0.94740755545394395</v>
      </c>
      <c r="D738">
        <v>0.77199710786057996</v>
      </c>
      <c r="E738">
        <v>0.466923624159437</v>
      </c>
      <c r="F738">
        <v>0.31319679849235799</v>
      </c>
      <c r="G738">
        <v>0.158630003228064</v>
      </c>
      <c r="H738">
        <v>0.10232139652578801</v>
      </c>
      <c r="I738">
        <v>6.9652452003908003E-2</v>
      </c>
      <c r="J738">
        <v>8.8144204573151697E-2</v>
      </c>
      <c r="K738">
        <v>6.6157831223706096E-2</v>
      </c>
      <c r="L738">
        <v>799.85181722186405</v>
      </c>
      <c r="M738">
        <v>16.2075018849423</v>
      </c>
      <c r="N738">
        <v>49.760007015773198</v>
      </c>
      <c r="O738">
        <v>48.617762947438401</v>
      </c>
      <c r="P738">
        <v>-7.8146465624959097E-2</v>
      </c>
      <c r="Q738">
        <v>6.2403841408934999E-2</v>
      </c>
      <c r="R738">
        <v>0.99872402238374702</v>
      </c>
      <c r="S738" t="s">
        <v>4367</v>
      </c>
      <c r="T738" t="s">
        <v>7256</v>
      </c>
      <c r="U738" t="s">
        <v>7256</v>
      </c>
      <c r="V738" t="s">
        <v>7256</v>
      </c>
      <c r="W738">
        <v>6</v>
      </c>
      <c r="X738" t="s">
        <v>7994</v>
      </c>
      <c r="Y738">
        <v>0.37440956107134488</v>
      </c>
      <c r="Z738" t="str">
        <f>HYPERLINK("Melting_Curves/meltCurve_sp_P23919_KTHY_HUMAN_.pdf", "Melting_Curves/meltCurve_sp_P23919_KTHY_HUMAN_.pdf")</f>
        <v>Melting_Curves/meltCurve_sp_P23919_KTHY_HUMAN_.pdf</v>
      </c>
      <c r="AA738" t="s">
        <v>11607</v>
      </c>
      <c r="AB738" t="s">
        <v>15164</v>
      </c>
    </row>
    <row r="739" spans="1:28" x14ac:dyDescent="0.25">
      <c r="A739" t="s">
        <v>743</v>
      </c>
      <c r="B739">
        <v>0.98018197421672304</v>
      </c>
      <c r="C739">
        <v>0.93190850872277897</v>
      </c>
      <c r="D739">
        <v>0.74664214036818399</v>
      </c>
      <c r="E739">
        <v>0.43743788783468901</v>
      </c>
      <c r="F739">
        <v>0.21483533123253601</v>
      </c>
      <c r="G739">
        <v>0.113487212714764</v>
      </c>
      <c r="H739">
        <v>7.3082695153264501E-2</v>
      </c>
      <c r="I739">
        <v>5.0600117350509601E-2</v>
      </c>
      <c r="J739">
        <v>4.0864329756569E-2</v>
      </c>
      <c r="K739">
        <v>1.5391892511609001E-2</v>
      </c>
      <c r="L739">
        <v>845.25702060926403</v>
      </c>
      <c r="M739">
        <v>17.2790072675426</v>
      </c>
      <c r="N739">
        <v>49.089165466056798</v>
      </c>
      <c r="O739">
        <v>48.2770335053957</v>
      </c>
      <c r="P739">
        <v>-8.6869720439192805E-2</v>
      </c>
      <c r="Q739">
        <v>2.9210537110209898E-2</v>
      </c>
      <c r="R739">
        <v>0.999033018301836</v>
      </c>
      <c r="S739" t="s">
        <v>4368</v>
      </c>
      <c r="T739" t="s">
        <v>7256</v>
      </c>
      <c r="U739" t="s">
        <v>7256</v>
      </c>
      <c r="V739" t="s">
        <v>7256</v>
      </c>
      <c r="W739">
        <v>4</v>
      </c>
      <c r="X739" t="s">
        <v>7995</v>
      </c>
      <c r="Y739">
        <v>0.33606871476976991</v>
      </c>
      <c r="Z739" t="str">
        <f>HYPERLINK("Melting_Curves/meltCurve_sp_P23921_RIR1_HUMAN_.pdf", "Melting_Curves/meltCurve_sp_P23921_RIR1_HUMAN_.pdf")</f>
        <v>Melting_Curves/meltCurve_sp_P23921_RIR1_HUMAN_.pdf</v>
      </c>
      <c r="AA739" t="s">
        <v>11608</v>
      </c>
      <c r="AB739" t="s">
        <v>15165</v>
      </c>
    </row>
    <row r="740" spans="1:28" x14ac:dyDescent="0.25">
      <c r="A740" t="s">
        <v>744</v>
      </c>
      <c r="B740">
        <v>0.98018197421672304</v>
      </c>
      <c r="C740">
        <v>0.97847972815072504</v>
      </c>
      <c r="D740">
        <v>0.94734855440842303</v>
      </c>
      <c r="E740">
        <v>0.88476087409082604</v>
      </c>
      <c r="F740">
        <v>0.797756727554086</v>
      </c>
      <c r="G740">
        <v>0.69622290153210298</v>
      </c>
      <c r="H740">
        <v>0.41883918490126498</v>
      </c>
      <c r="I740">
        <v>0.25384015080258998</v>
      </c>
      <c r="J740">
        <v>0.142168887474866</v>
      </c>
      <c r="K740">
        <v>8.3875986362384095E-2</v>
      </c>
      <c r="L740">
        <v>820.90769480341703</v>
      </c>
      <c r="M740">
        <v>13.8443657572509</v>
      </c>
      <c r="N740">
        <v>59.295435534356699</v>
      </c>
      <c r="O740">
        <v>58.099353651587798</v>
      </c>
      <c r="P740">
        <v>-5.9580179971202699E-2</v>
      </c>
      <c r="Q740">
        <v>0</v>
      </c>
      <c r="R740">
        <v>0.99081273485759103</v>
      </c>
      <c r="S740" t="s">
        <v>4369</v>
      </c>
      <c r="T740" t="s">
        <v>7256</v>
      </c>
      <c r="U740" t="s">
        <v>7256</v>
      </c>
      <c r="V740" t="s">
        <v>7256</v>
      </c>
      <c r="W740">
        <v>20</v>
      </c>
      <c r="X740" t="s">
        <v>7996</v>
      </c>
      <c r="Y740">
        <v>0.6519102757315115</v>
      </c>
      <c r="Z740" t="str">
        <f>HYPERLINK("Melting_Curves/meltCurve_sp_P24298_ALAT1_HUMAN_.pdf", "Melting_Curves/meltCurve_sp_P24298_ALAT1_HUMAN_.pdf")</f>
        <v>Melting_Curves/meltCurve_sp_P24298_ALAT1_HUMAN_.pdf</v>
      </c>
      <c r="AA740" t="s">
        <v>11609</v>
      </c>
      <c r="AB740" t="s">
        <v>15166</v>
      </c>
    </row>
    <row r="741" spans="1:28" x14ac:dyDescent="0.25">
      <c r="A741" t="s">
        <v>745</v>
      </c>
      <c r="B741">
        <v>0.98018197421672304</v>
      </c>
      <c r="C741">
        <v>1.0489235235457699</v>
      </c>
      <c r="D741">
        <v>0.87064313255800196</v>
      </c>
      <c r="E741">
        <v>0.72862547473254502</v>
      </c>
      <c r="F741">
        <v>0.52296406302788201</v>
      </c>
      <c r="G741">
        <v>0.42491263904473298</v>
      </c>
      <c r="H741">
        <v>0.36710559878904703</v>
      </c>
      <c r="I741">
        <v>0.46491341577775203</v>
      </c>
      <c r="J741">
        <v>0.46301489297800802</v>
      </c>
      <c r="K741">
        <v>0.68072178064884203</v>
      </c>
      <c r="L741">
        <v>1322.6605791638699</v>
      </c>
      <c r="M741">
        <v>26.869766820800901</v>
      </c>
      <c r="N741">
        <v>55.6167031628204</v>
      </c>
      <c r="O741">
        <v>48.954641261643403</v>
      </c>
      <c r="P741">
        <v>-7.1737462248335396E-2</v>
      </c>
      <c r="Q741">
        <v>0.47720487366358699</v>
      </c>
      <c r="R741">
        <v>0.87292938306605805</v>
      </c>
      <c r="S741" t="s">
        <v>4370</v>
      </c>
      <c r="T741" t="s">
        <v>7256</v>
      </c>
      <c r="U741" t="s">
        <v>7256</v>
      </c>
      <c r="V741" t="s">
        <v>7256</v>
      </c>
      <c r="W741">
        <v>8</v>
      </c>
      <c r="X741" t="s">
        <v>7997</v>
      </c>
      <c r="Y741">
        <v>0.64196458170818405</v>
      </c>
      <c r="Z741" t="str">
        <f>HYPERLINK("Melting_Curves/meltCurve_sp_P24534_EF1B_HUMAN_.pdf", "Melting_Curves/meltCurve_sp_P24534_EF1B_HUMAN_.pdf")</f>
        <v>Melting_Curves/meltCurve_sp_P24534_EF1B_HUMAN_.pdf</v>
      </c>
      <c r="AA741" t="s">
        <v>11610</v>
      </c>
      <c r="AB741" t="s">
        <v>15167</v>
      </c>
    </row>
    <row r="742" spans="1:28" x14ac:dyDescent="0.25">
      <c r="A742" t="s">
        <v>746</v>
      </c>
      <c r="B742">
        <v>0.98018197421672304</v>
      </c>
      <c r="C742">
        <v>0.98917325798815503</v>
      </c>
      <c r="D742">
        <v>0.95607323785676501</v>
      </c>
      <c r="E742">
        <v>0.68994588377559196</v>
      </c>
      <c r="F742">
        <v>0.66324358635930702</v>
      </c>
      <c r="G742">
        <v>0.36953533725147503</v>
      </c>
      <c r="H742">
        <v>0.21118895757932499</v>
      </c>
      <c r="I742">
        <v>0.182207257302411</v>
      </c>
      <c r="J742">
        <v>0.158522109252003</v>
      </c>
      <c r="K742">
        <v>0.117420230645982</v>
      </c>
      <c r="L742">
        <v>740.67415541301398</v>
      </c>
      <c r="M742">
        <v>13.7327987933763</v>
      </c>
      <c r="N742">
        <v>54.6571243408725</v>
      </c>
      <c r="O742">
        <v>52.829583475018303</v>
      </c>
      <c r="P742">
        <v>-5.9601268731882498E-2</v>
      </c>
      <c r="Q742">
        <v>8.299502347479E-2</v>
      </c>
      <c r="R742">
        <v>0.98897854775695404</v>
      </c>
      <c r="S742" t="s">
        <v>4371</v>
      </c>
      <c r="T742" t="s">
        <v>7256</v>
      </c>
      <c r="U742" t="s">
        <v>7256</v>
      </c>
      <c r="V742" t="s">
        <v>7256</v>
      </c>
      <c r="W742">
        <v>6</v>
      </c>
      <c r="X742" t="s">
        <v>7998</v>
      </c>
      <c r="Y742">
        <v>0.52990281201297618</v>
      </c>
      <c r="Z742" t="str">
        <f>HYPERLINK("Melting_Curves/meltCurve_sp_P24666_2_PPAC_HUMAN_.pdf", "Melting_Curves/meltCurve_sp_P24666_2_PPAC_HUMAN_.pdf")</f>
        <v>Melting_Curves/meltCurve_sp_P24666_2_PPAC_HUMAN_.pdf</v>
      </c>
      <c r="AA742" t="s">
        <v>11611</v>
      </c>
      <c r="AB742" t="s">
        <v>15168</v>
      </c>
    </row>
    <row r="743" spans="1:28" x14ac:dyDescent="0.25">
      <c r="A743" t="s">
        <v>747</v>
      </c>
      <c r="B743">
        <v>0.98018197421672304</v>
      </c>
      <c r="C743">
        <v>0.99027930249743201</v>
      </c>
      <c r="D743">
        <v>0.88307203552571201</v>
      </c>
      <c r="E743">
        <v>0.68985738641529604</v>
      </c>
      <c r="F743">
        <v>0.48462269756871101</v>
      </c>
      <c r="G743">
        <v>0.26648865224429102</v>
      </c>
      <c r="H743">
        <v>0.11185803611668101</v>
      </c>
      <c r="I743">
        <v>9.8311348172454002E-2</v>
      </c>
      <c r="J743">
        <v>0.105751856025483</v>
      </c>
      <c r="K743">
        <v>9.5073197349769101E-2</v>
      </c>
      <c r="L743">
        <v>839.01921304517896</v>
      </c>
      <c r="M743">
        <v>16.077104025870501</v>
      </c>
      <c r="N743">
        <v>52.635445805766501</v>
      </c>
      <c r="O743">
        <v>51.399818795689697</v>
      </c>
      <c r="P743">
        <v>-7.3199281041845393E-2</v>
      </c>
      <c r="Q743">
        <v>6.3975647935174296E-2</v>
      </c>
      <c r="R743">
        <v>0.99772229547634494</v>
      </c>
      <c r="S743" t="s">
        <v>4372</v>
      </c>
      <c r="T743" t="s">
        <v>7256</v>
      </c>
      <c r="U743" t="s">
        <v>7256</v>
      </c>
      <c r="V743" t="s">
        <v>7256</v>
      </c>
      <c r="W743">
        <v>8</v>
      </c>
      <c r="X743" t="s">
        <v>7999</v>
      </c>
      <c r="Y743">
        <v>0.46290849487652452</v>
      </c>
      <c r="Z743" t="str">
        <f>HYPERLINK("Melting_Curves/meltCurve_sp_P24666_PPAC_HUMAN_.pdf", "Melting_Curves/meltCurve_sp_P24666_PPAC_HUMAN_.pdf")</f>
        <v>Melting_Curves/meltCurve_sp_P24666_PPAC_HUMAN_.pdf</v>
      </c>
      <c r="AA743" t="s">
        <v>11611</v>
      </c>
      <c r="AB743" t="s">
        <v>15169</v>
      </c>
    </row>
    <row r="744" spans="1:28" x14ac:dyDescent="0.25">
      <c r="A744" t="s">
        <v>748</v>
      </c>
      <c r="B744">
        <v>0.98018197421672304</v>
      </c>
      <c r="C744">
        <v>0.76283847079212497</v>
      </c>
      <c r="D744">
        <v>0.91817112436222903</v>
      </c>
      <c r="E744">
        <v>0.71183359501453602</v>
      </c>
      <c r="F744">
        <v>0.237299152181178</v>
      </c>
      <c r="G744">
        <v>9.7097692868935603E-2</v>
      </c>
      <c r="H744">
        <v>5.3361596808574101E-2</v>
      </c>
      <c r="I744">
        <v>3.6129548145898201E-2</v>
      </c>
      <c r="J744">
        <v>3.2977412725497701E-2</v>
      </c>
      <c r="K744">
        <v>2.5762703373238799E-2</v>
      </c>
      <c r="L744">
        <v>1627.1625559587601</v>
      </c>
      <c r="M744">
        <v>31.845712358278799</v>
      </c>
      <c r="N744">
        <v>51.2197070232478</v>
      </c>
      <c r="O744">
        <v>50.894971511960001</v>
      </c>
      <c r="P744">
        <v>-0.150601449866308</v>
      </c>
      <c r="Q744">
        <v>3.7256021771547201E-2</v>
      </c>
      <c r="R744">
        <v>0.95834009401112397</v>
      </c>
      <c r="S744" t="s">
        <v>4373</v>
      </c>
      <c r="T744" t="s">
        <v>7256</v>
      </c>
      <c r="U744" t="s">
        <v>7256</v>
      </c>
      <c r="V744" t="s">
        <v>7256</v>
      </c>
      <c r="W744">
        <v>33</v>
      </c>
      <c r="X744" t="s">
        <v>8000</v>
      </c>
      <c r="Y744">
        <v>0.39869563958413212</v>
      </c>
      <c r="Z744" t="str">
        <f>HYPERLINK("Melting_Curves/meltCurve_sp_P24752_THIL_HUMAN_.pdf", "Melting_Curves/meltCurve_sp_P24752_THIL_HUMAN_.pdf")</f>
        <v>Melting_Curves/meltCurve_sp_P24752_THIL_HUMAN_.pdf</v>
      </c>
      <c r="AA744" t="s">
        <v>11612</v>
      </c>
      <c r="AB744" t="s">
        <v>15170</v>
      </c>
    </row>
    <row r="745" spans="1:28" x14ac:dyDescent="0.25">
      <c r="A745" t="s">
        <v>749</v>
      </c>
      <c r="B745">
        <v>0.98018197421672304</v>
      </c>
      <c r="C745">
        <v>0.87711054468529404</v>
      </c>
      <c r="D745">
        <v>0.69028141661116604</v>
      </c>
      <c r="E745">
        <v>0.37075179664128299</v>
      </c>
      <c r="F745">
        <v>0.191787877040241</v>
      </c>
      <c r="G745">
        <v>0.11705657924516701</v>
      </c>
      <c r="H745">
        <v>9.3351150376220896E-2</v>
      </c>
      <c r="I745">
        <v>6.5898601201182599E-2</v>
      </c>
      <c r="J745">
        <v>8.9612332062329297E-2</v>
      </c>
      <c r="K745">
        <v>5.4470594535830398E-2</v>
      </c>
      <c r="L745">
        <v>837.45232269784105</v>
      </c>
      <c r="M745">
        <v>17.5145885545878</v>
      </c>
      <c r="N745">
        <v>48.191040904428398</v>
      </c>
      <c r="O745">
        <v>47.204299460443401</v>
      </c>
      <c r="P745">
        <v>-8.6833143863635401E-2</v>
      </c>
      <c r="Q745">
        <v>6.3940866572517102E-2</v>
      </c>
      <c r="R745">
        <v>0.99891141834256003</v>
      </c>
      <c r="S745" t="s">
        <v>4374</v>
      </c>
      <c r="T745" t="s">
        <v>7256</v>
      </c>
      <c r="U745" t="s">
        <v>7256</v>
      </c>
      <c r="V745" t="s">
        <v>7256</v>
      </c>
      <c r="W745">
        <v>3</v>
      </c>
      <c r="X745" t="s">
        <v>8001</v>
      </c>
      <c r="Y745">
        <v>0.32546366630363338</v>
      </c>
      <c r="Z745" t="str">
        <f>HYPERLINK("Melting_Curves/meltCurve_sp_P24928_RPB1_HUMAN_.pdf", "Melting_Curves/meltCurve_sp_P24928_RPB1_HUMAN_.pdf")</f>
        <v>Melting_Curves/meltCurve_sp_P24928_RPB1_HUMAN_.pdf</v>
      </c>
      <c r="AA745" t="s">
        <v>11613</v>
      </c>
      <c r="AB745" t="s">
        <v>15171</v>
      </c>
    </row>
    <row r="746" spans="1:28" x14ac:dyDescent="0.25">
      <c r="A746" t="s">
        <v>750</v>
      </c>
      <c r="B746">
        <v>0.98018197421672304</v>
      </c>
      <c r="C746">
        <v>0.97117046045715705</v>
      </c>
      <c r="D746">
        <v>0.95725944066463697</v>
      </c>
      <c r="E746">
        <v>0.60681166632714201</v>
      </c>
      <c r="F746">
        <v>0.36300471323713901</v>
      </c>
      <c r="G746">
        <v>0.135843207089894</v>
      </c>
      <c r="H746">
        <v>9.1722095779228699E-2</v>
      </c>
      <c r="I746">
        <v>9.5365621623439201E-2</v>
      </c>
      <c r="J746">
        <v>0.115887944372163</v>
      </c>
      <c r="K746">
        <v>2.5995390169006899E-2</v>
      </c>
      <c r="L746">
        <v>1153.9034649549001</v>
      </c>
      <c r="M746">
        <v>22.663411961775498</v>
      </c>
      <c r="N746">
        <v>51.2679474780427</v>
      </c>
      <c r="O746">
        <v>50.523376296907799</v>
      </c>
      <c r="P746">
        <v>-0.104041229058791</v>
      </c>
      <c r="Q746">
        <v>7.2265017852371702E-2</v>
      </c>
      <c r="R746">
        <v>0.99533991639325203</v>
      </c>
      <c r="S746" t="s">
        <v>4375</v>
      </c>
      <c r="T746" t="s">
        <v>7256</v>
      </c>
      <c r="U746" t="s">
        <v>7256</v>
      </c>
      <c r="V746" t="s">
        <v>7256</v>
      </c>
      <c r="W746">
        <v>3</v>
      </c>
      <c r="X746" t="s">
        <v>8002</v>
      </c>
      <c r="Y746">
        <v>0.41994497561349259</v>
      </c>
      <c r="Z746" t="str">
        <f>HYPERLINK("Melting_Curves/meltCurve_sp_P24941_CDK2_HUMAN_.pdf", "Melting_Curves/meltCurve_sp_P24941_CDK2_HUMAN_.pdf")</f>
        <v>Melting_Curves/meltCurve_sp_P24941_CDK2_HUMAN_.pdf</v>
      </c>
      <c r="AA746" t="s">
        <v>11614</v>
      </c>
      <c r="AB746" t="s">
        <v>15172</v>
      </c>
    </row>
    <row r="747" spans="1:28" x14ac:dyDescent="0.25">
      <c r="A747" t="s">
        <v>751</v>
      </c>
      <c r="B747">
        <v>0.98018197421672304</v>
      </c>
      <c r="C747">
        <v>0.88973804433541304</v>
      </c>
      <c r="D747">
        <v>0.92979632796102996</v>
      </c>
      <c r="E747">
        <v>0.82630424743144104</v>
      </c>
      <c r="F747">
        <v>0.70634535648141905</v>
      </c>
      <c r="G747">
        <v>0.55003822609414998</v>
      </c>
      <c r="H747">
        <v>0.57424036243054799</v>
      </c>
      <c r="I747">
        <v>0.605140824581336</v>
      </c>
      <c r="J747">
        <v>0.90235535606009498</v>
      </c>
      <c r="K747">
        <v>0.76846819292754698</v>
      </c>
      <c r="L747">
        <v>1085.6858457981</v>
      </c>
      <c r="M747">
        <v>22.4990984521611</v>
      </c>
      <c r="O747">
        <v>47.878284854789499</v>
      </c>
      <c r="P747">
        <v>-3.7422257189404097E-2</v>
      </c>
      <c r="Q747">
        <v>0.68146691450984498</v>
      </c>
      <c r="R747">
        <v>0.52743080628567096</v>
      </c>
      <c r="S747" t="s">
        <v>4376</v>
      </c>
      <c r="T747" t="s">
        <v>7256</v>
      </c>
      <c r="U747" t="s">
        <v>7256</v>
      </c>
      <c r="V747" t="s">
        <v>7256</v>
      </c>
      <c r="W747">
        <v>4</v>
      </c>
      <c r="X747" t="s">
        <v>8003</v>
      </c>
      <c r="Y747">
        <v>0.77262840309947245</v>
      </c>
      <c r="Z747" t="str">
        <f>HYPERLINK("Melting_Curves/meltCurve_sp_P25054_2_APC_HUMAN_.pdf", "Melting_Curves/meltCurve_sp_P25054_2_APC_HUMAN_.pdf")</f>
        <v>Melting_Curves/meltCurve_sp_P25054_2_APC_HUMAN_.pdf</v>
      </c>
      <c r="AA747" t="s">
        <v>11615</v>
      </c>
      <c r="AB747" t="s">
        <v>15173</v>
      </c>
    </row>
    <row r="748" spans="1:28" x14ac:dyDescent="0.25">
      <c r="A748" t="s">
        <v>752</v>
      </c>
      <c r="B748">
        <v>0.98018197421672304</v>
      </c>
      <c r="C748">
        <v>0.91286047775998103</v>
      </c>
      <c r="D748">
        <v>0.98777900241126604</v>
      </c>
      <c r="E748">
        <v>0.87836579780645196</v>
      </c>
      <c r="F748">
        <v>0.893091542750167</v>
      </c>
      <c r="G748">
        <v>0.75853644470456205</v>
      </c>
      <c r="H748">
        <v>0.57971178434314297</v>
      </c>
      <c r="I748">
        <v>0.607835415877228</v>
      </c>
      <c r="J748">
        <v>0.55731875202048997</v>
      </c>
      <c r="K748">
        <v>0.86082471330433596</v>
      </c>
      <c r="L748">
        <v>1156.46100548549</v>
      </c>
      <c r="M748">
        <v>21.580729638822199</v>
      </c>
      <c r="O748">
        <v>53.133922395136103</v>
      </c>
      <c r="P748">
        <v>-3.5349930658562498E-2</v>
      </c>
      <c r="Q748">
        <v>0.65186821052153998</v>
      </c>
      <c r="R748">
        <v>0.67672746086399505</v>
      </c>
      <c r="S748" t="s">
        <v>4377</v>
      </c>
      <c r="T748" t="s">
        <v>7256</v>
      </c>
      <c r="U748" t="s">
        <v>7256</v>
      </c>
      <c r="V748" t="s">
        <v>7256</v>
      </c>
      <c r="W748">
        <v>8</v>
      </c>
      <c r="X748" t="s">
        <v>8004</v>
      </c>
      <c r="Y748">
        <v>0.81372972369004848</v>
      </c>
      <c r="Z748" t="str">
        <f>HYPERLINK("Melting_Curves/meltCurve_sp_P25311_ZA2G_HUMAN_.pdf", "Melting_Curves/meltCurve_sp_P25311_ZA2G_HUMAN_.pdf")</f>
        <v>Melting_Curves/meltCurve_sp_P25311_ZA2G_HUMAN_.pdf</v>
      </c>
      <c r="AA748" t="s">
        <v>11616</v>
      </c>
      <c r="AB748" t="s">
        <v>15174</v>
      </c>
    </row>
    <row r="749" spans="1:28" x14ac:dyDescent="0.25">
      <c r="A749" t="s">
        <v>753</v>
      </c>
      <c r="B749">
        <v>0.98018197421672304</v>
      </c>
      <c r="C749">
        <v>1.0488108850775799</v>
      </c>
      <c r="D749">
        <v>0.87942819582550802</v>
      </c>
      <c r="E749">
        <v>0.733908895790642</v>
      </c>
      <c r="F749">
        <v>0.60564970724632305</v>
      </c>
      <c r="G749">
        <v>0.37553287547861303</v>
      </c>
      <c r="H749">
        <v>0.31090198728250001</v>
      </c>
      <c r="I749">
        <v>0.33104665125669902</v>
      </c>
      <c r="J749">
        <v>0.322044916885105</v>
      </c>
      <c r="K749">
        <v>0.44462697153674202</v>
      </c>
      <c r="L749">
        <v>1011.72079695547</v>
      </c>
      <c r="M749">
        <v>19.804359334274501</v>
      </c>
      <c r="N749">
        <v>54.190353564913501</v>
      </c>
      <c r="O749">
        <v>50.573447648985201</v>
      </c>
      <c r="P749">
        <v>-6.4691418078684004E-2</v>
      </c>
      <c r="Q749">
        <v>0.33922480748713502</v>
      </c>
      <c r="R749">
        <v>0.96596209924618803</v>
      </c>
      <c r="S749" t="s">
        <v>4378</v>
      </c>
      <c r="T749" t="s">
        <v>7256</v>
      </c>
      <c r="U749" t="s">
        <v>7256</v>
      </c>
      <c r="V749" t="s">
        <v>7256</v>
      </c>
      <c r="W749">
        <v>7</v>
      </c>
      <c r="X749" t="s">
        <v>8005</v>
      </c>
      <c r="Y749">
        <v>0.59273809036377478</v>
      </c>
      <c r="Z749" t="str">
        <f>HYPERLINK("Melting_Curves/meltCurve_sp_P25398_RS12_HUMAN_.pdf", "Melting_Curves/meltCurve_sp_P25398_RS12_HUMAN_.pdf")</f>
        <v>Melting_Curves/meltCurve_sp_P25398_RS12_HUMAN_.pdf</v>
      </c>
      <c r="AA749" t="s">
        <v>11617</v>
      </c>
      <c r="AB749" t="s">
        <v>15175</v>
      </c>
    </row>
    <row r="750" spans="1:28" x14ac:dyDescent="0.25">
      <c r="A750" t="s">
        <v>754</v>
      </c>
      <c r="B750">
        <v>0.98018197421672304</v>
      </c>
      <c r="C750">
        <v>0.94709814362552103</v>
      </c>
      <c r="D750">
        <v>0.88330194100683901</v>
      </c>
      <c r="E750">
        <v>0.48035138907854902</v>
      </c>
      <c r="F750">
        <v>0.28181658130308401</v>
      </c>
      <c r="G750">
        <v>0.17443131677085</v>
      </c>
      <c r="H750">
        <v>0.14694736116054799</v>
      </c>
      <c r="I750">
        <v>0.19287590278762101</v>
      </c>
      <c r="J750">
        <v>0.221111800801958</v>
      </c>
      <c r="K750">
        <v>0.23632122990270699</v>
      </c>
      <c r="L750">
        <v>1345.24407655133</v>
      </c>
      <c r="M750">
        <v>27.506610683740998</v>
      </c>
      <c r="N750">
        <v>49.7790365029554</v>
      </c>
      <c r="O750">
        <v>48.649925228007604</v>
      </c>
      <c r="P750">
        <v>-0.114307802749539</v>
      </c>
      <c r="Q750">
        <v>0.191319722166366</v>
      </c>
      <c r="R750">
        <v>0.99266224450762097</v>
      </c>
      <c r="S750" t="s">
        <v>4379</v>
      </c>
      <c r="T750" t="s">
        <v>7256</v>
      </c>
      <c r="U750" t="s">
        <v>7256</v>
      </c>
      <c r="V750" t="s">
        <v>7256</v>
      </c>
      <c r="W750">
        <v>9</v>
      </c>
      <c r="X750" t="s">
        <v>8006</v>
      </c>
      <c r="Y750">
        <v>0.43727570550002159</v>
      </c>
      <c r="Z750" t="str">
        <f>HYPERLINK("Melting_Curves/meltCurve_sp_P25685_DNJB1_HUMAN_.pdf", "Melting_Curves/meltCurve_sp_P25685_DNJB1_HUMAN_.pdf")</f>
        <v>Melting_Curves/meltCurve_sp_P25685_DNJB1_HUMAN_.pdf</v>
      </c>
      <c r="AA750" t="s">
        <v>11618</v>
      </c>
      <c r="AB750" t="s">
        <v>15176</v>
      </c>
    </row>
    <row r="751" spans="1:28" x14ac:dyDescent="0.25">
      <c r="A751" t="s">
        <v>755</v>
      </c>
      <c r="B751">
        <v>0.98018197421672304</v>
      </c>
      <c r="C751">
        <v>0.74745214121827497</v>
      </c>
      <c r="D751">
        <v>0.45113144646592701</v>
      </c>
      <c r="E751">
        <v>0.25130886388905599</v>
      </c>
      <c r="F751">
        <v>0.14726534632577901</v>
      </c>
      <c r="G751">
        <v>8.1591742569491393E-2</v>
      </c>
      <c r="H751">
        <v>4.9871920678561103E-2</v>
      </c>
      <c r="I751">
        <v>3.8132807200717801E-2</v>
      </c>
      <c r="J751">
        <v>3.2277250055115503E-2</v>
      </c>
      <c r="K751">
        <v>2.6607401497194601E-2</v>
      </c>
      <c r="L751">
        <v>763.58923038171395</v>
      </c>
      <c r="M751">
        <v>16.719675684259101</v>
      </c>
      <c r="N751">
        <v>45.889397348883499</v>
      </c>
      <c r="O751">
        <v>45.0317578626616</v>
      </c>
      <c r="P751">
        <v>-8.9263428237959103E-2</v>
      </c>
      <c r="Q751">
        <v>3.8396196260059398E-2</v>
      </c>
      <c r="R751">
        <v>0.99283704359261904</v>
      </c>
      <c r="S751" t="s">
        <v>4380</v>
      </c>
      <c r="T751" t="s">
        <v>7256</v>
      </c>
      <c r="U751" t="s">
        <v>7256</v>
      </c>
      <c r="V751" t="s">
        <v>7256</v>
      </c>
      <c r="W751">
        <v>15</v>
      </c>
      <c r="X751" t="s">
        <v>8007</v>
      </c>
      <c r="Y751">
        <v>0.2430087308626884</v>
      </c>
      <c r="Z751" t="str">
        <f>HYPERLINK("Melting_Curves/meltCurve_sp_P25705_ATPA_HUMAN_.pdf", "Melting_Curves/meltCurve_sp_P25705_ATPA_HUMAN_.pdf")</f>
        <v>Melting_Curves/meltCurve_sp_P25705_ATPA_HUMAN_.pdf</v>
      </c>
      <c r="AA751" t="s">
        <v>11619</v>
      </c>
      <c r="AB751" t="s">
        <v>15177</v>
      </c>
    </row>
    <row r="752" spans="1:28" x14ac:dyDescent="0.25">
      <c r="A752" t="s">
        <v>756</v>
      </c>
      <c r="B752">
        <v>0.98018197421672304</v>
      </c>
      <c r="C752">
        <v>0.99256405645019197</v>
      </c>
      <c r="D752">
        <v>0.94928926116478896</v>
      </c>
      <c r="E752">
        <v>0.83940460531471595</v>
      </c>
      <c r="F752">
        <v>0.81986182919018202</v>
      </c>
      <c r="G752">
        <v>0.68122461422866498</v>
      </c>
      <c r="H752">
        <v>0.45531227301058602</v>
      </c>
      <c r="I752">
        <v>0.50001465475839002</v>
      </c>
      <c r="J752">
        <v>0.39405178639030902</v>
      </c>
      <c r="K752">
        <v>0.480797567001709</v>
      </c>
      <c r="L752">
        <v>745.13436971870999</v>
      </c>
      <c r="M752">
        <v>13.453090866802601</v>
      </c>
      <c r="N752">
        <v>62.432025082078603</v>
      </c>
      <c r="O752">
        <v>54.206724073354998</v>
      </c>
      <c r="P752">
        <v>-3.7827377423727902E-2</v>
      </c>
      <c r="Q752">
        <v>0.39042073848490799</v>
      </c>
      <c r="R752">
        <v>0.96606923971085301</v>
      </c>
      <c r="S752" t="s">
        <v>4381</v>
      </c>
      <c r="T752" t="s">
        <v>7256</v>
      </c>
      <c r="U752" t="s">
        <v>7256</v>
      </c>
      <c r="V752" t="s">
        <v>7256</v>
      </c>
      <c r="W752">
        <v>7</v>
      </c>
      <c r="X752" t="s">
        <v>8008</v>
      </c>
      <c r="Y752">
        <v>0.71566046734339916</v>
      </c>
      <c r="Z752" t="str">
        <f>HYPERLINK("Melting_Curves/meltCurve_sp_P25774_CATS_HUMAN_.pdf", "Melting_Curves/meltCurve_sp_P25774_CATS_HUMAN_.pdf")</f>
        <v>Melting_Curves/meltCurve_sp_P25774_CATS_HUMAN_.pdf</v>
      </c>
      <c r="AA752" t="s">
        <v>11620</v>
      </c>
      <c r="AB752" t="s">
        <v>15178</v>
      </c>
    </row>
    <row r="753" spans="1:28" x14ac:dyDescent="0.25">
      <c r="A753" t="s">
        <v>757</v>
      </c>
      <c r="B753">
        <v>0.98018197421672304</v>
      </c>
      <c r="C753">
        <v>0.99170500424702401</v>
      </c>
      <c r="D753">
        <v>0.87852144138945498</v>
      </c>
      <c r="E753">
        <v>0.75062794457642601</v>
      </c>
      <c r="F753">
        <v>0.63488372122090297</v>
      </c>
      <c r="G753">
        <v>0.50342650340117301</v>
      </c>
      <c r="H753">
        <v>0.37834582302270398</v>
      </c>
      <c r="I753">
        <v>0.39607534722841498</v>
      </c>
      <c r="J753">
        <v>0.36173397626840298</v>
      </c>
      <c r="K753">
        <v>0.272336571265274</v>
      </c>
      <c r="L753">
        <v>606.27660198930198</v>
      </c>
      <c r="M753">
        <v>11.432642876314899</v>
      </c>
      <c r="N753">
        <v>56.907151003422797</v>
      </c>
      <c r="O753">
        <v>51.485613044853899</v>
      </c>
      <c r="P753">
        <v>-4.0507136664803503E-2</v>
      </c>
      <c r="Q753">
        <v>0.27053486412582101</v>
      </c>
      <c r="R753">
        <v>0.99065914414781497</v>
      </c>
      <c r="S753" t="s">
        <v>4382</v>
      </c>
      <c r="T753" t="s">
        <v>7256</v>
      </c>
      <c r="U753" t="s">
        <v>7256</v>
      </c>
      <c r="V753" t="s">
        <v>7256</v>
      </c>
      <c r="W753">
        <v>19</v>
      </c>
      <c r="X753" t="s">
        <v>8009</v>
      </c>
      <c r="Y753">
        <v>0.60920704652614577</v>
      </c>
      <c r="Z753" t="str">
        <f>HYPERLINK("Melting_Curves/meltCurve_sp_P25786_PSA1_HUMAN_.pdf", "Melting_Curves/meltCurve_sp_P25786_PSA1_HUMAN_.pdf")</f>
        <v>Melting_Curves/meltCurve_sp_P25786_PSA1_HUMAN_.pdf</v>
      </c>
      <c r="AA753" t="s">
        <v>11621</v>
      </c>
      <c r="AB753" t="s">
        <v>15179</v>
      </c>
    </row>
    <row r="754" spans="1:28" x14ac:dyDescent="0.25">
      <c r="A754" t="s">
        <v>758</v>
      </c>
      <c r="B754">
        <v>0.98018197421672304</v>
      </c>
      <c r="C754">
        <v>0.93201160078141299</v>
      </c>
      <c r="D754">
        <v>0.875906681946232</v>
      </c>
      <c r="E754">
        <v>0.76938247521062897</v>
      </c>
      <c r="F754">
        <v>0.66578016464518197</v>
      </c>
      <c r="G754">
        <v>0.52560016746719596</v>
      </c>
      <c r="H754">
        <v>0.407313491964438</v>
      </c>
      <c r="I754">
        <v>0.42897292889586902</v>
      </c>
      <c r="J754">
        <v>0.37293208024796698</v>
      </c>
      <c r="K754">
        <v>0.30949225094913302</v>
      </c>
      <c r="L754">
        <v>516.92607978312606</v>
      </c>
      <c r="M754">
        <v>9.5938655211929298</v>
      </c>
      <c r="N754">
        <v>58.289724557892598</v>
      </c>
      <c r="O754">
        <v>51.695928066216602</v>
      </c>
      <c r="P754">
        <v>-3.4445487452650303E-2</v>
      </c>
      <c r="Q754">
        <v>0.257993551519348</v>
      </c>
      <c r="R754">
        <v>0.99363863371387995</v>
      </c>
      <c r="S754" t="s">
        <v>4383</v>
      </c>
      <c r="T754" t="s">
        <v>7256</v>
      </c>
      <c r="U754" t="s">
        <v>7256</v>
      </c>
      <c r="V754" t="s">
        <v>7256</v>
      </c>
      <c r="W754">
        <v>11</v>
      </c>
      <c r="X754" t="s">
        <v>8010</v>
      </c>
      <c r="Y754">
        <v>0.62475175775614022</v>
      </c>
      <c r="Z754" t="str">
        <f>HYPERLINK("Melting_Curves/meltCurve_sp_P25787_PSA2_HUMAN_.pdf", "Melting_Curves/meltCurve_sp_P25787_PSA2_HUMAN_.pdf")</f>
        <v>Melting_Curves/meltCurve_sp_P25787_PSA2_HUMAN_.pdf</v>
      </c>
      <c r="AA754" t="s">
        <v>11622</v>
      </c>
      <c r="AB754" t="s">
        <v>15180</v>
      </c>
    </row>
    <row r="755" spans="1:28" x14ac:dyDescent="0.25">
      <c r="A755" t="s">
        <v>759</v>
      </c>
      <c r="B755">
        <v>0.98018197421672304</v>
      </c>
      <c r="C755">
        <v>0.93770023423741899</v>
      </c>
      <c r="D755">
        <v>0.90099219269509701</v>
      </c>
      <c r="E755">
        <v>0.78947331157195499</v>
      </c>
      <c r="F755">
        <v>0.68706687100314501</v>
      </c>
      <c r="G755">
        <v>0.56649245398024894</v>
      </c>
      <c r="H755">
        <v>0.453465669386235</v>
      </c>
      <c r="I755">
        <v>0.44605274443404203</v>
      </c>
      <c r="J755">
        <v>0.429608174569998</v>
      </c>
      <c r="K755">
        <v>0.30460242383324299</v>
      </c>
      <c r="L755">
        <v>486.99526393343803</v>
      </c>
      <c r="M755">
        <v>8.8208277325319102</v>
      </c>
      <c r="N755">
        <v>59.901317836346301</v>
      </c>
      <c r="O755">
        <v>52.592881161622202</v>
      </c>
      <c r="P755">
        <v>-3.149589648178E-2</v>
      </c>
      <c r="Q755">
        <v>0.24942964360293701</v>
      </c>
      <c r="R755">
        <v>0.98892898376636096</v>
      </c>
      <c r="S755" t="s">
        <v>4384</v>
      </c>
      <c r="T755" t="s">
        <v>7256</v>
      </c>
      <c r="U755" t="s">
        <v>7256</v>
      </c>
      <c r="V755" t="s">
        <v>7256</v>
      </c>
      <c r="W755">
        <v>17</v>
      </c>
      <c r="X755" t="s">
        <v>8011</v>
      </c>
      <c r="Y755">
        <v>0.64916208957612853</v>
      </c>
      <c r="Z755" t="str">
        <f>HYPERLINK("Melting_Curves/meltCurve_sp_P25788_2_PSA3_HUMAN_.pdf", "Melting_Curves/meltCurve_sp_P25788_2_PSA3_HUMAN_.pdf")</f>
        <v>Melting_Curves/meltCurve_sp_P25788_2_PSA3_HUMAN_.pdf</v>
      </c>
      <c r="AA755" t="s">
        <v>11623</v>
      </c>
      <c r="AB755" t="s">
        <v>15181</v>
      </c>
    </row>
    <row r="756" spans="1:28" x14ac:dyDescent="0.25">
      <c r="A756" t="s">
        <v>760</v>
      </c>
      <c r="B756">
        <v>0.98018197421672304</v>
      </c>
      <c r="C756">
        <v>0.92481404310911297</v>
      </c>
      <c r="D756">
        <v>0.86462503552124903</v>
      </c>
      <c r="E756">
        <v>0.76551666153564402</v>
      </c>
      <c r="F756">
        <v>0.67316954610674695</v>
      </c>
      <c r="G756">
        <v>0.52556238898155105</v>
      </c>
      <c r="H756">
        <v>0.415765823099772</v>
      </c>
      <c r="I756">
        <v>0.40873114979185299</v>
      </c>
      <c r="J756">
        <v>0.33862336104245899</v>
      </c>
      <c r="K756">
        <v>0.238973307222939</v>
      </c>
      <c r="L756">
        <v>423.139092600955</v>
      </c>
      <c r="M756">
        <v>7.4218120063088397</v>
      </c>
      <c r="N756">
        <v>58.542751753934702</v>
      </c>
      <c r="O756">
        <v>53.313024135562799</v>
      </c>
      <c r="P756">
        <v>-3.17825726488297E-2</v>
      </c>
      <c r="Q756">
        <v>8.8149320222106101E-2</v>
      </c>
      <c r="R756">
        <v>0.99306038214107395</v>
      </c>
      <c r="S756" t="s">
        <v>4385</v>
      </c>
      <c r="T756" t="s">
        <v>7256</v>
      </c>
      <c r="U756" t="s">
        <v>7256</v>
      </c>
      <c r="V756" t="s">
        <v>7256</v>
      </c>
      <c r="W756">
        <v>14</v>
      </c>
      <c r="X756" t="s">
        <v>8012</v>
      </c>
      <c r="Y756">
        <v>0.61435352079565009</v>
      </c>
      <c r="Z756" t="str">
        <f>HYPERLINK("Melting_Curves/meltCurve_sp_P25789_PSA4_HUMAN_.pdf", "Melting_Curves/meltCurve_sp_P25789_PSA4_HUMAN_.pdf")</f>
        <v>Melting_Curves/meltCurve_sp_P25789_PSA4_HUMAN_.pdf</v>
      </c>
      <c r="AA756" t="s">
        <v>11624</v>
      </c>
      <c r="AB756" t="s">
        <v>15182</v>
      </c>
    </row>
    <row r="757" spans="1:28" x14ac:dyDescent="0.25">
      <c r="A757" t="s">
        <v>761</v>
      </c>
      <c r="B757">
        <v>0.98018197421672304</v>
      </c>
      <c r="C757">
        <v>0.95092429215802099</v>
      </c>
      <c r="D757">
        <v>0.94379972280045099</v>
      </c>
      <c r="E757">
        <v>0.80372343059888895</v>
      </c>
      <c r="F757">
        <v>0.79732317087835303</v>
      </c>
      <c r="G757">
        <v>0.21893175127140599</v>
      </c>
      <c r="H757">
        <v>0.115600157983724</v>
      </c>
      <c r="I757">
        <v>6.0887395610088997E-2</v>
      </c>
      <c r="J757">
        <v>6.6755912005601006E-2</v>
      </c>
      <c r="K757">
        <v>4.9672183417831202E-2</v>
      </c>
      <c r="L757">
        <v>1527.6807708557001</v>
      </c>
      <c r="M757">
        <v>27.980685138199298</v>
      </c>
      <c r="N757">
        <v>54.799637348177498</v>
      </c>
      <c r="O757">
        <v>54.321098482688001</v>
      </c>
      <c r="P757">
        <v>-0.122467175230017</v>
      </c>
      <c r="Q757">
        <v>4.8987659301012697E-2</v>
      </c>
      <c r="R757">
        <v>0.98006284598732996</v>
      </c>
      <c r="S757" t="s">
        <v>4386</v>
      </c>
      <c r="T757" t="s">
        <v>7256</v>
      </c>
      <c r="U757" t="s">
        <v>7256</v>
      </c>
      <c r="V757" t="s">
        <v>7256</v>
      </c>
      <c r="W757">
        <v>45</v>
      </c>
      <c r="X757" t="s">
        <v>8013</v>
      </c>
      <c r="Y757">
        <v>0.51890991121332286</v>
      </c>
      <c r="Z757" t="str">
        <f>HYPERLINK("Melting_Curves/meltCurve_sp_P26038_MOES_HUMAN_.pdf", "Melting_Curves/meltCurve_sp_P26038_MOES_HUMAN_.pdf")</f>
        <v>Melting_Curves/meltCurve_sp_P26038_MOES_HUMAN_.pdf</v>
      </c>
      <c r="AA757" t="s">
        <v>11625</v>
      </c>
      <c r="AB757" t="s">
        <v>15183</v>
      </c>
    </row>
    <row r="758" spans="1:28" x14ac:dyDescent="0.25">
      <c r="A758" t="s">
        <v>762</v>
      </c>
      <c r="B758">
        <v>0.98018197421672304</v>
      </c>
      <c r="C758">
        <v>0.99062686621052298</v>
      </c>
      <c r="D758">
        <v>0.91922004557723402</v>
      </c>
      <c r="E758">
        <v>0.69969709255927703</v>
      </c>
      <c r="F758">
        <v>0.30039357709710002</v>
      </c>
      <c r="G758">
        <v>0.14315194585374</v>
      </c>
      <c r="H758">
        <v>9.0572573303874401E-2</v>
      </c>
      <c r="I758">
        <v>7.4912009547857206E-2</v>
      </c>
      <c r="J758">
        <v>7.9181952940553094E-2</v>
      </c>
      <c r="K758">
        <v>7.7368244801398006E-2</v>
      </c>
      <c r="L758">
        <v>1436.9234223426499</v>
      </c>
      <c r="M758">
        <v>28.126565030424501</v>
      </c>
      <c r="N758">
        <v>51.399695487486603</v>
      </c>
      <c r="O758">
        <v>50.831612311385101</v>
      </c>
      <c r="P758">
        <v>-0.12747974485167399</v>
      </c>
      <c r="Q758">
        <v>7.8458901933872796E-2</v>
      </c>
      <c r="R758">
        <v>0.99763649465309501</v>
      </c>
      <c r="S758" t="s">
        <v>4387</v>
      </c>
      <c r="T758" t="s">
        <v>7256</v>
      </c>
      <c r="U758" t="s">
        <v>7256</v>
      </c>
      <c r="V758" t="s">
        <v>7256</v>
      </c>
      <c r="W758">
        <v>11</v>
      </c>
      <c r="X758" t="s">
        <v>8014</v>
      </c>
      <c r="Y758">
        <v>0.4256531583420991</v>
      </c>
      <c r="Z758" t="str">
        <f>HYPERLINK("Melting_Curves/meltCurve_sp_P26196_DDX6_HUMAN_.pdf", "Melting_Curves/meltCurve_sp_P26196_DDX6_HUMAN_.pdf")</f>
        <v>Melting_Curves/meltCurve_sp_P26196_DDX6_HUMAN_.pdf</v>
      </c>
      <c r="AA758" t="s">
        <v>11626</v>
      </c>
      <c r="AB758" t="s">
        <v>15184</v>
      </c>
    </row>
    <row r="759" spans="1:28" x14ac:dyDescent="0.25">
      <c r="A759" t="s">
        <v>763</v>
      </c>
      <c r="B759">
        <v>0.98018197421672304</v>
      </c>
      <c r="C759">
        <v>1.1001830922875899</v>
      </c>
      <c r="D759">
        <v>0.96275225912547302</v>
      </c>
      <c r="E759">
        <v>0.78639356597381604</v>
      </c>
      <c r="F759">
        <v>0.59400432329813002</v>
      </c>
      <c r="G759">
        <v>0.316056806877483</v>
      </c>
      <c r="H759">
        <v>0.15842248825553701</v>
      </c>
      <c r="I759">
        <v>0.12174793905600501</v>
      </c>
      <c r="J759">
        <v>0.16073338131304199</v>
      </c>
      <c r="K759">
        <v>0.121300740671533</v>
      </c>
      <c r="L759">
        <v>1062.8608432886001</v>
      </c>
      <c r="M759">
        <v>19.945272903741198</v>
      </c>
      <c r="N759">
        <v>53.990110855679298</v>
      </c>
      <c r="O759">
        <v>52.761851919778202</v>
      </c>
      <c r="P759">
        <v>-8.3724655239252294E-2</v>
      </c>
      <c r="Q759">
        <v>0.114111392488373</v>
      </c>
      <c r="R759">
        <v>0.98970549749357195</v>
      </c>
      <c r="S759" t="s">
        <v>4388</v>
      </c>
      <c r="T759" t="s">
        <v>7256</v>
      </c>
      <c r="U759" t="s">
        <v>7256</v>
      </c>
      <c r="V759" t="s">
        <v>7256</v>
      </c>
      <c r="W759">
        <v>1</v>
      </c>
      <c r="X759" t="s">
        <v>8015</v>
      </c>
      <c r="Y759">
        <v>0.51873361936575613</v>
      </c>
      <c r="Z759" t="str">
        <f>HYPERLINK("Melting_Curves/meltCurve_sp_P26358_DNMT1_HUMAN_.pdf", "Melting_Curves/meltCurve_sp_P26358_DNMT1_HUMAN_.pdf")</f>
        <v>Melting_Curves/meltCurve_sp_P26358_DNMT1_HUMAN_.pdf</v>
      </c>
      <c r="AA759" t="s">
        <v>11627</v>
      </c>
      <c r="AB759" t="s">
        <v>15185</v>
      </c>
    </row>
    <row r="760" spans="1:28" x14ac:dyDescent="0.25">
      <c r="A760" t="s">
        <v>764</v>
      </c>
      <c r="B760">
        <v>0.98018197421672304</v>
      </c>
      <c r="C760">
        <v>1.0130493370703699</v>
      </c>
      <c r="D760">
        <v>0.94208454520798002</v>
      </c>
      <c r="E760">
        <v>0.75136112792254695</v>
      </c>
      <c r="F760">
        <v>0.60044393312399102</v>
      </c>
      <c r="G760">
        <v>0.36717261515376498</v>
      </c>
      <c r="H760">
        <v>0.17234107382036001</v>
      </c>
      <c r="I760">
        <v>0.12938559805601499</v>
      </c>
      <c r="J760">
        <v>0.13733356307217301</v>
      </c>
      <c r="K760">
        <v>0.111854499890446</v>
      </c>
      <c r="L760">
        <v>836.88925928210904</v>
      </c>
      <c r="M760">
        <v>15.583680431887601</v>
      </c>
      <c r="N760">
        <v>54.299499075025402</v>
      </c>
      <c r="O760">
        <v>52.8419253465566</v>
      </c>
      <c r="P760">
        <v>-6.7932901095067E-2</v>
      </c>
      <c r="Q760">
        <v>7.8678976266224998E-2</v>
      </c>
      <c r="R760">
        <v>0.996648426565788</v>
      </c>
      <c r="S760" t="s">
        <v>4389</v>
      </c>
      <c r="T760" t="s">
        <v>7256</v>
      </c>
      <c r="U760" t="s">
        <v>7256</v>
      </c>
      <c r="V760" t="s">
        <v>7256</v>
      </c>
      <c r="W760">
        <v>3</v>
      </c>
      <c r="X760" t="s">
        <v>8016</v>
      </c>
      <c r="Y760">
        <v>0.51776425855849961</v>
      </c>
      <c r="Z760" t="str">
        <f>HYPERLINK("Melting_Curves/meltCurve_sp_P26368_2_U2AF2_HUMAN_.pdf", "Melting_Curves/meltCurve_sp_P26368_2_U2AF2_HUMAN_.pdf")</f>
        <v>Melting_Curves/meltCurve_sp_P26368_2_U2AF2_HUMAN_.pdf</v>
      </c>
      <c r="AA760" t="s">
        <v>11628</v>
      </c>
      <c r="AB760" t="s">
        <v>15186</v>
      </c>
    </row>
    <row r="761" spans="1:28" x14ac:dyDescent="0.25">
      <c r="A761" t="s">
        <v>765</v>
      </c>
      <c r="B761">
        <v>0.98018197421672304</v>
      </c>
      <c r="C761">
        <v>1.1656421695977399</v>
      </c>
      <c r="D761">
        <v>1.0015656331415099</v>
      </c>
      <c r="E761">
        <v>0.64953253470824501</v>
      </c>
      <c r="F761">
        <v>0.47262154235471399</v>
      </c>
      <c r="G761">
        <v>0.26682528403921002</v>
      </c>
      <c r="H761">
        <v>0.227981653334871</v>
      </c>
      <c r="I761">
        <v>0.198214652125384</v>
      </c>
      <c r="J761">
        <v>0.19269203479545999</v>
      </c>
      <c r="K761">
        <v>0.217128376878711</v>
      </c>
      <c r="L761">
        <v>1275.3360713176901</v>
      </c>
      <c r="M761">
        <v>24.990586019615598</v>
      </c>
      <c r="N761">
        <v>52.155810245048599</v>
      </c>
      <c r="O761">
        <v>50.709252902302502</v>
      </c>
      <c r="P761">
        <v>-9.7568919357382003E-2</v>
      </c>
      <c r="Q761">
        <v>0.20808896342880201</v>
      </c>
      <c r="R761">
        <v>0.97150787805282401</v>
      </c>
      <c r="S761" t="s">
        <v>4390</v>
      </c>
      <c r="T761" t="s">
        <v>7256</v>
      </c>
      <c r="U761" t="s">
        <v>7256</v>
      </c>
      <c r="V761" t="s">
        <v>7256</v>
      </c>
      <c r="W761">
        <v>1</v>
      </c>
      <c r="X761" t="s">
        <v>8017</v>
      </c>
      <c r="Y761">
        <v>0.50648040093533975</v>
      </c>
      <c r="Z761" t="str">
        <f>HYPERLINK("Melting_Curves/meltCurve_sp_P26373_RL13_HUMAN_.pdf", "Melting_Curves/meltCurve_sp_P26373_RL13_HUMAN_.pdf")</f>
        <v>Melting_Curves/meltCurve_sp_P26373_RL13_HUMAN_.pdf</v>
      </c>
      <c r="AA761" t="s">
        <v>11629</v>
      </c>
      <c r="AB761" t="s">
        <v>15187</v>
      </c>
    </row>
    <row r="762" spans="1:28" x14ac:dyDescent="0.25">
      <c r="A762" t="s">
        <v>766</v>
      </c>
      <c r="B762">
        <v>0.98018197421672304</v>
      </c>
      <c r="C762">
        <v>0.91094815933140805</v>
      </c>
      <c r="D762">
        <v>0.83675116889735301</v>
      </c>
      <c r="E762">
        <v>0.70923717444657197</v>
      </c>
      <c r="F762">
        <v>0.60579115080092505</v>
      </c>
      <c r="G762">
        <v>0.47793900581653997</v>
      </c>
      <c r="H762">
        <v>0.32141446641702398</v>
      </c>
      <c r="I762">
        <v>0.31337676328735398</v>
      </c>
      <c r="J762">
        <v>0.18790182150542201</v>
      </c>
      <c r="K762">
        <v>0.168952230269239</v>
      </c>
      <c r="L762">
        <v>437.78215860403901</v>
      </c>
      <c r="M762">
        <v>7.8273993086149298</v>
      </c>
      <c r="N762">
        <v>55.929452595435599</v>
      </c>
      <c r="O762">
        <v>52.631391773993002</v>
      </c>
      <c r="P762">
        <v>-3.7225903611731899E-2</v>
      </c>
      <c r="Q762">
        <v>0</v>
      </c>
      <c r="R762">
        <v>0.99531253405595599</v>
      </c>
      <c r="S762" t="s">
        <v>4391</v>
      </c>
      <c r="T762" t="s">
        <v>7256</v>
      </c>
      <c r="U762" t="s">
        <v>7256</v>
      </c>
      <c r="V762" t="s">
        <v>7256</v>
      </c>
      <c r="W762">
        <v>27</v>
      </c>
      <c r="X762" t="s">
        <v>8018</v>
      </c>
      <c r="Y762">
        <v>0.55109668483464858</v>
      </c>
      <c r="Z762" t="str">
        <f>HYPERLINK("Melting_Curves/meltCurve_sp_P26440_IVD_HUMAN_.pdf", "Melting_Curves/meltCurve_sp_P26440_IVD_HUMAN_.pdf")</f>
        <v>Melting_Curves/meltCurve_sp_P26440_IVD_HUMAN_.pdf</v>
      </c>
      <c r="AA762" t="s">
        <v>11630</v>
      </c>
      <c r="AB762" t="s">
        <v>15188</v>
      </c>
    </row>
    <row r="763" spans="1:28" x14ac:dyDescent="0.25">
      <c r="A763" t="s">
        <v>767</v>
      </c>
      <c r="B763">
        <v>0.98018197421672304</v>
      </c>
      <c r="C763">
        <v>1.1249579594208201</v>
      </c>
      <c r="D763">
        <v>0.97848242942413699</v>
      </c>
      <c r="E763">
        <v>0.91072216543203799</v>
      </c>
      <c r="F763">
        <v>0.87271165498537895</v>
      </c>
      <c r="G763">
        <v>0.64966588864294095</v>
      </c>
      <c r="H763">
        <v>0.47615553324621002</v>
      </c>
      <c r="I763">
        <v>0.43020776296648</v>
      </c>
      <c r="J763">
        <v>0.41843655937052399</v>
      </c>
      <c r="K763">
        <v>0.37740439969621897</v>
      </c>
      <c r="L763">
        <v>1072.3999449339999</v>
      </c>
      <c r="M763">
        <v>19.057220530216199</v>
      </c>
      <c r="N763">
        <v>60.619133011714098</v>
      </c>
      <c r="O763">
        <v>55.663992055132297</v>
      </c>
      <c r="P763">
        <v>-5.3710751818923597E-2</v>
      </c>
      <c r="Q763">
        <v>0.37249252041666597</v>
      </c>
      <c r="R763">
        <v>0.97354147449790895</v>
      </c>
      <c r="S763" t="s">
        <v>4392</v>
      </c>
      <c r="T763" t="s">
        <v>7256</v>
      </c>
      <c r="U763" t="s">
        <v>7256</v>
      </c>
      <c r="V763" t="s">
        <v>7256</v>
      </c>
      <c r="W763">
        <v>2</v>
      </c>
      <c r="X763" t="s">
        <v>8019</v>
      </c>
      <c r="Y763">
        <v>0.72136134426438636</v>
      </c>
      <c r="Z763" t="str">
        <f>HYPERLINK("Melting_Curves/meltCurve_sp_P26447_S10A4_HUMAN_.pdf", "Melting_Curves/meltCurve_sp_P26447_S10A4_HUMAN_.pdf")</f>
        <v>Melting_Curves/meltCurve_sp_P26447_S10A4_HUMAN_.pdf</v>
      </c>
      <c r="AA763" t="s">
        <v>11631</v>
      </c>
      <c r="AB763" t="s">
        <v>15189</v>
      </c>
    </row>
    <row r="764" spans="1:28" x14ac:dyDescent="0.25">
      <c r="A764" t="s">
        <v>768</v>
      </c>
      <c r="B764">
        <v>0.98018197421672304</v>
      </c>
      <c r="C764">
        <v>0.87577114575676196</v>
      </c>
      <c r="D764">
        <v>0.87935899407159401</v>
      </c>
      <c r="E764">
        <v>0.75965763476330495</v>
      </c>
      <c r="F764">
        <v>0.68452984826945795</v>
      </c>
      <c r="G764">
        <v>0.55031045967903602</v>
      </c>
      <c r="H764">
        <v>0.41574962329723503</v>
      </c>
      <c r="I764">
        <v>0.430172160902076</v>
      </c>
      <c r="J764">
        <v>0.43227650287288499</v>
      </c>
      <c r="K764">
        <v>0.53186741398732895</v>
      </c>
      <c r="L764">
        <v>591.68913116206397</v>
      </c>
      <c r="M764">
        <v>11.588163005182301</v>
      </c>
      <c r="N764">
        <v>60.259622562080899</v>
      </c>
      <c r="O764">
        <v>49.6102976753211</v>
      </c>
      <c r="P764">
        <v>-3.4184948284573899E-2</v>
      </c>
      <c r="Q764">
        <v>0.41476232263912099</v>
      </c>
      <c r="R764">
        <v>0.94472218576745304</v>
      </c>
      <c r="S764" t="s">
        <v>4393</v>
      </c>
      <c r="T764" t="s">
        <v>7256</v>
      </c>
      <c r="U764" t="s">
        <v>7256</v>
      </c>
      <c r="V764" t="s">
        <v>7256</v>
      </c>
      <c r="W764">
        <v>8</v>
      </c>
      <c r="X764" t="s">
        <v>8020</v>
      </c>
      <c r="Y764">
        <v>0.65048926685961017</v>
      </c>
      <c r="Z764" t="str">
        <f>HYPERLINK("Melting_Curves/meltCurve_sp_P26583_HMGB2_HUMAN_.pdf", "Melting_Curves/meltCurve_sp_P26583_HMGB2_HUMAN_.pdf")</f>
        <v>Melting_Curves/meltCurve_sp_P26583_HMGB2_HUMAN_.pdf</v>
      </c>
      <c r="AA764" t="s">
        <v>11632</v>
      </c>
      <c r="AB764" t="s">
        <v>15190</v>
      </c>
    </row>
    <row r="765" spans="1:28" x14ac:dyDescent="0.25">
      <c r="A765" t="s">
        <v>769</v>
      </c>
      <c r="B765">
        <v>0.98018197421672304</v>
      </c>
      <c r="C765">
        <v>0.96231251106417404</v>
      </c>
      <c r="D765">
        <v>0.917640850000918</v>
      </c>
      <c r="E765">
        <v>0.58960597675189796</v>
      </c>
      <c r="F765">
        <v>0.35918830468972301</v>
      </c>
      <c r="G765">
        <v>0.23010758442250001</v>
      </c>
      <c r="H765">
        <v>0.15835144737856899</v>
      </c>
      <c r="I765">
        <v>0.13174127549706299</v>
      </c>
      <c r="J765">
        <v>0.118846430230649</v>
      </c>
      <c r="K765">
        <v>0.115884949136718</v>
      </c>
      <c r="L765">
        <v>1007.21345087464</v>
      </c>
      <c r="M765">
        <v>19.95392562408</v>
      </c>
      <c r="N765">
        <v>51.198397766540801</v>
      </c>
      <c r="O765">
        <v>49.9781772260827</v>
      </c>
      <c r="P765">
        <v>-8.7583978985394106E-2</v>
      </c>
      <c r="Q765">
        <v>0.122549710413355</v>
      </c>
      <c r="R765">
        <v>0.99808854606793196</v>
      </c>
      <c r="S765" t="s">
        <v>4394</v>
      </c>
      <c r="T765" t="s">
        <v>7256</v>
      </c>
      <c r="U765" t="s">
        <v>7256</v>
      </c>
      <c r="V765" t="s">
        <v>7256</v>
      </c>
      <c r="W765">
        <v>8</v>
      </c>
      <c r="X765" t="s">
        <v>8021</v>
      </c>
      <c r="Y765">
        <v>0.44123376281332971</v>
      </c>
      <c r="Z765" t="str">
        <f>HYPERLINK("Melting_Curves/meltCurve_sp_P26599_PTBP1_HUMAN_.pdf", "Melting_Curves/meltCurve_sp_P26599_PTBP1_HUMAN_.pdf")</f>
        <v>Melting_Curves/meltCurve_sp_P26599_PTBP1_HUMAN_.pdf</v>
      </c>
      <c r="AA765" t="s">
        <v>11633</v>
      </c>
      <c r="AB765" t="s">
        <v>15191</v>
      </c>
    </row>
    <row r="766" spans="1:28" x14ac:dyDescent="0.25">
      <c r="A766" t="s">
        <v>770</v>
      </c>
      <c r="B766">
        <v>0.98018197421672304</v>
      </c>
      <c r="C766">
        <v>0.95791478658971096</v>
      </c>
      <c r="D766">
        <v>0.89170219237436898</v>
      </c>
      <c r="E766">
        <v>0.70903428776091604</v>
      </c>
      <c r="F766">
        <v>0.35193885855187601</v>
      </c>
      <c r="G766">
        <v>0.12520016804222001</v>
      </c>
      <c r="H766">
        <v>6.4971082048940504E-2</v>
      </c>
      <c r="I766">
        <v>5.0600730248784698E-2</v>
      </c>
      <c r="J766">
        <v>4.9050937686535803E-2</v>
      </c>
      <c r="K766">
        <v>4.3519639185499802E-2</v>
      </c>
      <c r="L766">
        <v>1162.4810189177001</v>
      </c>
      <c r="M766">
        <v>22.578986644825601</v>
      </c>
      <c r="N766">
        <v>51.663600275483702</v>
      </c>
      <c r="O766">
        <v>51.086353052818403</v>
      </c>
      <c r="P766">
        <v>-0.106349984135857</v>
      </c>
      <c r="Q766">
        <v>3.7526103321469197E-2</v>
      </c>
      <c r="R766">
        <v>0.99662463172693505</v>
      </c>
      <c r="S766" t="s">
        <v>4395</v>
      </c>
      <c r="T766" t="s">
        <v>7256</v>
      </c>
      <c r="U766" t="s">
        <v>7256</v>
      </c>
      <c r="V766" t="s">
        <v>7256</v>
      </c>
      <c r="W766">
        <v>32</v>
      </c>
      <c r="X766" t="s">
        <v>8022</v>
      </c>
      <c r="Y766">
        <v>0.41663128013597012</v>
      </c>
      <c r="Z766" t="str">
        <f>HYPERLINK("Melting_Curves/meltCurve_sp_P26639_SYTC_HUMAN_.pdf", "Melting_Curves/meltCurve_sp_P26639_SYTC_HUMAN_.pdf")</f>
        <v>Melting_Curves/meltCurve_sp_P26639_SYTC_HUMAN_.pdf</v>
      </c>
      <c r="AA766" t="s">
        <v>11634</v>
      </c>
      <c r="AB766" t="s">
        <v>15192</v>
      </c>
    </row>
    <row r="767" spans="1:28" x14ac:dyDescent="0.25">
      <c r="A767" t="s">
        <v>771</v>
      </c>
      <c r="B767">
        <v>0.98018197421672304</v>
      </c>
      <c r="C767">
        <v>0.87021120329523405</v>
      </c>
      <c r="D767">
        <v>0.55255885125447202</v>
      </c>
      <c r="E767">
        <v>0.21822320836415601</v>
      </c>
      <c r="F767">
        <v>0.115608209707645</v>
      </c>
      <c r="G767">
        <v>7.9440973060713099E-2</v>
      </c>
      <c r="H767">
        <v>5.5206588064604899E-2</v>
      </c>
      <c r="I767">
        <v>4.6129279031539801E-2</v>
      </c>
      <c r="J767">
        <v>5.0882689935001398E-2</v>
      </c>
      <c r="K767">
        <v>4.2110303817530899E-2</v>
      </c>
      <c r="L767">
        <v>1006.66271658525</v>
      </c>
      <c r="M767">
        <v>21.7182137338818</v>
      </c>
      <c r="N767">
        <v>46.5819475863007</v>
      </c>
      <c r="O767">
        <v>45.963481587594401</v>
      </c>
      <c r="P767">
        <v>-0.11210293088748401</v>
      </c>
      <c r="Q767">
        <v>5.1023335977044199E-2</v>
      </c>
      <c r="R767">
        <v>0.99938982579868496</v>
      </c>
      <c r="S767" t="s">
        <v>4396</v>
      </c>
      <c r="T767" t="s">
        <v>7256</v>
      </c>
      <c r="U767" t="s">
        <v>7256</v>
      </c>
      <c r="V767" t="s">
        <v>7256</v>
      </c>
      <c r="W767">
        <v>32</v>
      </c>
      <c r="X767" t="s">
        <v>8023</v>
      </c>
      <c r="Y767">
        <v>0.26381567550739149</v>
      </c>
      <c r="Z767" t="str">
        <f>HYPERLINK("Melting_Curves/meltCurve_sp_P26640_SYVC_HUMAN_.pdf", "Melting_Curves/meltCurve_sp_P26640_SYVC_HUMAN_.pdf")</f>
        <v>Melting_Curves/meltCurve_sp_P26640_SYVC_HUMAN_.pdf</v>
      </c>
      <c r="AA767" t="s">
        <v>11635</v>
      </c>
      <c r="AB767" t="s">
        <v>15193</v>
      </c>
    </row>
    <row r="768" spans="1:28" x14ac:dyDescent="0.25">
      <c r="A768" t="s">
        <v>772</v>
      </c>
      <c r="B768">
        <v>0.98018197421672304</v>
      </c>
      <c r="C768">
        <v>0.89033385720284597</v>
      </c>
      <c r="D768">
        <v>0.79554269515373399</v>
      </c>
      <c r="E768">
        <v>0.50811221627687697</v>
      </c>
      <c r="F768">
        <v>0.16129735536223699</v>
      </c>
      <c r="G768">
        <v>6.3392230398778407E-2</v>
      </c>
      <c r="H768">
        <v>3.6187988489212002E-2</v>
      </c>
      <c r="I768">
        <v>2.8634391863975001E-2</v>
      </c>
      <c r="J768">
        <v>3.5943877606112298E-2</v>
      </c>
      <c r="K768">
        <v>2.3283715888053801E-2</v>
      </c>
      <c r="L768">
        <v>949.93112947991199</v>
      </c>
      <c r="M768">
        <v>19.241007772386901</v>
      </c>
      <c r="N768">
        <v>49.428001538603702</v>
      </c>
      <c r="O768">
        <v>48.846124133679503</v>
      </c>
      <c r="P768">
        <v>-9.7384578704353603E-2</v>
      </c>
      <c r="Q768">
        <v>1.1137259473420501E-2</v>
      </c>
      <c r="R768">
        <v>0.991896548109367</v>
      </c>
      <c r="S768" t="s">
        <v>4397</v>
      </c>
      <c r="T768" t="s">
        <v>7256</v>
      </c>
      <c r="U768" t="s">
        <v>7256</v>
      </c>
      <c r="V768" t="s">
        <v>7256</v>
      </c>
      <c r="W768">
        <v>16</v>
      </c>
      <c r="X768" t="s">
        <v>8024</v>
      </c>
      <c r="Y768">
        <v>0.33491563883105679</v>
      </c>
      <c r="Z768" t="str">
        <f>HYPERLINK("Melting_Curves/meltCurve_sp_P26641_EF1G_HUMAN_.pdf", "Melting_Curves/meltCurve_sp_P26641_EF1G_HUMAN_.pdf")</f>
        <v>Melting_Curves/meltCurve_sp_P26641_EF1G_HUMAN_.pdf</v>
      </c>
      <c r="AA768" t="s">
        <v>11636</v>
      </c>
      <c r="AB768" t="s">
        <v>15194</v>
      </c>
    </row>
    <row r="769" spans="1:28" x14ac:dyDescent="0.25">
      <c r="A769" t="s">
        <v>773</v>
      </c>
      <c r="B769">
        <v>0.98018197421672304</v>
      </c>
      <c r="C769">
        <v>1.0218875237623799</v>
      </c>
      <c r="D769">
        <v>0.97331540938824301</v>
      </c>
      <c r="E769">
        <v>0.81719174728006305</v>
      </c>
      <c r="F769">
        <v>0.80783519726652697</v>
      </c>
      <c r="G769">
        <v>0.63525527085315003</v>
      </c>
      <c r="H769">
        <v>0.41178965339213902</v>
      </c>
      <c r="I769">
        <v>0.34760451964586297</v>
      </c>
      <c r="J769">
        <v>0.27266634467568501</v>
      </c>
      <c r="K769">
        <v>0.24581701461698199</v>
      </c>
      <c r="L769">
        <v>672.45598365372098</v>
      </c>
      <c r="M769">
        <v>11.608108895451201</v>
      </c>
      <c r="N769">
        <v>59.468699078408498</v>
      </c>
      <c r="O769">
        <v>56.290708816071799</v>
      </c>
      <c r="P769">
        <v>-4.4878445671851799E-2</v>
      </c>
      <c r="Q769">
        <v>0.12973000914503799</v>
      </c>
      <c r="R769">
        <v>0.99003905507689505</v>
      </c>
      <c r="S769" t="s">
        <v>4398</v>
      </c>
      <c r="T769" t="s">
        <v>7256</v>
      </c>
      <c r="U769" t="s">
        <v>7256</v>
      </c>
      <c r="V769" t="s">
        <v>7256</v>
      </c>
      <c r="W769">
        <v>6</v>
      </c>
      <c r="X769" t="s">
        <v>8025</v>
      </c>
      <c r="Y769">
        <v>0.66089580910435319</v>
      </c>
      <c r="Z769" t="str">
        <f>HYPERLINK("Melting_Curves/meltCurve_sp_P26885_FKBP2_HUMAN_.pdf", "Melting_Curves/meltCurve_sp_P26885_FKBP2_HUMAN_.pdf")</f>
        <v>Melting_Curves/meltCurve_sp_P26885_FKBP2_HUMAN_.pdf</v>
      </c>
      <c r="AA769" t="s">
        <v>11637</v>
      </c>
      <c r="AB769" t="s">
        <v>15195</v>
      </c>
    </row>
    <row r="770" spans="1:28" x14ac:dyDescent="0.25">
      <c r="A770" t="s">
        <v>774</v>
      </c>
      <c r="B770">
        <v>0.98018197421672304</v>
      </c>
      <c r="C770">
        <v>0.90881375265041398</v>
      </c>
      <c r="D770">
        <v>0.79006236049200795</v>
      </c>
      <c r="E770">
        <v>0.39901512981920301</v>
      </c>
      <c r="F770">
        <v>0.168044910218689</v>
      </c>
      <c r="G770">
        <v>0.110302052513284</v>
      </c>
      <c r="H770">
        <v>7.3233936608099098E-2</v>
      </c>
      <c r="I770">
        <v>6.3069787712307604E-2</v>
      </c>
      <c r="J770">
        <v>6.4095120309916903E-2</v>
      </c>
      <c r="K770">
        <v>4.9436190222027603E-2</v>
      </c>
      <c r="L770">
        <v>1015.19992635028</v>
      </c>
      <c r="M770">
        <v>20.907255409399198</v>
      </c>
      <c r="N770">
        <v>48.833865594362898</v>
      </c>
      <c r="O770">
        <v>48.119623115919602</v>
      </c>
      <c r="P770">
        <v>-0.102559538851574</v>
      </c>
      <c r="Q770">
        <v>5.5831884318192401E-2</v>
      </c>
      <c r="R770">
        <v>0.99800127196673805</v>
      </c>
      <c r="S770" t="s">
        <v>4399</v>
      </c>
      <c r="T770" t="s">
        <v>7256</v>
      </c>
      <c r="U770" t="s">
        <v>7256</v>
      </c>
      <c r="V770" t="s">
        <v>7256</v>
      </c>
      <c r="W770">
        <v>14</v>
      </c>
      <c r="X770" t="s">
        <v>8026</v>
      </c>
      <c r="Y770">
        <v>0.33727239054855412</v>
      </c>
      <c r="Z770" t="str">
        <f>HYPERLINK("Melting_Curves/meltCurve_sp_P27144_KAD4_HUMAN_.pdf", "Melting_Curves/meltCurve_sp_P27144_KAD4_HUMAN_.pdf")</f>
        <v>Melting_Curves/meltCurve_sp_P27144_KAD4_HUMAN_.pdf</v>
      </c>
      <c r="AA770" t="s">
        <v>11638</v>
      </c>
      <c r="AB770" t="s">
        <v>15196</v>
      </c>
    </row>
    <row r="771" spans="1:28" x14ac:dyDescent="0.25">
      <c r="A771" t="s">
        <v>775</v>
      </c>
      <c r="B771">
        <v>0.98018197421672304</v>
      </c>
      <c r="C771">
        <v>0.92084666141161098</v>
      </c>
      <c r="D771">
        <v>0.93620857525755297</v>
      </c>
      <c r="E771">
        <v>0.85024780499969599</v>
      </c>
      <c r="F771">
        <v>0.74019824385461996</v>
      </c>
      <c r="G771">
        <v>0.32209776508725002</v>
      </c>
      <c r="H771">
        <v>9.8399528730176003E-2</v>
      </c>
      <c r="I771">
        <v>6.4802339987134402E-2</v>
      </c>
      <c r="J771">
        <v>6.0347773091688602E-2</v>
      </c>
      <c r="K771">
        <v>4.3677556421293097E-2</v>
      </c>
      <c r="L771">
        <v>1184.7699972603</v>
      </c>
      <c r="M771">
        <v>21.563784493697401</v>
      </c>
      <c r="N771">
        <v>55.068361354968097</v>
      </c>
      <c r="O771">
        <v>54.476620642248101</v>
      </c>
      <c r="P771">
        <v>-9.6583551755204E-2</v>
      </c>
      <c r="Q771">
        <v>2.4026910839364701E-2</v>
      </c>
      <c r="R771">
        <v>0.99095413649660102</v>
      </c>
      <c r="S771" t="s">
        <v>4400</v>
      </c>
      <c r="T771" t="s">
        <v>7256</v>
      </c>
      <c r="U771" t="s">
        <v>7256</v>
      </c>
      <c r="V771" t="s">
        <v>7256</v>
      </c>
      <c r="W771">
        <v>18</v>
      </c>
      <c r="X771" t="s">
        <v>8027</v>
      </c>
      <c r="Y771">
        <v>0.52172421722557971</v>
      </c>
      <c r="Z771" t="str">
        <f>HYPERLINK("Melting_Curves/meltCurve_sp_P27348_1433T_HUMAN_.pdf", "Melting_Curves/meltCurve_sp_P27348_1433T_HUMAN_.pdf")</f>
        <v>Melting_Curves/meltCurve_sp_P27348_1433T_HUMAN_.pdf</v>
      </c>
      <c r="AA771" t="s">
        <v>11639</v>
      </c>
      <c r="AB771" t="s">
        <v>15197</v>
      </c>
    </row>
    <row r="772" spans="1:28" x14ac:dyDescent="0.25">
      <c r="A772" t="s">
        <v>776</v>
      </c>
      <c r="B772">
        <v>0.98018197421672304</v>
      </c>
      <c r="C772">
        <v>0.74972185870964203</v>
      </c>
      <c r="D772">
        <v>1.0283336328646999</v>
      </c>
      <c r="E772">
        <v>0.82407453887839399</v>
      </c>
      <c r="F772">
        <v>0.67428763604352104</v>
      </c>
      <c r="G772">
        <v>0.43329038976001999</v>
      </c>
      <c r="H772">
        <v>0.42810473941405303</v>
      </c>
      <c r="I772">
        <v>0.37703649340025203</v>
      </c>
      <c r="J772">
        <v>0.75070998236987396</v>
      </c>
      <c r="K772">
        <v>0.372178677608969</v>
      </c>
      <c r="L772">
        <v>1539.5825134809299</v>
      </c>
      <c r="M772">
        <v>29.858600221460101</v>
      </c>
      <c r="N772">
        <v>56.931456251461697</v>
      </c>
      <c r="O772">
        <v>51.332798748506399</v>
      </c>
      <c r="P772">
        <v>-7.70607429902853E-2</v>
      </c>
      <c r="Q772">
        <v>0.470073074767902</v>
      </c>
      <c r="R772">
        <v>0.69045045645199499</v>
      </c>
      <c r="S772" t="s">
        <v>4401</v>
      </c>
      <c r="T772" t="s">
        <v>7256</v>
      </c>
      <c r="U772" t="s">
        <v>7256</v>
      </c>
      <c r="V772" t="s">
        <v>7256</v>
      </c>
      <c r="W772">
        <v>1</v>
      </c>
      <c r="X772" t="s">
        <v>8028</v>
      </c>
      <c r="Y772">
        <v>0.67770909153254111</v>
      </c>
      <c r="Z772" t="str">
        <f>HYPERLINK("Melting_Curves/meltCurve_sp_P27487_DPP4_HUMAN_.pdf", "Melting_Curves/meltCurve_sp_P27487_DPP4_HUMAN_.pdf")</f>
        <v>Melting_Curves/meltCurve_sp_P27487_DPP4_HUMAN_.pdf</v>
      </c>
      <c r="AA772" t="s">
        <v>11640</v>
      </c>
      <c r="AB772" t="s">
        <v>15198</v>
      </c>
    </row>
    <row r="773" spans="1:28" x14ac:dyDescent="0.25">
      <c r="A773" t="s">
        <v>777</v>
      </c>
      <c r="B773">
        <v>0.98018197421672304</v>
      </c>
      <c r="C773">
        <v>0.94672912530404696</v>
      </c>
      <c r="D773">
        <v>0.91709261514787099</v>
      </c>
      <c r="E773">
        <v>0.74755836167476397</v>
      </c>
      <c r="F773">
        <v>0.47830861123456297</v>
      </c>
      <c r="G773">
        <v>0.154444845363262</v>
      </c>
      <c r="H773">
        <v>7.78150549084239E-2</v>
      </c>
      <c r="I773">
        <v>6.0462337029326803E-2</v>
      </c>
      <c r="J773">
        <v>7.3893848329040598E-2</v>
      </c>
      <c r="K773">
        <v>5.65697868952394E-2</v>
      </c>
      <c r="L773">
        <v>1121.1892552172201</v>
      </c>
      <c r="M773">
        <v>21.428876129949</v>
      </c>
      <c r="N773">
        <v>52.551577224486898</v>
      </c>
      <c r="O773">
        <v>51.872165466853602</v>
      </c>
      <c r="P773">
        <v>-9.8653599186280194E-2</v>
      </c>
      <c r="Q773">
        <v>4.4793776392009502E-2</v>
      </c>
      <c r="R773">
        <v>0.99630197029803103</v>
      </c>
      <c r="S773" t="s">
        <v>4402</v>
      </c>
      <c r="T773" t="s">
        <v>7256</v>
      </c>
      <c r="U773" t="s">
        <v>7256</v>
      </c>
      <c r="V773" t="s">
        <v>7256</v>
      </c>
      <c r="W773">
        <v>15</v>
      </c>
      <c r="X773" t="s">
        <v>8029</v>
      </c>
      <c r="Y773">
        <v>0.4487736444150196</v>
      </c>
      <c r="Z773" t="str">
        <f>HYPERLINK("Melting_Curves/meltCurve_sp_P27694_RFA1_HUMAN_.pdf", "Melting_Curves/meltCurve_sp_P27694_RFA1_HUMAN_.pdf")</f>
        <v>Melting_Curves/meltCurve_sp_P27694_RFA1_HUMAN_.pdf</v>
      </c>
      <c r="AA773" t="s">
        <v>11641</v>
      </c>
      <c r="AB773" t="s">
        <v>15199</v>
      </c>
    </row>
    <row r="774" spans="1:28" x14ac:dyDescent="0.25">
      <c r="A774" t="s">
        <v>778</v>
      </c>
      <c r="B774">
        <v>0.98018197421672304</v>
      </c>
      <c r="C774">
        <v>0.968628989216053</v>
      </c>
      <c r="D774">
        <v>0.92127715925239695</v>
      </c>
      <c r="E774">
        <v>0.300875213361121</v>
      </c>
      <c r="F774">
        <v>0.108084202399683</v>
      </c>
      <c r="G774">
        <v>6.8419535947665797E-2</v>
      </c>
      <c r="H774">
        <v>4.8970342174945898E-2</v>
      </c>
      <c r="I774">
        <v>4.1976659013632199E-2</v>
      </c>
      <c r="J774">
        <v>3.9733264330947399E-2</v>
      </c>
      <c r="K774">
        <v>3.4041551300292197E-2</v>
      </c>
      <c r="L774">
        <v>1867.9813479791101</v>
      </c>
      <c r="M774">
        <v>38.336307130016699</v>
      </c>
      <c r="N774">
        <v>48.855711413996303</v>
      </c>
      <c r="O774">
        <v>48.594150411595997</v>
      </c>
      <c r="P774">
        <v>-0.18769604497515699</v>
      </c>
      <c r="Q774">
        <v>4.8326992818795197E-2</v>
      </c>
      <c r="R774">
        <v>0.99867053559504604</v>
      </c>
      <c r="S774" t="s">
        <v>4403</v>
      </c>
      <c r="T774" t="s">
        <v>7256</v>
      </c>
      <c r="U774" t="s">
        <v>7256</v>
      </c>
      <c r="V774" t="s">
        <v>7256</v>
      </c>
      <c r="W774">
        <v>8</v>
      </c>
      <c r="X774" t="s">
        <v>8030</v>
      </c>
      <c r="Y774">
        <v>0.32864091361378239</v>
      </c>
      <c r="Z774" t="str">
        <f>HYPERLINK("Melting_Curves/meltCurve_sp_P27695_APEX1_HUMAN_.pdf", "Melting_Curves/meltCurve_sp_P27695_APEX1_HUMAN_.pdf")</f>
        <v>Melting_Curves/meltCurve_sp_P27695_APEX1_HUMAN_.pdf</v>
      </c>
      <c r="AA774" t="s">
        <v>11642</v>
      </c>
      <c r="AB774" t="s">
        <v>15200</v>
      </c>
    </row>
    <row r="775" spans="1:28" x14ac:dyDescent="0.25">
      <c r="A775" t="s">
        <v>779</v>
      </c>
      <c r="B775">
        <v>0.98018197421672304</v>
      </c>
      <c r="C775">
        <v>0.93347480007591099</v>
      </c>
      <c r="D775">
        <v>0.89894960853375805</v>
      </c>
      <c r="E775">
        <v>0.62600147106759896</v>
      </c>
      <c r="F775">
        <v>0.44540651526743902</v>
      </c>
      <c r="G775">
        <v>0.27362904049521802</v>
      </c>
      <c r="H775">
        <v>0.15778247031352899</v>
      </c>
      <c r="I775">
        <v>0.14831075250637801</v>
      </c>
      <c r="J775">
        <v>0.14267650377143701</v>
      </c>
      <c r="K775">
        <v>0.159957555436675</v>
      </c>
      <c r="L775">
        <v>834.49019345000897</v>
      </c>
      <c r="M775">
        <v>16.338439325137202</v>
      </c>
      <c r="N775">
        <v>52.003544814458898</v>
      </c>
      <c r="O775">
        <v>50.3285213055348</v>
      </c>
      <c r="P775">
        <v>-7.0898865685094695E-2</v>
      </c>
      <c r="Q775">
        <v>0.12648276367703901</v>
      </c>
      <c r="R775">
        <v>0.99719964859729904</v>
      </c>
      <c r="S775" t="s">
        <v>4404</v>
      </c>
      <c r="T775" t="s">
        <v>7256</v>
      </c>
      <c r="U775" t="s">
        <v>7256</v>
      </c>
      <c r="V775" t="s">
        <v>7256</v>
      </c>
      <c r="W775">
        <v>17</v>
      </c>
      <c r="X775" t="s">
        <v>8031</v>
      </c>
      <c r="Y775">
        <v>0.46640096969557282</v>
      </c>
      <c r="Z775" t="str">
        <f>HYPERLINK("Melting_Curves/meltCurve_sp_P27797_CALR_HUMAN_.pdf", "Melting_Curves/meltCurve_sp_P27797_CALR_HUMAN_.pdf")</f>
        <v>Melting_Curves/meltCurve_sp_P27797_CALR_HUMAN_.pdf</v>
      </c>
      <c r="AA775" t="s">
        <v>11643</v>
      </c>
      <c r="AB775" t="s">
        <v>15201</v>
      </c>
    </row>
    <row r="776" spans="1:28" x14ac:dyDescent="0.25">
      <c r="A776" t="s">
        <v>780</v>
      </c>
      <c r="B776">
        <v>0.98018197421672304</v>
      </c>
      <c r="C776">
        <v>1.0109708548591301</v>
      </c>
      <c r="D776">
        <v>0.99868352541514704</v>
      </c>
      <c r="E776">
        <v>0.89158407812082796</v>
      </c>
      <c r="F776">
        <v>0.86725848462537003</v>
      </c>
      <c r="G776">
        <v>0.70193491734483604</v>
      </c>
      <c r="H776">
        <v>0.61564619532503795</v>
      </c>
      <c r="I776">
        <v>0.68282699383079004</v>
      </c>
      <c r="J776">
        <v>0.723216349116936</v>
      </c>
      <c r="K776">
        <v>0.86269538397608603</v>
      </c>
      <c r="L776">
        <v>1457.6259289554901</v>
      </c>
      <c r="M776">
        <v>28.065084339304502</v>
      </c>
      <c r="O776">
        <v>51.675790939073899</v>
      </c>
      <c r="P776">
        <v>-3.84539890918809E-2</v>
      </c>
      <c r="Q776">
        <v>0.71678351892363801</v>
      </c>
      <c r="R776">
        <v>0.78857232396599097</v>
      </c>
      <c r="S776" t="s">
        <v>4405</v>
      </c>
      <c r="T776" t="s">
        <v>7256</v>
      </c>
      <c r="U776" t="s">
        <v>7256</v>
      </c>
      <c r="V776" t="s">
        <v>7256</v>
      </c>
      <c r="W776">
        <v>43</v>
      </c>
      <c r="X776" t="s">
        <v>8032</v>
      </c>
      <c r="Y776">
        <v>0.83154100880405979</v>
      </c>
      <c r="Z776" t="str">
        <f>HYPERLINK("Melting_Curves/meltCurve_sp_P27816_6_MAP4_HUMAN_.pdf", "Melting_Curves/meltCurve_sp_P27816_6_MAP4_HUMAN_.pdf")</f>
        <v>Melting_Curves/meltCurve_sp_P27816_6_MAP4_HUMAN_.pdf</v>
      </c>
      <c r="AA776" t="s">
        <v>11644</v>
      </c>
      <c r="AB776" t="s">
        <v>15202</v>
      </c>
    </row>
    <row r="777" spans="1:28" x14ac:dyDescent="0.25">
      <c r="A777" t="s">
        <v>781</v>
      </c>
      <c r="B777">
        <v>0.98018197421672304</v>
      </c>
      <c r="C777">
        <v>0.990139456660457</v>
      </c>
      <c r="D777">
        <v>0.94093893503095505</v>
      </c>
      <c r="E777">
        <v>0.69890534116196501</v>
      </c>
      <c r="F777">
        <v>0.406424940745781</v>
      </c>
      <c r="G777">
        <v>0.25220672617864498</v>
      </c>
      <c r="H777">
        <v>0.14766827354951001</v>
      </c>
      <c r="I777">
        <v>0.148337034175065</v>
      </c>
      <c r="J777">
        <v>0.11351887317786</v>
      </c>
      <c r="K777">
        <v>0.10342798157458501</v>
      </c>
      <c r="L777">
        <v>1065.9557595188301</v>
      </c>
      <c r="M777">
        <v>20.702137321895801</v>
      </c>
      <c r="N777">
        <v>52.160394691684701</v>
      </c>
      <c r="O777">
        <v>51.016926826388101</v>
      </c>
      <c r="P777">
        <v>-8.9601985230193595E-2</v>
      </c>
      <c r="Q777">
        <v>0.11678946715534901</v>
      </c>
      <c r="R777">
        <v>0.99794206726513501</v>
      </c>
      <c r="S777" t="s">
        <v>4406</v>
      </c>
      <c r="T777" t="s">
        <v>7256</v>
      </c>
      <c r="U777" t="s">
        <v>7256</v>
      </c>
      <c r="V777" t="s">
        <v>7256</v>
      </c>
      <c r="W777">
        <v>7</v>
      </c>
      <c r="X777" t="s">
        <v>8033</v>
      </c>
      <c r="Y777">
        <v>0.46655245372895088</v>
      </c>
      <c r="Z777" t="str">
        <f>HYPERLINK("Melting_Curves/meltCurve_sp_P27986_P85A_HUMAN_.pdf", "Melting_Curves/meltCurve_sp_P27986_P85A_HUMAN_.pdf")</f>
        <v>Melting_Curves/meltCurve_sp_P27986_P85A_HUMAN_.pdf</v>
      </c>
      <c r="AA777" t="s">
        <v>11645</v>
      </c>
      <c r="AB777" t="s">
        <v>15203</v>
      </c>
    </row>
    <row r="778" spans="1:28" x14ac:dyDescent="0.25">
      <c r="A778" t="s">
        <v>782</v>
      </c>
      <c r="B778">
        <v>0.98018197421672304</v>
      </c>
      <c r="C778">
        <v>0.965445428361978</v>
      </c>
      <c r="D778">
        <v>0.87185758243061096</v>
      </c>
      <c r="E778">
        <v>0.74773227573935397</v>
      </c>
      <c r="F778">
        <v>0.64754208518263601</v>
      </c>
      <c r="G778">
        <v>0.47593931394387101</v>
      </c>
      <c r="H778">
        <v>0.348929532583723</v>
      </c>
      <c r="I778">
        <v>0.357463426922351</v>
      </c>
      <c r="J778">
        <v>0.28580219175917598</v>
      </c>
      <c r="K778">
        <v>0.243857356248633</v>
      </c>
      <c r="L778">
        <v>566.24606638935302</v>
      </c>
      <c r="M778">
        <v>10.505370452743801</v>
      </c>
      <c r="N778">
        <v>56.4960104172104</v>
      </c>
      <c r="O778">
        <v>52.0574133308969</v>
      </c>
      <c r="P778">
        <v>-4.081029885042E-2</v>
      </c>
      <c r="Q778">
        <v>0.191414154493497</v>
      </c>
      <c r="R778">
        <v>0.99588783235943301</v>
      </c>
      <c r="S778" t="s">
        <v>4407</v>
      </c>
      <c r="T778" t="s">
        <v>7256</v>
      </c>
      <c r="U778" t="s">
        <v>7256</v>
      </c>
      <c r="V778" t="s">
        <v>7256</v>
      </c>
      <c r="W778">
        <v>8</v>
      </c>
      <c r="X778" t="s">
        <v>8034</v>
      </c>
      <c r="Y778">
        <v>0.58995710084038344</v>
      </c>
      <c r="Z778" t="str">
        <f>HYPERLINK("Melting_Curves/meltCurve_sp_P28062_2_PSB8_HUMAN_.pdf", "Melting_Curves/meltCurve_sp_P28062_2_PSB8_HUMAN_.pdf")</f>
        <v>Melting_Curves/meltCurve_sp_P28062_2_PSB8_HUMAN_.pdf</v>
      </c>
      <c r="AA778" t="s">
        <v>11646</v>
      </c>
      <c r="AB778" t="s">
        <v>15204</v>
      </c>
    </row>
    <row r="779" spans="1:28" x14ac:dyDescent="0.25">
      <c r="A779" t="s">
        <v>783</v>
      </c>
      <c r="B779">
        <v>0.98018197421672304</v>
      </c>
      <c r="C779">
        <v>0.96515385085254002</v>
      </c>
      <c r="D779">
        <v>0.89338180772376796</v>
      </c>
      <c r="E779">
        <v>0.80154424825361203</v>
      </c>
      <c r="F779">
        <v>0.69745367333994801</v>
      </c>
      <c r="G779">
        <v>0.53374137222157503</v>
      </c>
      <c r="H779">
        <v>0.42040955268850999</v>
      </c>
      <c r="I779">
        <v>0.42946822092041298</v>
      </c>
      <c r="J779">
        <v>0.35497834428174202</v>
      </c>
      <c r="K779">
        <v>0.27914818505045402</v>
      </c>
      <c r="L779">
        <v>535.12908064218095</v>
      </c>
      <c r="M779">
        <v>9.6766041635938596</v>
      </c>
      <c r="N779">
        <v>58.780018728697101</v>
      </c>
      <c r="O779">
        <v>53.094459037701597</v>
      </c>
      <c r="P779">
        <v>-3.5650348669669499E-2</v>
      </c>
      <c r="Q779">
        <v>0.217993096673431</v>
      </c>
      <c r="R779">
        <v>0.99297136013910803</v>
      </c>
      <c r="S779" t="s">
        <v>4408</v>
      </c>
      <c r="T779" t="s">
        <v>7256</v>
      </c>
      <c r="U779" t="s">
        <v>7256</v>
      </c>
      <c r="V779" t="s">
        <v>7256</v>
      </c>
      <c r="W779">
        <v>9</v>
      </c>
      <c r="X779" t="s">
        <v>8035</v>
      </c>
      <c r="Y779">
        <v>0.63615846499730644</v>
      </c>
      <c r="Z779" t="str">
        <f>HYPERLINK("Melting_Curves/meltCurve_sp_P28066_PSA5_HUMAN_.pdf", "Melting_Curves/meltCurve_sp_P28066_PSA5_HUMAN_.pdf")</f>
        <v>Melting_Curves/meltCurve_sp_P28066_PSA5_HUMAN_.pdf</v>
      </c>
      <c r="AA779" t="s">
        <v>11647</v>
      </c>
      <c r="AB779" t="s">
        <v>15205</v>
      </c>
    </row>
    <row r="780" spans="1:28" x14ac:dyDescent="0.25">
      <c r="A780" t="s">
        <v>784</v>
      </c>
      <c r="B780">
        <v>0.98018197421672304</v>
      </c>
      <c r="C780">
        <v>0.95756916727310104</v>
      </c>
      <c r="D780">
        <v>0.95198049986571598</v>
      </c>
      <c r="E780">
        <v>0.87542420288248801</v>
      </c>
      <c r="F780">
        <v>0.83244640732557695</v>
      </c>
      <c r="G780">
        <v>0.69267481326005598</v>
      </c>
      <c r="H780">
        <v>0.54341305323398503</v>
      </c>
      <c r="I780">
        <v>0.52594287450489197</v>
      </c>
      <c r="J780">
        <v>0.49784839439995598</v>
      </c>
      <c r="K780">
        <v>0.34727299561674202</v>
      </c>
      <c r="L780">
        <v>472.94596464010601</v>
      </c>
      <c r="M780">
        <v>7.6548512821738397</v>
      </c>
      <c r="N780">
        <v>64.396883557212107</v>
      </c>
      <c r="O780">
        <v>57.9909035807907</v>
      </c>
      <c r="P780">
        <v>-2.86327466786255E-2</v>
      </c>
      <c r="Q780">
        <v>0.133501782861394</v>
      </c>
      <c r="R780">
        <v>0.98361279753356201</v>
      </c>
      <c r="S780" t="s">
        <v>4409</v>
      </c>
      <c r="T780" t="s">
        <v>7256</v>
      </c>
      <c r="U780" t="s">
        <v>7256</v>
      </c>
      <c r="V780" t="s">
        <v>7256</v>
      </c>
      <c r="W780">
        <v>6</v>
      </c>
      <c r="X780" t="s">
        <v>8036</v>
      </c>
      <c r="Y780">
        <v>0.73004952939258017</v>
      </c>
      <c r="Z780" t="str">
        <f>HYPERLINK("Melting_Curves/meltCurve_sp_P28070_PSB4_HUMAN_.pdf", "Melting_Curves/meltCurve_sp_P28070_PSB4_HUMAN_.pdf")</f>
        <v>Melting_Curves/meltCurve_sp_P28070_PSB4_HUMAN_.pdf</v>
      </c>
      <c r="AA780" t="s">
        <v>11648</v>
      </c>
      <c r="AB780" t="s">
        <v>15206</v>
      </c>
    </row>
    <row r="781" spans="1:28" x14ac:dyDescent="0.25">
      <c r="A781" t="s">
        <v>785</v>
      </c>
      <c r="B781">
        <v>0.98018197421672304</v>
      </c>
      <c r="C781">
        <v>0.939862721192539</v>
      </c>
      <c r="D781">
        <v>0.91947408512764595</v>
      </c>
      <c r="E781">
        <v>0.84082429069300402</v>
      </c>
      <c r="F781">
        <v>0.77399564160710199</v>
      </c>
      <c r="G781">
        <v>0.63453076477333503</v>
      </c>
      <c r="H781">
        <v>0.51458564095804105</v>
      </c>
      <c r="I781">
        <v>0.50813335781312097</v>
      </c>
      <c r="J781">
        <v>0.42252434073302297</v>
      </c>
      <c r="K781">
        <v>0.40616171876629997</v>
      </c>
      <c r="L781">
        <v>496.40976242202902</v>
      </c>
      <c r="M781">
        <v>8.7047846944363894</v>
      </c>
      <c r="N781">
        <v>62.991732769626502</v>
      </c>
      <c r="O781">
        <v>54.2574480645685</v>
      </c>
      <c r="P781">
        <v>-2.8873404566913799E-2</v>
      </c>
      <c r="Q781">
        <v>0.28071383438318398</v>
      </c>
      <c r="R781">
        <v>0.99444211302452001</v>
      </c>
      <c r="S781" t="s">
        <v>4410</v>
      </c>
      <c r="T781" t="s">
        <v>7256</v>
      </c>
      <c r="U781" t="s">
        <v>7256</v>
      </c>
      <c r="V781" t="s">
        <v>7256</v>
      </c>
      <c r="W781">
        <v>8</v>
      </c>
      <c r="X781" t="s">
        <v>8037</v>
      </c>
      <c r="Y781">
        <v>0.69871830898858944</v>
      </c>
      <c r="Z781" t="str">
        <f>HYPERLINK("Melting_Curves/meltCurve_sp_P28072_PSB6_HUMAN_.pdf", "Melting_Curves/meltCurve_sp_P28072_PSB6_HUMAN_.pdf")</f>
        <v>Melting_Curves/meltCurve_sp_P28072_PSB6_HUMAN_.pdf</v>
      </c>
      <c r="AA781" t="s">
        <v>11649</v>
      </c>
      <c r="AB781" t="s">
        <v>15207</v>
      </c>
    </row>
    <row r="782" spans="1:28" x14ac:dyDescent="0.25">
      <c r="A782" t="s">
        <v>786</v>
      </c>
      <c r="B782">
        <v>0.98018197421672304</v>
      </c>
      <c r="C782">
        <v>0.97428983433480099</v>
      </c>
      <c r="D782">
        <v>0.85076326628232601</v>
      </c>
      <c r="E782">
        <v>0.77872388831129802</v>
      </c>
      <c r="F782">
        <v>0.69867039518163898</v>
      </c>
      <c r="G782">
        <v>0.56530941766148302</v>
      </c>
      <c r="H782">
        <v>0.44643291457581802</v>
      </c>
      <c r="I782">
        <v>0.454788332082319</v>
      </c>
      <c r="J782">
        <v>0.37495511605444598</v>
      </c>
      <c r="K782">
        <v>0.29121309012357499</v>
      </c>
      <c r="L782">
        <v>439.262803671759</v>
      </c>
      <c r="M782">
        <v>7.7500279983715403</v>
      </c>
      <c r="N782">
        <v>59.787623026123697</v>
      </c>
      <c r="O782">
        <v>53.276047792377902</v>
      </c>
      <c r="P782">
        <v>-3.0374938405642302E-2</v>
      </c>
      <c r="Q782">
        <v>0.165835772571719</v>
      </c>
      <c r="R782">
        <v>0.98850499698470295</v>
      </c>
      <c r="S782" t="s">
        <v>4411</v>
      </c>
      <c r="T782" t="s">
        <v>7256</v>
      </c>
      <c r="U782" t="s">
        <v>7256</v>
      </c>
      <c r="V782" t="s">
        <v>7256</v>
      </c>
      <c r="W782">
        <v>10</v>
      </c>
      <c r="X782" t="s">
        <v>8038</v>
      </c>
      <c r="Y782">
        <v>0.64120564351872411</v>
      </c>
      <c r="Z782" t="str">
        <f>HYPERLINK("Melting_Curves/meltCurve_sp_P28074_PSB5_HUMAN_.pdf", "Melting_Curves/meltCurve_sp_P28074_PSB5_HUMAN_.pdf")</f>
        <v>Melting_Curves/meltCurve_sp_P28074_PSB5_HUMAN_.pdf</v>
      </c>
      <c r="AA782" t="s">
        <v>11650</v>
      </c>
      <c r="AB782" t="s">
        <v>15208</v>
      </c>
    </row>
    <row r="783" spans="1:28" x14ac:dyDescent="0.25">
      <c r="A783" t="s">
        <v>787</v>
      </c>
      <c r="B783">
        <v>0.98018197421672304</v>
      </c>
      <c r="C783">
        <v>1.0923138082264201</v>
      </c>
      <c r="D783">
        <v>0.842926630420051</v>
      </c>
      <c r="E783">
        <v>0.51698377035375798</v>
      </c>
      <c r="F783">
        <v>0.21889014995924</v>
      </c>
      <c r="G783">
        <v>7.4722223443974001E-2</v>
      </c>
      <c r="H783">
        <v>7.5715437177112294E-2</v>
      </c>
      <c r="I783">
        <v>8.2184622747881894E-2</v>
      </c>
      <c r="J783">
        <v>5.6602846537387203E-2</v>
      </c>
      <c r="K783">
        <v>5.2929562971138801E-2</v>
      </c>
      <c r="L783">
        <v>1245.37950649596</v>
      </c>
      <c r="M783">
        <v>25.036989371447099</v>
      </c>
      <c r="N783">
        <v>49.989494688388397</v>
      </c>
      <c r="O783">
        <v>49.427514568988599</v>
      </c>
      <c r="P783">
        <v>-0.11924318940492699</v>
      </c>
      <c r="Q783">
        <v>5.8382721388395703E-2</v>
      </c>
      <c r="R783">
        <v>0.99008892297583495</v>
      </c>
      <c r="S783" t="s">
        <v>4412</v>
      </c>
      <c r="T783" t="s">
        <v>7256</v>
      </c>
      <c r="U783" t="s">
        <v>7256</v>
      </c>
      <c r="V783" t="s">
        <v>7256</v>
      </c>
      <c r="W783">
        <v>5</v>
      </c>
      <c r="X783" t="s">
        <v>8039</v>
      </c>
      <c r="Y783">
        <v>0.37251368248044869</v>
      </c>
      <c r="Z783" t="str">
        <f>HYPERLINK("Melting_Curves/meltCurve_sp_P28289_TMOD1_HUMAN_.pdf", "Melting_Curves/meltCurve_sp_P28289_TMOD1_HUMAN_.pdf")</f>
        <v>Melting_Curves/meltCurve_sp_P28289_TMOD1_HUMAN_.pdf</v>
      </c>
      <c r="AA783" t="s">
        <v>11651</v>
      </c>
      <c r="AB783" t="s">
        <v>15209</v>
      </c>
    </row>
    <row r="784" spans="1:28" x14ac:dyDescent="0.25">
      <c r="A784" t="s">
        <v>788</v>
      </c>
      <c r="B784">
        <v>0.98018197421672304</v>
      </c>
      <c r="C784">
        <v>0.97378881290821995</v>
      </c>
      <c r="D784">
        <v>0.90079739449879004</v>
      </c>
      <c r="E784">
        <v>0.82933144593724495</v>
      </c>
      <c r="F784">
        <v>0.680602601959447</v>
      </c>
      <c r="G784">
        <v>0.46262107311573197</v>
      </c>
      <c r="H784">
        <v>0.195594610336988</v>
      </c>
      <c r="I784">
        <v>0.14429100528150601</v>
      </c>
      <c r="J784">
        <v>0.11217130138685601</v>
      </c>
      <c r="K784">
        <v>8.5090435867636594E-2</v>
      </c>
      <c r="L784">
        <v>754.80928949636802</v>
      </c>
      <c r="M784">
        <v>13.5467015999031</v>
      </c>
      <c r="N784">
        <v>55.796273979346303</v>
      </c>
      <c r="O784">
        <v>54.546895442865399</v>
      </c>
      <c r="P784">
        <v>-6.1520035228166098E-2</v>
      </c>
      <c r="Q784">
        <v>9.2872680369974793E-3</v>
      </c>
      <c r="R784">
        <v>0.99501265197948197</v>
      </c>
      <c r="S784" t="s">
        <v>4413</v>
      </c>
      <c r="T784" t="s">
        <v>7256</v>
      </c>
      <c r="U784" t="s">
        <v>7256</v>
      </c>
      <c r="V784" t="s">
        <v>7256</v>
      </c>
      <c r="W784">
        <v>15</v>
      </c>
      <c r="X784" t="s">
        <v>8040</v>
      </c>
      <c r="Y784">
        <v>0.54799775185439115</v>
      </c>
      <c r="Z784" t="str">
        <f>HYPERLINK("Melting_Curves/meltCurve_sp_P28330_ACADL_HUMAN_.pdf", "Melting_Curves/meltCurve_sp_P28330_ACADL_HUMAN_.pdf")</f>
        <v>Melting_Curves/meltCurve_sp_P28330_ACADL_HUMAN_.pdf</v>
      </c>
      <c r="AA784" t="s">
        <v>11652</v>
      </c>
      <c r="AB784" t="s">
        <v>15210</v>
      </c>
    </row>
    <row r="785" spans="1:28" x14ac:dyDescent="0.25">
      <c r="A785" t="s">
        <v>789</v>
      </c>
      <c r="B785">
        <v>0.98018197421672304</v>
      </c>
      <c r="C785">
        <v>0.90401760907136397</v>
      </c>
      <c r="D785">
        <v>0.75904696379199399</v>
      </c>
      <c r="E785">
        <v>0.33575671754724401</v>
      </c>
      <c r="F785">
        <v>0.15704132447271901</v>
      </c>
      <c r="G785">
        <v>0.106057116023228</v>
      </c>
      <c r="H785">
        <v>6.0995106260511502E-2</v>
      </c>
      <c r="I785">
        <v>5.0982127676675398E-2</v>
      </c>
      <c r="J785">
        <v>6.7558146781504305E-2</v>
      </c>
      <c r="K785">
        <v>5.2748968147963399E-2</v>
      </c>
      <c r="L785">
        <v>1033.07995027846</v>
      </c>
      <c r="M785">
        <v>21.494128467277399</v>
      </c>
      <c r="N785">
        <v>48.328573460845</v>
      </c>
      <c r="O785">
        <v>47.653127697961501</v>
      </c>
      <c r="P785">
        <v>-0.10649236099618101</v>
      </c>
      <c r="Q785">
        <v>5.5636078091675298E-2</v>
      </c>
      <c r="R785">
        <v>0.99841582044294697</v>
      </c>
      <c r="S785" t="s">
        <v>4414</v>
      </c>
      <c r="T785" t="s">
        <v>7256</v>
      </c>
      <c r="U785" t="s">
        <v>7256</v>
      </c>
      <c r="V785" t="s">
        <v>7256</v>
      </c>
      <c r="W785">
        <v>17</v>
      </c>
      <c r="X785" t="s">
        <v>8041</v>
      </c>
      <c r="Y785">
        <v>0.32096540047708011</v>
      </c>
      <c r="Z785" t="str">
        <f>HYPERLINK("Melting_Curves/meltCurve_sp_P28331_NDUS1_HUMAN_.pdf", "Melting_Curves/meltCurve_sp_P28331_NDUS1_HUMAN_.pdf")</f>
        <v>Melting_Curves/meltCurve_sp_P28331_NDUS1_HUMAN_.pdf</v>
      </c>
      <c r="AA785" t="s">
        <v>11653</v>
      </c>
      <c r="AB785" t="s">
        <v>15211</v>
      </c>
    </row>
    <row r="786" spans="1:28" x14ac:dyDescent="0.25">
      <c r="A786" t="s">
        <v>790</v>
      </c>
      <c r="B786">
        <v>0.98018197421672304</v>
      </c>
      <c r="C786">
        <v>0.980876099807099</v>
      </c>
      <c r="D786">
        <v>0.95750505282203202</v>
      </c>
      <c r="E786">
        <v>0.85046866077195205</v>
      </c>
      <c r="F786">
        <v>0.79580111775090001</v>
      </c>
      <c r="G786">
        <v>0.68578363463472902</v>
      </c>
      <c r="H786">
        <v>0.50146510697635105</v>
      </c>
      <c r="I786">
        <v>0.47895632820633599</v>
      </c>
      <c r="J786">
        <v>0.411539250793235</v>
      </c>
      <c r="K786">
        <v>0.28475232642885601</v>
      </c>
      <c r="L786">
        <v>477.52170137391403</v>
      </c>
      <c r="M786">
        <v>7.6904647455339497</v>
      </c>
      <c r="N786">
        <v>62.465554024259603</v>
      </c>
      <c r="O786">
        <v>58.3125653713129</v>
      </c>
      <c r="P786">
        <v>-3.2273443423039401E-2</v>
      </c>
      <c r="Q786">
        <v>2.2433361104136899E-2</v>
      </c>
      <c r="R786">
        <v>0.99104667588031703</v>
      </c>
      <c r="S786" t="s">
        <v>4415</v>
      </c>
      <c r="T786" t="s">
        <v>7256</v>
      </c>
      <c r="U786" t="s">
        <v>7256</v>
      </c>
      <c r="V786" t="s">
        <v>7256</v>
      </c>
      <c r="W786">
        <v>16</v>
      </c>
      <c r="X786" t="s">
        <v>8042</v>
      </c>
      <c r="Y786">
        <v>0.70226058180381667</v>
      </c>
      <c r="Z786" t="str">
        <f>HYPERLINK("Melting_Curves/meltCurve_sp_P28332_ADH6_HUMAN_.pdf", "Melting_Curves/meltCurve_sp_P28332_ADH6_HUMAN_.pdf")</f>
        <v>Melting_Curves/meltCurve_sp_P28332_ADH6_HUMAN_.pdf</v>
      </c>
      <c r="AA786" t="s">
        <v>11654</v>
      </c>
      <c r="AB786" t="s">
        <v>15212</v>
      </c>
    </row>
    <row r="787" spans="1:28" x14ac:dyDescent="0.25">
      <c r="A787" t="s">
        <v>791</v>
      </c>
      <c r="B787">
        <v>0.98018197421672304</v>
      </c>
      <c r="C787">
        <v>0.83236373868353297</v>
      </c>
      <c r="D787">
        <v>0.79296414931887704</v>
      </c>
      <c r="E787">
        <v>0.64172960007221702</v>
      </c>
      <c r="F787">
        <v>0.46626445736981498</v>
      </c>
      <c r="G787">
        <v>0.31254558532721299</v>
      </c>
      <c r="H787">
        <v>0.16210673986178001</v>
      </c>
      <c r="I787">
        <v>6.9648556993506805E-2</v>
      </c>
      <c r="J787">
        <v>9.31908377489548E-2</v>
      </c>
      <c r="K787">
        <v>3.8295418149396299E-2</v>
      </c>
      <c r="L787">
        <v>553.41210258868796</v>
      </c>
      <c r="M787">
        <v>10.621251395548899</v>
      </c>
      <c r="N787">
        <v>52.1042200372707</v>
      </c>
      <c r="O787">
        <v>50.358993510007998</v>
      </c>
      <c r="P787">
        <v>-5.2748039859050598E-2</v>
      </c>
      <c r="Q787">
        <v>0</v>
      </c>
      <c r="R787">
        <v>0.989869265767227</v>
      </c>
      <c r="S787" t="s">
        <v>4416</v>
      </c>
      <c r="T787" t="s">
        <v>7256</v>
      </c>
      <c r="U787" t="s">
        <v>7256</v>
      </c>
      <c r="V787" t="s">
        <v>7256</v>
      </c>
      <c r="W787">
        <v>4</v>
      </c>
      <c r="X787" t="s">
        <v>8043</v>
      </c>
      <c r="Y787">
        <v>0.43865085606026771</v>
      </c>
      <c r="Z787" t="str">
        <f>HYPERLINK("Melting_Curves/meltCurve_sp_P28340_DPOD1_HUMAN_.pdf", "Melting_Curves/meltCurve_sp_P28340_DPOD1_HUMAN_.pdf")</f>
        <v>Melting_Curves/meltCurve_sp_P28340_DPOD1_HUMAN_.pdf</v>
      </c>
      <c r="AA787" t="s">
        <v>11655</v>
      </c>
      <c r="AB787" t="s">
        <v>15213</v>
      </c>
    </row>
    <row r="788" spans="1:28" x14ac:dyDescent="0.25">
      <c r="A788" t="s">
        <v>792</v>
      </c>
      <c r="B788">
        <v>0.98018197421672304</v>
      </c>
      <c r="C788">
        <v>1.0498895974648199</v>
      </c>
      <c r="D788">
        <v>0.93435357009824405</v>
      </c>
      <c r="E788">
        <v>0.82284511059697496</v>
      </c>
      <c r="F788">
        <v>0.618963004306197</v>
      </c>
      <c r="G788">
        <v>0.25263961884647301</v>
      </c>
      <c r="H788">
        <v>0.108400920601287</v>
      </c>
      <c r="I788">
        <v>6.6402951490854706E-2</v>
      </c>
      <c r="J788">
        <v>0.104777622360701</v>
      </c>
      <c r="K788">
        <v>3.9912722111126599E-2</v>
      </c>
      <c r="L788">
        <v>1140.09149812338</v>
      </c>
      <c r="M788">
        <v>21.215680857867799</v>
      </c>
      <c r="N788">
        <v>53.998699756448801</v>
      </c>
      <c r="O788">
        <v>53.267545396130203</v>
      </c>
      <c r="P788">
        <v>-9.4729536053747801E-2</v>
      </c>
      <c r="Q788">
        <v>4.8650862707686898E-2</v>
      </c>
      <c r="R788">
        <v>0.99488934893803205</v>
      </c>
      <c r="S788" t="s">
        <v>4417</v>
      </c>
      <c r="T788" t="s">
        <v>7256</v>
      </c>
      <c r="U788" t="s">
        <v>7256</v>
      </c>
      <c r="V788" t="s">
        <v>7256</v>
      </c>
      <c r="W788">
        <v>10</v>
      </c>
      <c r="X788" t="s">
        <v>8044</v>
      </c>
      <c r="Y788">
        <v>0.4960733386432325</v>
      </c>
      <c r="Z788" t="str">
        <f>HYPERLINK("Melting_Curves/meltCurve_sp_P28482_MK01_HUMAN_.pdf", "Melting_Curves/meltCurve_sp_P28482_MK01_HUMAN_.pdf")</f>
        <v>Melting_Curves/meltCurve_sp_P28482_MK01_HUMAN_.pdf</v>
      </c>
      <c r="AA788" t="s">
        <v>11656</v>
      </c>
      <c r="AB788" t="s">
        <v>15214</v>
      </c>
    </row>
    <row r="789" spans="1:28" x14ac:dyDescent="0.25">
      <c r="A789" t="s">
        <v>793</v>
      </c>
      <c r="B789">
        <v>0.98018197421672304</v>
      </c>
      <c r="C789">
        <v>0.99652247957125994</v>
      </c>
      <c r="D789">
        <v>0.84888092879477395</v>
      </c>
      <c r="E789">
        <v>0.75261614923653697</v>
      </c>
      <c r="F789">
        <v>0.72152840888522995</v>
      </c>
      <c r="G789">
        <v>0.53682570152655396</v>
      </c>
      <c r="H789">
        <v>0.43050747405879602</v>
      </c>
      <c r="I789">
        <v>0.48353711907249802</v>
      </c>
      <c r="J789">
        <v>0.68135602701509701</v>
      </c>
      <c r="K789">
        <v>0.83548557061347095</v>
      </c>
      <c r="L789">
        <v>963.90690940179798</v>
      </c>
      <c r="M789">
        <v>19.999179911218601</v>
      </c>
      <c r="O789">
        <v>47.723193140557697</v>
      </c>
      <c r="P789">
        <v>-4.1785264164682097E-2</v>
      </c>
      <c r="Q789">
        <v>0.60117139267618602</v>
      </c>
      <c r="R789">
        <v>0.65590575297352804</v>
      </c>
      <c r="S789" t="s">
        <v>4418</v>
      </c>
      <c r="T789" t="s">
        <v>7256</v>
      </c>
      <c r="U789" t="s">
        <v>7256</v>
      </c>
      <c r="V789" t="s">
        <v>7256</v>
      </c>
      <c r="W789">
        <v>4</v>
      </c>
      <c r="X789" t="s">
        <v>8045</v>
      </c>
      <c r="Y789">
        <v>0.71579583113806655</v>
      </c>
      <c r="Z789" t="str">
        <f>HYPERLINK("Melting_Curves/meltCurve_sp_P28799_GRN_HUMAN_.pdf", "Melting_Curves/meltCurve_sp_P28799_GRN_HUMAN_.pdf")</f>
        <v>Melting_Curves/meltCurve_sp_P28799_GRN_HUMAN_.pdf</v>
      </c>
      <c r="AA789" t="s">
        <v>11657</v>
      </c>
      <c r="AB789" t="s">
        <v>15215</v>
      </c>
    </row>
    <row r="790" spans="1:28" x14ac:dyDescent="0.25">
      <c r="A790" t="s">
        <v>794</v>
      </c>
      <c r="B790">
        <v>0.98018197421672304</v>
      </c>
      <c r="C790">
        <v>0.88278043789705296</v>
      </c>
      <c r="D790">
        <v>0.87991674099747597</v>
      </c>
      <c r="E790">
        <v>0.67965920988317197</v>
      </c>
      <c r="F790">
        <v>0.52908902812802705</v>
      </c>
      <c r="G790">
        <v>0.38246205895429097</v>
      </c>
      <c r="H790">
        <v>0.18882756713068699</v>
      </c>
      <c r="I790">
        <v>9.7797306645700702E-2</v>
      </c>
      <c r="J790">
        <v>5.0354174663202002E-2</v>
      </c>
      <c r="K790">
        <v>3.6587937884963201E-2</v>
      </c>
      <c r="L790">
        <v>622.91324866128696</v>
      </c>
      <c r="M790">
        <v>11.6481649166226</v>
      </c>
      <c r="N790">
        <v>53.477371072518999</v>
      </c>
      <c r="O790">
        <v>51.974126062073097</v>
      </c>
      <c r="P790">
        <v>-5.6043827013810103E-2</v>
      </c>
      <c r="Q790">
        <v>0</v>
      </c>
      <c r="R790">
        <v>0.99173870729577296</v>
      </c>
      <c r="S790" t="s">
        <v>4419</v>
      </c>
      <c r="T790" t="s">
        <v>7256</v>
      </c>
      <c r="U790" t="s">
        <v>7256</v>
      </c>
      <c r="V790" t="s">
        <v>7256</v>
      </c>
      <c r="W790">
        <v>34</v>
      </c>
      <c r="X790" t="s">
        <v>8046</v>
      </c>
      <c r="Y790">
        <v>0.47746123698123161</v>
      </c>
      <c r="Z790" t="str">
        <f>HYPERLINK("Melting_Curves/meltCurve_sp_P28838_AMPL_HUMAN_.pdf", "Melting_Curves/meltCurve_sp_P28838_AMPL_HUMAN_.pdf")</f>
        <v>Melting_Curves/meltCurve_sp_P28838_AMPL_HUMAN_.pdf</v>
      </c>
      <c r="AA790" t="s">
        <v>11658</v>
      </c>
      <c r="AB790" t="s">
        <v>15216</v>
      </c>
    </row>
    <row r="791" spans="1:28" x14ac:dyDescent="0.25">
      <c r="A791" t="s">
        <v>795</v>
      </c>
      <c r="B791">
        <v>0.98018197421672304</v>
      </c>
      <c r="C791">
        <v>0.94462810893467197</v>
      </c>
      <c r="D791">
        <v>0.836237776874729</v>
      </c>
      <c r="E791">
        <v>0.68294327630808105</v>
      </c>
      <c r="F791">
        <v>0.44631437065468699</v>
      </c>
      <c r="G791">
        <v>0.25228966854484802</v>
      </c>
      <c r="H791">
        <v>0.12044861037875799</v>
      </c>
      <c r="I791">
        <v>9.3812710237405006E-2</v>
      </c>
      <c r="J791">
        <v>0.132984655951083</v>
      </c>
      <c r="K791">
        <v>7.7239273430246905E-2</v>
      </c>
      <c r="L791">
        <v>751.99625454876502</v>
      </c>
      <c r="M791">
        <v>14.521109160290401</v>
      </c>
      <c r="N791">
        <v>52.217785496689203</v>
      </c>
      <c r="O791">
        <v>50.834015599946802</v>
      </c>
      <c r="P791">
        <v>-6.7385662176819697E-2</v>
      </c>
      <c r="Q791">
        <v>5.6520833074103098E-2</v>
      </c>
      <c r="R791">
        <v>0.99548363224166103</v>
      </c>
      <c r="S791" t="s">
        <v>4420</v>
      </c>
      <c r="T791" t="s">
        <v>7256</v>
      </c>
      <c r="U791" t="s">
        <v>7256</v>
      </c>
      <c r="V791" t="s">
        <v>7256</v>
      </c>
      <c r="W791">
        <v>1</v>
      </c>
      <c r="X791" t="s">
        <v>8047</v>
      </c>
      <c r="Y791">
        <v>0.44953193875646752</v>
      </c>
      <c r="Z791" t="str">
        <f>HYPERLINK("Melting_Curves/meltCurve_sp_P29083_T2EA_HUMAN_.pdf", "Melting_Curves/meltCurve_sp_P29083_T2EA_HUMAN_.pdf")</f>
        <v>Melting_Curves/meltCurve_sp_P29083_T2EA_HUMAN_.pdf</v>
      </c>
      <c r="AA791" t="s">
        <v>11659</v>
      </c>
      <c r="AB791" t="s">
        <v>15217</v>
      </c>
    </row>
    <row r="792" spans="1:28" x14ac:dyDescent="0.25">
      <c r="A792" t="s">
        <v>796</v>
      </c>
      <c r="B792">
        <v>0.98018197421672304</v>
      </c>
      <c r="C792">
        <v>0.92123119165649903</v>
      </c>
      <c r="D792">
        <v>0.77099745847124501</v>
      </c>
      <c r="E792">
        <v>0.37661871422227799</v>
      </c>
      <c r="F792">
        <v>0.16124023410435401</v>
      </c>
      <c r="G792">
        <v>9.5066501158798999E-2</v>
      </c>
      <c r="H792">
        <v>6.6353619218511503E-2</v>
      </c>
      <c r="I792">
        <v>5.3124525562178199E-2</v>
      </c>
      <c r="J792">
        <v>6.0874794029016098E-2</v>
      </c>
      <c r="K792">
        <v>3.6573613419339797E-2</v>
      </c>
      <c r="L792">
        <v>1019.2138015532501</v>
      </c>
      <c r="M792">
        <v>21.055405342381299</v>
      </c>
      <c r="N792">
        <v>48.6396601588674</v>
      </c>
      <c r="O792">
        <v>47.975977573682798</v>
      </c>
      <c r="P792">
        <v>-0.10444970430091</v>
      </c>
      <c r="Q792">
        <v>4.80460488086722E-2</v>
      </c>
      <c r="R792">
        <v>0.99904477492487798</v>
      </c>
      <c r="S792" t="s">
        <v>4421</v>
      </c>
      <c r="T792" t="s">
        <v>7256</v>
      </c>
      <c r="U792" t="s">
        <v>7256</v>
      </c>
      <c r="V792" t="s">
        <v>7256</v>
      </c>
      <c r="W792">
        <v>19</v>
      </c>
      <c r="X792" t="s">
        <v>8048</v>
      </c>
      <c r="Y792">
        <v>0.32685498964165749</v>
      </c>
      <c r="Z792" t="str">
        <f>HYPERLINK("Melting_Curves/meltCurve_sp_P29144_TPP2_HUMAN_.pdf", "Melting_Curves/meltCurve_sp_P29144_TPP2_HUMAN_.pdf")</f>
        <v>Melting_Curves/meltCurve_sp_P29144_TPP2_HUMAN_.pdf</v>
      </c>
      <c r="AA792" t="s">
        <v>11660</v>
      </c>
      <c r="AB792" t="s">
        <v>15218</v>
      </c>
    </row>
    <row r="793" spans="1:28" x14ac:dyDescent="0.25">
      <c r="A793" t="s">
        <v>797</v>
      </c>
      <c r="B793">
        <v>0.98018197421672304</v>
      </c>
      <c r="C793">
        <v>0.92476047716865994</v>
      </c>
      <c r="D793">
        <v>0.890902392646436</v>
      </c>
      <c r="E793">
        <v>0.31834243095876102</v>
      </c>
      <c r="F793">
        <v>0.168913714981862</v>
      </c>
      <c r="G793">
        <v>0.12375524826959999</v>
      </c>
      <c r="H793">
        <v>8.0202650482097196E-2</v>
      </c>
      <c r="I793">
        <v>6.05823981826231E-2</v>
      </c>
      <c r="J793">
        <v>6.0479340655452497E-2</v>
      </c>
      <c r="K793">
        <v>4.48099868759552E-2</v>
      </c>
      <c r="L793">
        <v>1515.1524652938499</v>
      </c>
      <c r="M793">
        <v>31.198029567106602</v>
      </c>
      <c r="N793">
        <v>48.818297643061499</v>
      </c>
      <c r="O793">
        <v>48.367415314648397</v>
      </c>
      <c r="P793">
        <v>-0.14923464121249599</v>
      </c>
      <c r="Q793">
        <v>7.4550080348926295E-2</v>
      </c>
      <c r="R793">
        <v>0.99349346427333896</v>
      </c>
      <c r="S793" t="s">
        <v>4422</v>
      </c>
      <c r="T793" t="s">
        <v>7256</v>
      </c>
      <c r="U793" t="s">
        <v>7256</v>
      </c>
      <c r="V793" t="s">
        <v>7256</v>
      </c>
      <c r="W793">
        <v>10</v>
      </c>
      <c r="X793" t="s">
        <v>8049</v>
      </c>
      <c r="Y793">
        <v>0.34395520587394751</v>
      </c>
      <c r="Z793" t="str">
        <f>HYPERLINK("Melting_Curves/meltCurve_sp_P29350_PTN6_HUMAN_.pdf", "Melting_Curves/meltCurve_sp_P29350_PTN6_HUMAN_.pdf")</f>
        <v>Melting_Curves/meltCurve_sp_P29350_PTN6_HUMAN_.pdf</v>
      </c>
      <c r="AA793" t="s">
        <v>11661</v>
      </c>
      <c r="AB793" t="s">
        <v>15219</v>
      </c>
    </row>
    <row r="794" spans="1:28" x14ac:dyDescent="0.25">
      <c r="A794" t="s">
        <v>798</v>
      </c>
      <c r="B794">
        <v>0.98018197421672304</v>
      </c>
      <c r="C794">
        <v>0.96841521397453401</v>
      </c>
      <c r="D794">
        <v>0.88914513843254495</v>
      </c>
      <c r="E794">
        <v>0.73823434750163697</v>
      </c>
      <c r="F794">
        <v>0.534517641617133</v>
      </c>
      <c r="G794">
        <v>0.35047316324581901</v>
      </c>
      <c r="H794">
        <v>0.244973817541632</v>
      </c>
      <c r="I794">
        <v>0.19640095003632799</v>
      </c>
      <c r="J794">
        <v>0.21363088944116501</v>
      </c>
      <c r="K794">
        <v>0.236103010721049</v>
      </c>
      <c r="L794">
        <v>841.01779971411895</v>
      </c>
      <c r="M794">
        <v>16.172422158273399</v>
      </c>
      <c r="N794">
        <v>53.585127037956099</v>
      </c>
      <c r="O794">
        <v>51.227584514897302</v>
      </c>
      <c r="P794">
        <v>-6.3948226366782698E-2</v>
      </c>
      <c r="Q794">
        <v>0.189814165331639</v>
      </c>
      <c r="R794">
        <v>0.99661608885726605</v>
      </c>
      <c r="S794" t="s">
        <v>4423</v>
      </c>
      <c r="T794" t="s">
        <v>7256</v>
      </c>
      <c r="U794" t="s">
        <v>7256</v>
      </c>
      <c r="V794" t="s">
        <v>7256</v>
      </c>
      <c r="W794">
        <v>7</v>
      </c>
      <c r="X794" t="s">
        <v>8050</v>
      </c>
      <c r="Y794">
        <v>0.53007194923456191</v>
      </c>
      <c r="Z794" t="str">
        <f>HYPERLINK("Melting_Curves/meltCurve_sp_P29353_7_SHC1_HUMAN_.pdf", "Melting_Curves/meltCurve_sp_P29353_7_SHC1_HUMAN_.pdf")</f>
        <v>Melting_Curves/meltCurve_sp_P29353_7_SHC1_HUMAN_.pdf</v>
      </c>
      <c r="AA794" t="s">
        <v>11662</v>
      </c>
      <c r="AB794" t="s">
        <v>15220</v>
      </c>
    </row>
    <row r="795" spans="1:28" x14ac:dyDescent="0.25">
      <c r="A795" t="s">
        <v>799</v>
      </c>
      <c r="B795">
        <v>0.98018197421672304</v>
      </c>
      <c r="C795">
        <v>1.0342927820147001</v>
      </c>
      <c r="D795">
        <v>0.91940031778929998</v>
      </c>
      <c r="E795">
        <v>0.84513384616235798</v>
      </c>
      <c r="F795">
        <v>0.74705076399037296</v>
      </c>
      <c r="G795">
        <v>0.64043144024108301</v>
      </c>
      <c r="H795">
        <v>0.54010057624793195</v>
      </c>
      <c r="I795">
        <v>0.59550035910014898</v>
      </c>
      <c r="J795">
        <v>0.45918014188644501</v>
      </c>
      <c r="K795">
        <v>0.208273661118967</v>
      </c>
      <c r="L795">
        <v>433.85913814941199</v>
      </c>
      <c r="M795">
        <v>6.8871907341683203</v>
      </c>
      <c r="N795">
        <v>62.995080906408703</v>
      </c>
      <c r="O795">
        <v>58.326273946254098</v>
      </c>
      <c r="P795">
        <v>-2.9578187960021901E-2</v>
      </c>
      <c r="Q795">
        <v>0</v>
      </c>
      <c r="R795">
        <v>0.92875333504589597</v>
      </c>
      <c r="S795" t="s">
        <v>4424</v>
      </c>
      <c r="T795" t="s">
        <v>7256</v>
      </c>
      <c r="U795" t="s">
        <v>7256</v>
      </c>
      <c r="V795" t="s">
        <v>7256</v>
      </c>
      <c r="W795">
        <v>34</v>
      </c>
      <c r="X795" t="s">
        <v>8051</v>
      </c>
      <c r="Y795">
        <v>0.70407696499317951</v>
      </c>
      <c r="Z795" t="str">
        <f>HYPERLINK("Melting_Curves/meltCurve_sp_P29401_TKT_HUMAN_.pdf", "Melting_Curves/meltCurve_sp_P29401_TKT_HUMAN_.pdf")</f>
        <v>Melting_Curves/meltCurve_sp_P29401_TKT_HUMAN_.pdf</v>
      </c>
      <c r="AA795" t="s">
        <v>11663</v>
      </c>
      <c r="AB795" t="s">
        <v>15221</v>
      </c>
    </row>
    <row r="796" spans="1:28" x14ac:dyDescent="0.25">
      <c r="A796" t="s">
        <v>800</v>
      </c>
      <c r="B796">
        <v>0.98018197421672304</v>
      </c>
      <c r="C796">
        <v>0.66712051799487304</v>
      </c>
      <c r="D796">
        <v>0.86751980398858197</v>
      </c>
      <c r="E796">
        <v>0.76973001913023498</v>
      </c>
      <c r="F796">
        <v>0.53069205751807302</v>
      </c>
      <c r="G796">
        <v>0.39172201060048401</v>
      </c>
      <c r="H796">
        <v>0.29061247213578101</v>
      </c>
      <c r="I796">
        <v>0.28070774207600802</v>
      </c>
      <c r="J796">
        <v>0.38741986477532298</v>
      </c>
      <c r="K796">
        <v>0.34499556510010598</v>
      </c>
      <c r="L796">
        <v>454.952341130543</v>
      </c>
      <c r="M796">
        <v>8.9539311738866996</v>
      </c>
      <c r="N796">
        <v>54.654382170376302</v>
      </c>
      <c r="O796">
        <v>48.467781689703202</v>
      </c>
      <c r="P796">
        <v>-3.54205261021657E-2</v>
      </c>
      <c r="Q796">
        <v>0.23363983103321401</v>
      </c>
      <c r="R796">
        <v>0.84568809670973899</v>
      </c>
      <c r="S796" t="s">
        <v>4425</v>
      </c>
      <c r="T796" t="s">
        <v>7256</v>
      </c>
      <c r="U796" t="s">
        <v>7256</v>
      </c>
      <c r="V796" t="s">
        <v>7256</v>
      </c>
      <c r="W796">
        <v>9</v>
      </c>
      <c r="X796" t="s">
        <v>8052</v>
      </c>
      <c r="Y796">
        <v>0.54679607548078935</v>
      </c>
      <c r="Z796" t="str">
        <f>HYPERLINK("Melting_Curves/meltCurve_sp_P29590_PML_HUMAN_.pdf", "Melting_Curves/meltCurve_sp_P29590_PML_HUMAN_.pdf")</f>
        <v>Melting_Curves/meltCurve_sp_P29590_PML_HUMAN_.pdf</v>
      </c>
      <c r="AA796" t="s">
        <v>11664</v>
      </c>
      <c r="AB796" t="s">
        <v>15222</v>
      </c>
    </row>
    <row r="797" spans="1:28" x14ac:dyDescent="0.25">
      <c r="A797" t="s">
        <v>801</v>
      </c>
      <c r="B797">
        <v>0.98018197421672304</v>
      </c>
      <c r="C797">
        <v>0.93196728070332002</v>
      </c>
      <c r="D797">
        <v>0.93987911350244202</v>
      </c>
      <c r="E797">
        <v>0.68098671222382201</v>
      </c>
      <c r="F797">
        <v>0.80495137391233795</v>
      </c>
      <c r="G797">
        <v>0.65825273302916099</v>
      </c>
      <c r="H797">
        <v>0.76184901650715997</v>
      </c>
      <c r="I797">
        <v>0.74310772876657605</v>
      </c>
      <c r="J797">
        <v>0.68673811883827596</v>
      </c>
      <c r="K797">
        <v>0.58862796506635495</v>
      </c>
      <c r="L797">
        <v>10412.941564618501</v>
      </c>
      <c r="M797">
        <v>224.99922383643801</v>
      </c>
      <c r="O797">
        <v>46.276236053077</v>
      </c>
      <c r="P797">
        <v>-0.36039999332186601</v>
      </c>
      <c r="Q797">
        <v>0.70350194796273502</v>
      </c>
      <c r="R797">
        <v>0.77433090725995302</v>
      </c>
      <c r="S797" t="s">
        <v>4426</v>
      </c>
      <c r="T797" t="s">
        <v>7256</v>
      </c>
      <c r="U797" t="s">
        <v>7256</v>
      </c>
      <c r="V797" t="s">
        <v>7256</v>
      </c>
      <c r="W797">
        <v>3</v>
      </c>
      <c r="X797" t="s">
        <v>8053</v>
      </c>
      <c r="Y797">
        <v>0.76559761682236582</v>
      </c>
      <c r="Z797" t="str">
        <f>HYPERLINK("Melting_Curves/meltCurve_sp_P29966_MARCS_HUMAN_.pdf", "Melting_Curves/meltCurve_sp_P29966_MARCS_HUMAN_.pdf")</f>
        <v>Melting_Curves/meltCurve_sp_P29966_MARCS_HUMAN_.pdf</v>
      </c>
      <c r="AA797" t="s">
        <v>11665</v>
      </c>
      <c r="AB797" t="s">
        <v>15223</v>
      </c>
    </row>
    <row r="798" spans="1:28" x14ac:dyDescent="0.25">
      <c r="A798" t="s">
        <v>802</v>
      </c>
      <c r="B798">
        <v>0.98018197421672304</v>
      </c>
      <c r="C798">
        <v>0.68707886501582105</v>
      </c>
      <c r="D798">
        <v>0.25314822130352399</v>
      </c>
      <c r="E798">
        <v>8.7742511227905107E-2</v>
      </c>
      <c r="F798">
        <v>3.5404622929644802E-2</v>
      </c>
      <c r="G798">
        <v>2.6046521903108001E-2</v>
      </c>
      <c r="H798">
        <v>1.7664897300155798E-2</v>
      </c>
      <c r="I798">
        <v>1.62310170961339E-2</v>
      </c>
      <c r="J798">
        <v>1.6784150678657399E-2</v>
      </c>
      <c r="K798">
        <v>1.20487558496406E-2</v>
      </c>
      <c r="L798">
        <v>1245.2265281805001</v>
      </c>
      <c r="M798">
        <v>28.229789873491601</v>
      </c>
      <c r="N798">
        <v>44.184724595900803</v>
      </c>
      <c r="O798">
        <v>43.8908016467607</v>
      </c>
      <c r="P798">
        <v>-0.15706694948057501</v>
      </c>
      <c r="Q798">
        <v>2.3196805406670299E-2</v>
      </c>
      <c r="R798">
        <v>0.99784354302736999</v>
      </c>
      <c r="S798" t="s">
        <v>4427</v>
      </c>
      <c r="T798" t="s">
        <v>7256</v>
      </c>
      <c r="U798" t="s">
        <v>7256</v>
      </c>
      <c r="V798" t="s">
        <v>7256</v>
      </c>
      <c r="W798">
        <v>24</v>
      </c>
      <c r="X798" t="s">
        <v>8054</v>
      </c>
      <c r="Y798">
        <v>0.16516873202645019</v>
      </c>
      <c r="Z798" t="str">
        <f>HYPERLINK("Melting_Curves/meltCurve_sp_P30038_AL4A1_HUMAN_.pdf", "Melting_Curves/meltCurve_sp_P30038_AL4A1_HUMAN_.pdf")</f>
        <v>Melting_Curves/meltCurve_sp_P30038_AL4A1_HUMAN_.pdf</v>
      </c>
      <c r="AA798" t="s">
        <v>11666</v>
      </c>
      <c r="AB798" t="s">
        <v>15224</v>
      </c>
    </row>
    <row r="799" spans="1:28" x14ac:dyDescent="0.25">
      <c r="A799" t="s">
        <v>803</v>
      </c>
      <c r="B799">
        <v>0.98018197421672304</v>
      </c>
      <c r="C799">
        <v>0.98946049098460997</v>
      </c>
      <c r="D799">
        <v>0.96716870275893896</v>
      </c>
      <c r="E799">
        <v>0.83337598715753403</v>
      </c>
      <c r="F799">
        <v>0.78228919351265502</v>
      </c>
      <c r="G799">
        <v>0.51801614441223898</v>
      </c>
      <c r="H799">
        <v>0.12601529107085799</v>
      </c>
      <c r="I799">
        <v>5.7919991117170201E-2</v>
      </c>
      <c r="J799">
        <v>6.7330123035235001E-2</v>
      </c>
      <c r="K799">
        <v>5.7890527725528697E-2</v>
      </c>
      <c r="L799">
        <v>1061.3437080331501</v>
      </c>
      <c r="M799">
        <v>18.820128144448098</v>
      </c>
      <c r="N799">
        <v>56.394074420382402</v>
      </c>
      <c r="O799">
        <v>55.768940975803403</v>
      </c>
      <c r="P799">
        <v>-8.4370021649062099E-2</v>
      </c>
      <c r="Q799">
        <v>0</v>
      </c>
      <c r="R799">
        <v>0.98722614110329299</v>
      </c>
      <c r="S799" t="s">
        <v>4428</v>
      </c>
      <c r="T799" t="s">
        <v>7256</v>
      </c>
      <c r="U799" t="s">
        <v>7256</v>
      </c>
      <c r="V799" t="s">
        <v>7256</v>
      </c>
      <c r="W799">
        <v>15</v>
      </c>
      <c r="X799" t="s">
        <v>8055</v>
      </c>
      <c r="Y799">
        <v>0.56012055545487338</v>
      </c>
      <c r="Z799" t="str">
        <f>HYPERLINK("Melting_Curves/meltCurve_sp_P30039_PBLD_HUMAN_.pdf", "Melting_Curves/meltCurve_sp_P30039_PBLD_HUMAN_.pdf")</f>
        <v>Melting_Curves/meltCurve_sp_P30039_PBLD_HUMAN_.pdf</v>
      </c>
      <c r="AA799" t="s">
        <v>11667</v>
      </c>
      <c r="AB799" t="s">
        <v>15225</v>
      </c>
    </row>
    <row r="800" spans="1:28" x14ac:dyDescent="0.25">
      <c r="A800" t="s">
        <v>804</v>
      </c>
      <c r="B800">
        <v>0.98018197421672304</v>
      </c>
      <c r="C800">
        <v>1.06088164724977</v>
      </c>
      <c r="D800">
        <v>1.0110455853246501</v>
      </c>
      <c r="E800">
        <v>0.793695735323663</v>
      </c>
      <c r="F800">
        <v>0.58832285364894599</v>
      </c>
      <c r="G800">
        <v>0.28709181537552603</v>
      </c>
      <c r="H800">
        <v>0.20651593326235601</v>
      </c>
      <c r="I800">
        <v>0.18073908072470199</v>
      </c>
      <c r="J800">
        <v>0.50103859536121298</v>
      </c>
      <c r="K800">
        <v>0.23772412566693599</v>
      </c>
      <c r="L800">
        <v>1533.4071270052</v>
      </c>
      <c r="M800">
        <v>29.452232094855699</v>
      </c>
      <c r="N800">
        <v>53.505785836047501</v>
      </c>
      <c r="O800">
        <v>51.825953090194801</v>
      </c>
      <c r="P800">
        <v>-0.10316345932621</v>
      </c>
      <c r="Q800">
        <v>0.27387410523979699</v>
      </c>
      <c r="R800">
        <v>0.93134375062303998</v>
      </c>
      <c r="S800" t="s">
        <v>4429</v>
      </c>
      <c r="T800" t="s">
        <v>7256</v>
      </c>
      <c r="U800" t="s">
        <v>7256</v>
      </c>
      <c r="V800" t="s">
        <v>7256</v>
      </c>
      <c r="W800">
        <v>11</v>
      </c>
      <c r="X800" t="s">
        <v>8056</v>
      </c>
      <c r="Y800">
        <v>0.57069515923144065</v>
      </c>
      <c r="Z800" t="str">
        <f>HYPERLINK("Melting_Curves/meltCurve_sp_P30040_ERP29_HUMAN_.pdf", "Melting_Curves/meltCurve_sp_P30040_ERP29_HUMAN_.pdf")</f>
        <v>Melting_Curves/meltCurve_sp_P30040_ERP29_HUMAN_.pdf</v>
      </c>
      <c r="AA800" t="s">
        <v>11668</v>
      </c>
      <c r="AB800" t="s">
        <v>15226</v>
      </c>
    </row>
    <row r="801" spans="1:28" x14ac:dyDescent="0.25">
      <c r="A801" t="s">
        <v>805</v>
      </c>
      <c r="B801">
        <v>0.98018197421672304</v>
      </c>
      <c r="C801">
        <v>0.78270727344031299</v>
      </c>
      <c r="D801">
        <v>0.84272176026082501</v>
      </c>
      <c r="E801">
        <v>0.76407381329886703</v>
      </c>
      <c r="F801">
        <v>0.68017780525009197</v>
      </c>
      <c r="G801">
        <v>0.26064225468837598</v>
      </c>
      <c r="H801">
        <v>6.2799825395385797E-2</v>
      </c>
      <c r="I801">
        <v>3.7124101106038601E-2</v>
      </c>
      <c r="J801">
        <v>3.56031345151442E-2</v>
      </c>
      <c r="K801">
        <v>2.2091796231368001E-2</v>
      </c>
      <c r="L801">
        <v>894.44939819918295</v>
      </c>
      <c r="M801">
        <v>16.5910862872881</v>
      </c>
      <c r="N801">
        <v>53.911443244792999</v>
      </c>
      <c r="O801">
        <v>53.1464874866979</v>
      </c>
      <c r="P801">
        <v>-7.8049440265358996E-2</v>
      </c>
      <c r="Q801">
        <v>0</v>
      </c>
      <c r="R801">
        <v>0.94994529828713703</v>
      </c>
      <c r="S801" t="s">
        <v>4430</v>
      </c>
      <c r="T801" t="s">
        <v>7256</v>
      </c>
      <c r="U801" t="s">
        <v>7256</v>
      </c>
      <c r="V801" t="s">
        <v>7256</v>
      </c>
      <c r="W801">
        <v>21</v>
      </c>
      <c r="X801" t="s">
        <v>8057</v>
      </c>
      <c r="Y801">
        <v>0.48175573790232462</v>
      </c>
      <c r="Z801" t="str">
        <f>HYPERLINK("Melting_Curves/meltCurve_sp_P30041_PRDX6_HUMAN_.pdf", "Melting_Curves/meltCurve_sp_P30041_PRDX6_HUMAN_.pdf")</f>
        <v>Melting_Curves/meltCurve_sp_P30041_PRDX6_HUMAN_.pdf</v>
      </c>
      <c r="AA801" t="s">
        <v>11669</v>
      </c>
      <c r="AB801" t="s">
        <v>15227</v>
      </c>
    </row>
    <row r="802" spans="1:28" x14ac:dyDescent="0.25">
      <c r="A802" t="s">
        <v>806</v>
      </c>
      <c r="B802">
        <v>0.98018197421672304</v>
      </c>
      <c r="C802">
        <v>0.98227393039981703</v>
      </c>
      <c r="D802">
        <v>0.96431208316705097</v>
      </c>
      <c r="E802">
        <v>0.86830913649922903</v>
      </c>
      <c r="F802">
        <v>0.84066612272657704</v>
      </c>
      <c r="G802">
        <v>0.76423283055480296</v>
      </c>
      <c r="H802">
        <v>0.54602220264012502</v>
      </c>
      <c r="I802">
        <v>0.606785148346767</v>
      </c>
      <c r="J802">
        <v>0.54896910346679395</v>
      </c>
      <c r="K802">
        <v>0.59115714286326104</v>
      </c>
      <c r="L802">
        <v>731.16053636895197</v>
      </c>
      <c r="M802">
        <v>13.2971972550537</v>
      </c>
      <c r="O802">
        <v>53.787110140438401</v>
      </c>
      <c r="P802">
        <v>-2.91656025693726E-2</v>
      </c>
      <c r="Q802">
        <v>0.52817745248251302</v>
      </c>
      <c r="R802">
        <v>0.95485440387720499</v>
      </c>
      <c r="S802" t="s">
        <v>4431</v>
      </c>
      <c r="T802" t="s">
        <v>7256</v>
      </c>
      <c r="U802" t="s">
        <v>7256</v>
      </c>
      <c r="V802" t="s">
        <v>7256</v>
      </c>
      <c r="W802">
        <v>16</v>
      </c>
      <c r="X802" t="s">
        <v>8058</v>
      </c>
      <c r="Y802">
        <v>0.77410081027195043</v>
      </c>
      <c r="Z802" t="str">
        <f>HYPERLINK("Melting_Curves/meltCurve_sp_P30042_ES1_HUMAN_.pdf", "Melting_Curves/meltCurve_sp_P30042_ES1_HUMAN_.pdf")</f>
        <v>Melting_Curves/meltCurve_sp_P30042_ES1_HUMAN_.pdf</v>
      </c>
      <c r="AA802" t="s">
        <v>11670</v>
      </c>
      <c r="AB802" t="s">
        <v>15228</v>
      </c>
    </row>
    <row r="803" spans="1:28" x14ac:dyDescent="0.25">
      <c r="A803" t="s">
        <v>807</v>
      </c>
      <c r="B803">
        <v>0.98018197421672304</v>
      </c>
      <c r="C803">
        <v>1.0302805043415899</v>
      </c>
      <c r="D803">
        <v>0.99224744782835095</v>
      </c>
      <c r="E803">
        <v>0.61008524593104396</v>
      </c>
      <c r="F803">
        <v>0.29795730822929001</v>
      </c>
      <c r="G803">
        <v>0.18515117530006001</v>
      </c>
      <c r="H803">
        <v>0.104258055754096</v>
      </c>
      <c r="I803">
        <v>7.2762665338453297E-2</v>
      </c>
      <c r="J803">
        <v>9.5161741977547704E-2</v>
      </c>
      <c r="K803">
        <v>5.9489846783770402E-2</v>
      </c>
      <c r="L803">
        <v>1392.67428294512</v>
      </c>
      <c r="M803">
        <v>27.482281655087899</v>
      </c>
      <c r="N803">
        <v>51.047165665645402</v>
      </c>
      <c r="O803">
        <v>50.409315927308199</v>
      </c>
      <c r="P803">
        <v>-0.12393400951132</v>
      </c>
      <c r="Q803">
        <v>9.0705633923884005E-2</v>
      </c>
      <c r="R803">
        <v>0.99466913428960002</v>
      </c>
      <c r="S803" t="s">
        <v>4432</v>
      </c>
      <c r="T803" t="s">
        <v>7256</v>
      </c>
      <c r="U803" t="s">
        <v>7256</v>
      </c>
      <c r="V803" t="s">
        <v>7256</v>
      </c>
      <c r="W803">
        <v>8</v>
      </c>
      <c r="X803" t="s">
        <v>8059</v>
      </c>
      <c r="Y803">
        <v>0.42105281354713159</v>
      </c>
      <c r="Z803" t="str">
        <f>HYPERLINK("Melting_Curves/meltCurve_sp_P30043_BLVRB_HUMAN_.pdf", "Melting_Curves/meltCurve_sp_P30043_BLVRB_HUMAN_.pdf")</f>
        <v>Melting_Curves/meltCurve_sp_P30043_BLVRB_HUMAN_.pdf</v>
      </c>
      <c r="AA803" t="s">
        <v>11671</v>
      </c>
      <c r="AB803" t="s">
        <v>15229</v>
      </c>
    </row>
    <row r="804" spans="1:28" x14ac:dyDescent="0.25">
      <c r="A804" t="s">
        <v>808</v>
      </c>
      <c r="B804">
        <v>0.98018197421672304</v>
      </c>
      <c r="C804">
        <v>1.0340484305148701</v>
      </c>
      <c r="D804">
        <v>0.995542245973563</v>
      </c>
      <c r="E804">
        <v>0.88636756558362995</v>
      </c>
      <c r="F804">
        <v>0.87895955737343301</v>
      </c>
      <c r="G804">
        <v>0.73163214551202205</v>
      </c>
      <c r="H804">
        <v>0.37415313488393598</v>
      </c>
      <c r="I804">
        <v>0.20929566367594499</v>
      </c>
      <c r="J804">
        <v>0.184757451645231</v>
      </c>
      <c r="K804">
        <v>0.15769685625490401</v>
      </c>
      <c r="L804">
        <v>1162.5004040143899</v>
      </c>
      <c r="M804">
        <v>19.809560053308601</v>
      </c>
      <c r="N804">
        <v>59.372788607417398</v>
      </c>
      <c r="O804">
        <v>58.095606120628901</v>
      </c>
      <c r="P804">
        <v>-7.6494906337268298E-2</v>
      </c>
      <c r="Q804">
        <v>0.10268230556942699</v>
      </c>
      <c r="R804">
        <v>0.98801124402636498</v>
      </c>
      <c r="S804" t="s">
        <v>4433</v>
      </c>
      <c r="T804" t="s">
        <v>7256</v>
      </c>
      <c r="U804" t="s">
        <v>7256</v>
      </c>
      <c r="V804" t="s">
        <v>7256</v>
      </c>
      <c r="W804">
        <v>7</v>
      </c>
      <c r="X804" t="s">
        <v>8060</v>
      </c>
      <c r="Y804">
        <v>0.67102470012022997</v>
      </c>
      <c r="Z804" t="str">
        <f>HYPERLINK("Melting_Curves/meltCurve_sp_P30044_2_PRDX5_HUMAN_.pdf", "Melting_Curves/meltCurve_sp_P30044_2_PRDX5_HUMAN_.pdf")</f>
        <v>Melting_Curves/meltCurve_sp_P30044_2_PRDX5_HUMAN_.pdf</v>
      </c>
      <c r="AA804" t="s">
        <v>11672</v>
      </c>
      <c r="AB804" t="s">
        <v>15230</v>
      </c>
    </row>
    <row r="805" spans="1:28" x14ac:dyDescent="0.25">
      <c r="A805" t="s">
        <v>809</v>
      </c>
      <c r="B805">
        <v>0.98018197421672304</v>
      </c>
      <c r="C805">
        <v>1.02742972616644</v>
      </c>
      <c r="D805">
        <v>1.0012985568611601</v>
      </c>
      <c r="E805">
        <v>0.84408153415752096</v>
      </c>
      <c r="F805">
        <v>0.86354062468020498</v>
      </c>
      <c r="G805">
        <v>0.72750571615242099</v>
      </c>
      <c r="H805">
        <v>0.52253196543259495</v>
      </c>
      <c r="I805">
        <v>0.50135804146035301</v>
      </c>
      <c r="J805">
        <v>0.51246134843864999</v>
      </c>
      <c r="K805">
        <v>0.46242470481021403</v>
      </c>
      <c r="L805">
        <v>794.63024325886204</v>
      </c>
      <c r="M805">
        <v>14.1189427391419</v>
      </c>
      <c r="N805">
        <v>65.237494342022401</v>
      </c>
      <c r="O805">
        <v>55.188172333688399</v>
      </c>
      <c r="P805">
        <v>-3.6586808431986598E-2</v>
      </c>
      <c r="Q805">
        <v>0.42803047186280002</v>
      </c>
      <c r="R805">
        <v>0.97109194740097604</v>
      </c>
      <c r="S805" t="s">
        <v>4434</v>
      </c>
      <c r="T805" t="s">
        <v>7256</v>
      </c>
      <c r="U805" t="s">
        <v>7256</v>
      </c>
      <c r="V805" t="s">
        <v>7256</v>
      </c>
      <c r="W805">
        <v>10</v>
      </c>
      <c r="X805" t="s">
        <v>8061</v>
      </c>
      <c r="Y805">
        <v>0.74873987410570042</v>
      </c>
      <c r="Z805" t="str">
        <f>HYPERLINK("Melting_Curves/meltCurve_sp_P30046_DOPD_HUMAN_.pdf", "Melting_Curves/meltCurve_sp_P30046_DOPD_HUMAN_.pdf")</f>
        <v>Melting_Curves/meltCurve_sp_P30046_DOPD_HUMAN_.pdf</v>
      </c>
      <c r="AA805" t="s">
        <v>11673</v>
      </c>
      <c r="AB805" t="s">
        <v>15231</v>
      </c>
    </row>
    <row r="806" spans="1:28" x14ac:dyDescent="0.25">
      <c r="A806" t="s">
        <v>810</v>
      </c>
      <c r="B806">
        <v>0.98018197421672304</v>
      </c>
      <c r="C806">
        <v>0.85180431643830301</v>
      </c>
      <c r="D806">
        <v>1.00727009759465</v>
      </c>
      <c r="E806">
        <v>0.85802327036878001</v>
      </c>
      <c r="F806">
        <v>0.81056836796084397</v>
      </c>
      <c r="G806">
        <v>0.62060286823569499</v>
      </c>
      <c r="H806">
        <v>0.50746284991352197</v>
      </c>
      <c r="I806">
        <v>0.51636105507577001</v>
      </c>
      <c r="J806">
        <v>0.57380069997288696</v>
      </c>
      <c r="K806">
        <v>0.79276190922535095</v>
      </c>
      <c r="L806">
        <v>1315.8345154221499</v>
      </c>
      <c r="M806">
        <v>25.2124070114963</v>
      </c>
      <c r="O806">
        <v>51.864951817045103</v>
      </c>
      <c r="P806">
        <v>-4.91743970586399E-2</v>
      </c>
      <c r="Q806">
        <v>0.59537467879563499</v>
      </c>
      <c r="R806">
        <v>0.73147685673937302</v>
      </c>
      <c r="S806" t="s">
        <v>4435</v>
      </c>
      <c r="T806" t="s">
        <v>7256</v>
      </c>
      <c r="U806" t="s">
        <v>7256</v>
      </c>
      <c r="V806" t="s">
        <v>7256</v>
      </c>
      <c r="W806">
        <v>5</v>
      </c>
      <c r="X806" t="s">
        <v>8062</v>
      </c>
      <c r="Y806">
        <v>0.76342786921361905</v>
      </c>
      <c r="Z806" t="str">
        <f>HYPERLINK("Melting_Curves/meltCurve_sp_P30047_GFRP_HUMAN_.pdf", "Melting_Curves/meltCurve_sp_P30047_GFRP_HUMAN_.pdf")</f>
        <v>Melting_Curves/meltCurve_sp_P30047_GFRP_HUMAN_.pdf</v>
      </c>
      <c r="AA806" t="s">
        <v>11674</v>
      </c>
      <c r="AB806" t="s">
        <v>15232</v>
      </c>
    </row>
    <row r="807" spans="1:28" x14ac:dyDescent="0.25">
      <c r="A807" t="s">
        <v>811</v>
      </c>
      <c r="B807">
        <v>0.98018197421672304</v>
      </c>
      <c r="C807">
        <v>0.97107455941647203</v>
      </c>
      <c r="D807">
        <v>0.88896869954414004</v>
      </c>
      <c r="E807">
        <v>0.73185378304099602</v>
      </c>
      <c r="F807">
        <v>0.56160665372905305</v>
      </c>
      <c r="G807">
        <v>0.337678585696779</v>
      </c>
      <c r="H807">
        <v>0.44320786408676399</v>
      </c>
      <c r="I807">
        <v>0.48120476105954602</v>
      </c>
      <c r="J807">
        <v>0.60029712763716203</v>
      </c>
      <c r="K807">
        <v>0.68467998318495205</v>
      </c>
      <c r="L807">
        <v>1350.50361396216</v>
      </c>
      <c r="M807">
        <v>27.561249829971299</v>
      </c>
      <c r="O807">
        <v>48.744304640603303</v>
      </c>
      <c r="P807">
        <v>-6.9127941992665407E-2</v>
      </c>
      <c r="Q807">
        <v>0.51097098667268204</v>
      </c>
      <c r="R807">
        <v>0.81958226043546401</v>
      </c>
      <c r="S807" t="s">
        <v>4436</v>
      </c>
      <c r="T807" t="s">
        <v>7256</v>
      </c>
      <c r="U807" t="s">
        <v>7256</v>
      </c>
      <c r="V807" t="s">
        <v>7256</v>
      </c>
      <c r="W807">
        <v>2</v>
      </c>
      <c r="X807" t="s">
        <v>8063</v>
      </c>
      <c r="Y807">
        <v>0.66122605822300529</v>
      </c>
      <c r="Z807" t="str">
        <f>HYPERLINK("Melting_Curves/meltCurve_sp_P30049_ATPD_HUMAN_.pdf", "Melting_Curves/meltCurve_sp_P30049_ATPD_HUMAN_.pdf")</f>
        <v>Melting_Curves/meltCurve_sp_P30049_ATPD_HUMAN_.pdf</v>
      </c>
      <c r="AA807" t="s">
        <v>11675</v>
      </c>
      <c r="AB807" t="s">
        <v>15233</v>
      </c>
    </row>
    <row r="808" spans="1:28" x14ac:dyDescent="0.25">
      <c r="A808" t="s">
        <v>812</v>
      </c>
      <c r="B808">
        <v>0.98018197421672304</v>
      </c>
      <c r="C808">
        <v>1.0041318283829199</v>
      </c>
      <c r="D808">
        <v>0.77752038294026504</v>
      </c>
      <c r="E808">
        <v>0.50753124160109198</v>
      </c>
      <c r="F808">
        <v>0.27805696436027899</v>
      </c>
      <c r="G808">
        <v>0.125215785817132</v>
      </c>
      <c r="H808">
        <v>0.11926097487873601</v>
      </c>
      <c r="I808">
        <v>6.4288568754366601E-2</v>
      </c>
      <c r="J808">
        <v>0.17455383493530999</v>
      </c>
      <c r="K808">
        <v>0.11130862185509199</v>
      </c>
      <c r="L808">
        <v>983.56752603545897</v>
      </c>
      <c r="M808">
        <v>19.991925017732999</v>
      </c>
      <c r="N808">
        <v>49.777734097620403</v>
      </c>
      <c r="O808">
        <v>48.713901575349098</v>
      </c>
      <c r="P808">
        <v>-9.1949897641497302E-2</v>
      </c>
      <c r="Q808">
        <v>0.103819411205729</v>
      </c>
      <c r="R808">
        <v>0.98971946770111396</v>
      </c>
      <c r="S808" t="s">
        <v>4437</v>
      </c>
      <c r="T808" t="s">
        <v>7256</v>
      </c>
      <c r="U808" t="s">
        <v>7256</v>
      </c>
      <c r="V808" t="s">
        <v>7256</v>
      </c>
      <c r="W808">
        <v>2</v>
      </c>
      <c r="X808" t="s">
        <v>8064</v>
      </c>
      <c r="Y808">
        <v>0.39113787240840198</v>
      </c>
      <c r="Z808" t="str">
        <f>HYPERLINK("Melting_Curves/meltCurve_sp_P30050_RL12_HUMAN_.pdf", "Melting_Curves/meltCurve_sp_P30050_RL12_HUMAN_.pdf")</f>
        <v>Melting_Curves/meltCurve_sp_P30050_RL12_HUMAN_.pdf</v>
      </c>
      <c r="AA808" t="s">
        <v>11676</v>
      </c>
      <c r="AB808" t="s">
        <v>15234</v>
      </c>
    </row>
    <row r="809" spans="1:28" x14ac:dyDescent="0.25">
      <c r="A809" t="s">
        <v>813</v>
      </c>
      <c r="B809">
        <v>0.98018197421672304</v>
      </c>
      <c r="C809">
        <v>0.85312250089476505</v>
      </c>
      <c r="D809">
        <v>0.964538564635531</v>
      </c>
      <c r="E809">
        <v>0.84444532405355799</v>
      </c>
      <c r="F809">
        <v>0.33416962151422402</v>
      </c>
      <c r="G809">
        <v>7.9148404629556496E-2</v>
      </c>
      <c r="H809">
        <v>4.0302195175274502E-2</v>
      </c>
      <c r="I809">
        <v>2.9548594480837499E-2</v>
      </c>
      <c r="J809">
        <v>2.9696826878637301E-2</v>
      </c>
      <c r="K809">
        <v>2.1344680247320801E-2</v>
      </c>
      <c r="L809">
        <v>2076.4005942591102</v>
      </c>
      <c r="M809">
        <v>39.937762452097999</v>
      </c>
      <c r="N809">
        <v>52.079735437020901</v>
      </c>
      <c r="O809">
        <v>51.861069389007199</v>
      </c>
      <c r="P809">
        <v>-0.18618454006011401</v>
      </c>
      <c r="Q809">
        <v>3.2924370497283001E-2</v>
      </c>
      <c r="R809">
        <v>0.98628653437718705</v>
      </c>
      <c r="S809" t="s">
        <v>4438</v>
      </c>
      <c r="T809" t="s">
        <v>7256</v>
      </c>
      <c r="U809" t="s">
        <v>7256</v>
      </c>
      <c r="V809" t="s">
        <v>7256</v>
      </c>
      <c r="W809">
        <v>27</v>
      </c>
      <c r="X809" t="s">
        <v>8065</v>
      </c>
      <c r="Y809">
        <v>0.42294629407375017</v>
      </c>
      <c r="Z809" t="str">
        <f>HYPERLINK("Melting_Curves/meltCurve_sp_P30084_ECHM_HUMAN_.pdf", "Melting_Curves/meltCurve_sp_P30084_ECHM_HUMAN_.pdf")</f>
        <v>Melting_Curves/meltCurve_sp_P30084_ECHM_HUMAN_.pdf</v>
      </c>
      <c r="AA809" t="s">
        <v>11677</v>
      </c>
      <c r="AB809" t="s">
        <v>15235</v>
      </c>
    </row>
    <row r="810" spans="1:28" x14ac:dyDescent="0.25">
      <c r="A810" t="s">
        <v>814</v>
      </c>
      <c r="B810">
        <v>0.98018197421672304</v>
      </c>
      <c r="C810">
        <v>1.0530979693225</v>
      </c>
      <c r="D810">
        <v>1.00857878545628</v>
      </c>
      <c r="E810">
        <v>0.70078503083463894</v>
      </c>
      <c r="F810">
        <v>0.40354831197874202</v>
      </c>
      <c r="G810">
        <v>0.17912433181263099</v>
      </c>
      <c r="H810">
        <v>9.9082732523151598E-2</v>
      </c>
      <c r="I810">
        <v>8.6120937375405104E-2</v>
      </c>
      <c r="J810">
        <v>9.5109211469649499E-2</v>
      </c>
      <c r="K810">
        <v>0.110249844750722</v>
      </c>
      <c r="L810">
        <v>1352.05224389912</v>
      </c>
      <c r="M810">
        <v>26.218865380881301</v>
      </c>
      <c r="N810">
        <v>51.988301602357602</v>
      </c>
      <c r="O810">
        <v>51.270750128272503</v>
      </c>
      <c r="P810">
        <v>-0.11563448960871001</v>
      </c>
      <c r="Q810">
        <v>9.5521677450554496E-2</v>
      </c>
      <c r="R810">
        <v>0.99551644663966699</v>
      </c>
      <c r="S810" t="s">
        <v>4439</v>
      </c>
      <c r="T810" t="s">
        <v>7256</v>
      </c>
      <c r="U810" t="s">
        <v>7256</v>
      </c>
      <c r="V810" t="s">
        <v>7256</v>
      </c>
      <c r="W810">
        <v>8</v>
      </c>
      <c r="X810" t="s">
        <v>8066</v>
      </c>
      <c r="Y810">
        <v>0.45177748094029052</v>
      </c>
      <c r="Z810" t="str">
        <f>HYPERLINK("Melting_Curves/meltCurve_sp_P30085_KCY_HUMAN_.pdf", "Melting_Curves/meltCurve_sp_P30085_KCY_HUMAN_.pdf")</f>
        <v>Melting_Curves/meltCurve_sp_P30085_KCY_HUMAN_.pdf</v>
      </c>
      <c r="AA810" t="s">
        <v>11678</v>
      </c>
      <c r="AB810" t="s">
        <v>15236</v>
      </c>
    </row>
    <row r="811" spans="1:28" x14ac:dyDescent="0.25">
      <c r="A811" t="s">
        <v>815</v>
      </c>
      <c r="B811">
        <v>0.98018197421672304</v>
      </c>
      <c r="C811">
        <v>0.87282850347681795</v>
      </c>
      <c r="D811">
        <v>1.04516152197344</v>
      </c>
      <c r="E811">
        <v>0.79028218114912296</v>
      </c>
      <c r="F811">
        <v>0.88745278121353999</v>
      </c>
      <c r="G811">
        <v>0.74296400619458502</v>
      </c>
      <c r="H811">
        <v>0.45086472679811701</v>
      </c>
      <c r="I811">
        <v>0.28115971890178998</v>
      </c>
      <c r="J811">
        <v>0.18886362253129199</v>
      </c>
      <c r="K811">
        <v>0.19611081003889999</v>
      </c>
      <c r="L811">
        <v>775.47857067881796</v>
      </c>
      <c r="M811">
        <v>12.8941663078784</v>
      </c>
      <c r="N811">
        <v>60.250202097318301</v>
      </c>
      <c r="O811">
        <v>58.750342661647103</v>
      </c>
      <c r="P811">
        <v>-5.4249328820310402E-2</v>
      </c>
      <c r="Q811">
        <v>1.14644385730102E-2</v>
      </c>
      <c r="R811">
        <v>0.94932781993014503</v>
      </c>
      <c r="S811" t="s">
        <v>4440</v>
      </c>
      <c r="T811" t="s">
        <v>7256</v>
      </c>
      <c r="U811" t="s">
        <v>7256</v>
      </c>
      <c r="V811" t="s">
        <v>7256</v>
      </c>
      <c r="W811">
        <v>18</v>
      </c>
      <c r="X811" t="s">
        <v>8067</v>
      </c>
      <c r="Y811">
        <v>0.67856144623514358</v>
      </c>
      <c r="Z811" t="str">
        <f>HYPERLINK("Melting_Curves/meltCurve_sp_P30086_PEBP1_HUMAN_.pdf", "Melting_Curves/meltCurve_sp_P30086_PEBP1_HUMAN_.pdf")</f>
        <v>Melting_Curves/meltCurve_sp_P30086_PEBP1_HUMAN_.pdf</v>
      </c>
      <c r="AA811" t="s">
        <v>11679</v>
      </c>
      <c r="AB811" t="s">
        <v>15237</v>
      </c>
    </row>
    <row r="812" spans="1:28" x14ac:dyDescent="0.25">
      <c r="A812" t="s">
        <v>816</v>
      </c>
      <c r="B812">
        <v>0.98018197421672304</v>
      </c>
      <c r="C812">
        <v>0.90082710488214301</v>
      </c>
      <c r="D812">
        <v>0.91955839596828504</v>
      </c>
      <c r="E812">
        <v>0.82475964927033596</v>
      </c>
      <c r="F812">
        <v>0.58255258810817601</v>
      </c>
      <c r="G812">
        <v>0.127386561290663</v>
      </c>
      <c r="H812">
        <v>7.8616462676874901E-2</v>
      </c>
      <c r="I812">
        <v>5.8015067450930699E-2</v>
      </c>
      <c r="J812">
        <v>6.4218357075123897E-2</v>
      </c>
      <c r="K812">
        <v>3.93468946029581E-2</v>
      </c>
      <c r="L812">
        <v>1409.56970379219</v>
      </c>
      <c r="M812">
        <v>26.511190290365199</v>
      </c>
      <c r="N812">
        <v>53.3403593714145</v>
      </c>
      <c r="O812">
        <v>52.869103926557798</v>
      </c>
      <c r="P812">
        <v>-0.12024212862301401</v>
      </c>
      <c r="Q812">
        <v>4.0853947153430603E-2</v>
      </c>
      <c r="R812">
        <v>0.98752418708795697</v>
      </c>
      <c r="S812" t="s">
        <v>4441</v>
      </c>
      <c r="T812" t="s">
        <v>7256</v>
      </c>
      <c r="U812" t="s">
        <v>7256</v>
      </c>
      <c r="V812" t="s">
        <v>7256</v>
      </c>
      <c r="W812">
        <v>18</v>
      </c>
      <c r="X812" t="s">
        <v>8068</v>
      </c>
      <c r="Y812">
        <v>0.46979733217824288</v>
      </c>
      <c r="Z812" t="str">
        <f>HYPERLINK("Melting_Curves/meltCurve_sp_P30153_2AAA_HUMAN_.pdf", "Melting_Curves/meltCurve_sp_P30153_2AAA_HUMAN_.pdf")</f>
        <v>Melting_Curves/meltCurve_sp_P30153_2AAA_HUMAN_.pdf</v>
      </c>
      <c r="AA812" t="s">
        <v>11680</v>
      </c>
      <c r="AB812" t="s">
        <v>15238</v>
      </c>
    </row>
    <row r="813" spans="1:28" x14ac:dyDescent="0.25">
      <c r="A813" t="s">
        <v>817</v>
      </c>
      <c r="B813">
        <v>0.98018197421672304</v>
      </c>
      <c r="C813">
        <v>0.84317189414346405</v>
      </c>
      <c r="D813">
        <v>0.53867809873467298</v>
      </c>
      <c r="E813">
        <v>0.31068179560760201</v>
      </c>
      <c r="F813">
        <v>0.18995310758842501</v>
      </c>
      <c r="G813">
        <v>0.120797497595448</v>
      </c>
      <c r="H813">
        <v>0.105557917741363</v>
      </c>
      <c r="I813">
        <v>6.0683961923501999E-2</v>
      </c>
      <c r="J813">
        <v>8.5995787016209205E-2</v>
      </c>
      <c r="K813">
        <v>4.4329841552971302E-2</v>
      </c>
      <c r="L813">
        <v>786.71464797079</v>
      </c>
      <c r="M813">
        <v>16.903238440185401</v>
      </c>
      <c r="N813">
        <v>46.969536933545299</v>
      </c>
      <c r="O813">
        <v>45.905477751598497</v>
      </c>
      <c r="P813">
        <v>-8.5499586085777499E-2</v>
      </c>
      <c r="Q813">
        <v>7.1266566574853599E-2</v>
      </c>
      <c r="R813">
        <v>0.99440328548097301</v>
      </c>
      <c r="S813" t="s">
        <v>4442</v>
      </c>
      <c r="T813" t="s">
        <v>7256</v>
      </c>
      <c r="U813" t="s">
        <v>7256</v>
      </c>
      <c r="V813" t="s">
        <v>7256</v>
      </c>
      <c r="W813">
        <v>5</v>
      </c>
      <c r="X813" t="s">
        <v>8069</v>
      </c>
      <c r="Y813">
        <v>0.29396691303230937</v>
      </c>
      <c r="Z813" t="str">
        <f>HYPERLINK("Melting_Curves/meltCurve_sp_P30154_4_2AAB_HUMAN_.pdf", "Melting_Curves/meltCurve_sp_P30154_4_2AAB_HUMAN_.pdf")</f>
        <v>Melting_Curves/meltCurve_sp_P30154_4_2AAB_HUMAN_.pdf</v>
      </c>
      <c r="AA813" t="s">
        <v>11681</v>
      </c>
      <c r="AB813" t="s">
        <v>15239</v>
      </c>
    </row>
    <row r="814" spans="1:28" x14ac:dyDescent="0.25">
      <c r="A814" t="s">
        <v>818</v>
      </c>
      <c r="B814">
        <v>0.98018197421672304</v>
      </c>
      <c r="C814">
        <v>0.98170512681650601</v>
      </c>
      <c r="D814">
        <v>1.0924725430319999</v>
      </c>
      <c r="E814">
        <v>0.940479385662364</v>
      </c>
      <c r="F814">
        <v>0.90218865230038003</v>
      </c>
      <c r="G814">
        <v>0.43611396700266097</v>
      </c>
      <c r="H814">
        <v>0.22603851996459201</v>
      </c>
      <c r="I814">
        <v>0.19848580849427999</v>
      </c>
      <c r="J814">
        <v>0.211674620215721</v>
      </c>
      <c r="K814">
        <v>0.215544701354797</v>
      </c>
      <c r="L814">
        <v>2093.6274670542898</v>
      </c>
      <c r="M814">
        <v>37.620975734987702</v>
      </c>
      <c r="N814">
        <v>56.437954524127399</v>
      </c>
      <c r="O814">
        <v>55.493994716902002</v>
      </c>
      <c r="P814">
        <v>-0.13487591817130001</v>
      </c>
      <c r="Q814">
        <v>0.20419037367472401</v>
      </c>
      <c r="R814">
        <v>0.99115306584452501</v>
      </c>
      <c r="S814" t="s">
        <v>4443</v>
      </c>
      <c r="T814" t="s">
        <v>7256</v>
      </c>
      <c r="U814" t="s">
        <v>7256</v>
      </c>
      <c r="V814" t="s">
        <v>7256</v>
      </c>
      <c r="W814">
        <v>10</v>
      </c>
      <c r="X814" t="s">
        <v>8070</v>
      </c>
      <c r="Y814">
        <v>0.62278781599341337</v>
      </c>
      <c r="Z814" t="str">
        <f>HYPERLINK("Melting_Curves/meltCurve_sp_P30405_PPIF_HUMAN_.pdf", "Melting_Curves/meltCurve_sp_P30405_PPIF_HUMAN_.pdf")</f>
        <v>Melting_Curves/meltCurve_sp_P30405_PPIF_HUMAN_.pdf</v>
      </c>
      <c r="AA814" t="s">
        <v>11682</v>
      </c>
      <c r="AB814" t="s">
        <v>15240</v>
      </c>
    </row>
    <row r="815" spans="1:28" x14ac:dyDescent="0.25">
      <c r="A815" t="s">
        <v>819</v>
      </c>
      <c r="B815">
        <v>0.98018197421672304</v>
      </c>
      <c r="C815">
        <v>0.80961330071409698</v>
      </c>
      <c r="D815">
        <v>0.85643244428126397</v>
      </c>
      <c r="E815">
        <v>0.77950388355442901</v>
      </c>
      <c r="F815">
        <v>0.56772778457893802</v>
      </c>
      <c r="G815">
        <v>0.16300889917080599</v>
      </c>
      <c r="H815">
        <v>7.4531741387611705E-2</v>
      </c>
      <c r="I815">
        <v>5.6082023355552998E-2</v>
      </c>
      <c r="J815">
        <v>6.8711217529467697E-2</v>
      </c>
      <c r="K815">
        <v>5.1705203643379799E-2</v>
      </c>
      <c r="L815">
        <v>930.99148785493003</v>
      </c>
      <c r="M815">
        <v>17.565128874108801</v>
      </c>
      <c r="N815">
        <v>53.084224906889403</v>
      </c>
      <c r="O815">
        <v>52.3296163467718</v>
      </c>
      <c r="P815">
        <v>-8.2797691100598605E-2</v>
      </c>
      <c r="Q815">
        <v>1.33783159878161E-2</v>
      </c>
      <c r="R815">
        <v>0.96386337266175803</v>
      </c>
      <c r="S815" t="s">
        <v>4444</v>
      </c>
      <c r="T815" t="s">
        <v>7256</v>
      </c>
      <c r="U815" t="s">
        <v>7256</v>
      </c>
      <c r="V815" t="s">
        <v>7256</v>
      </c>
      <c r="W815">
        <v>1</v>
      </c>
      <c r="X815" t="s">
        <v>8071</v>
      </c>
      <c r="Y815">
        <v>0.45778236907927028</v>
      </c>
      <c r="Z815" t="str">
        <f>HYPERLINK("Melting_Curves/meltCurve_sp_P30414_NKTR_HUMAN_.pdf", "Melting_Curves/meltCurve_sp_P30414_NKTR_HUMAN_.pdf")</f>
        <v>Melting_Curves/meltCurve_sp_P30414_NKTR_HUMAN_.pdf</v>
      </c>
      <c r="AA815" t="s">
        <v>11683</v>
      </c>
      <c r="AB815" t="s">
        <v>15241</v>
      </c>
    </row>
    <row r="816" spans="1:28" x14ac:dyDescent="0.25">
      <c r="A816" t="s">
        <v>820</v>
      </c>
      <c r="B816">
        <v>0.98018197421672304</v>
      </c>
      <c r="C816">
        <v>0.91578184257384398</v>
      </c>
      <c r="D816">
        <v>0.90763572338046195</v>
      </c>
      <c r="E816">
        <v>0.79293509104326698</v>
      </c>
      <c r="F816">
        <v>0.56764622621100902</v>
      </c>
      <c r="G816">
        <v>0.240524876512034</v>
      </c>
      <c r="H816">
        <v>0.189389956410004</v>
      </c>
      <c r="I816">
        <v>0.18946759272532199</v>
      </c>
      <c r="J816">
        <v>0.21113677290003099</v>
      </c>
      <c r="K816">
        <v>0.18922776753237699</v>
      </c>
      <c r="L816">
        <v>1178.8237598624401</v>
      </c>
      <c r="M816">
        <v>22.5064611107275</v>
      </c>
      <c r="N816">
        <v>53.398490015963397</v>
      </c>
      <c r="O816">
        <v>51.9688785597411</v>
      </c>
      <c r="P816">
        <v>-8.9334151842211301E-2</v>
      </c>
      <c r="Q816">
        <v>0.17490336542878901</v>
      </c>
      <c r="R816">
        <v>0.98649907096478495</v>
      </c>
      <c r="S816" t="s">
        <v>4445</v>
      </c>
      <c r="T816" t="s">
        <v>7256</v>
      </c>
      <c r="U816" t="s">
        <v>7256</v>
      </c>
      <c r="V816" t="s">
        <v>7256</v>
      </c>
      <c r="W816">
        <v>6</v>
      </c>
      <c r="X816" t="s">
        <v>8072</v>
      </c>
      <c r="Y816">
        <v>0.52452311591377498</v>
      </c>
      <c r="Z816" t="str">
        <f>HYPERLINK("Melting_Curves/meltCurve_sp_P30419_NMT1_HUMAN_.pdf", "Melting_Curves/meltCurve_sp_P30419_NMT1_HUMAN_.pdf")</f>
        <v>Melting_Curves/meltCurve_sp_P30419_NMT1_HUMAN_.pdf</v>
      </c>
      <c r="AA816" t="s">
        <v>11684</v>
      </c>
      <c r="AB816" t="s">
        <v>15242</v>
      </c>
    </row>
    <row r="817" spans="1:28" x14ac:dyDescent="0.25">
      <c r="A817" t="s">
        <v>821</v>
      </c>
      <c r="B817">
        <v>0.98018197421672304</v>
      </c>
      <c r="C817">
        <v>0.93116057921947804</v>
      </c>
      <c r="D817">
        <v>0.88266346904090398</v>
      </c>
      <c r="E817">
        <v>0.73276000268240804</v>
      </c>
      <c r="F817">
        <v>0.496383950940393</v>
      </c>
      <c r="G817">
        <v>0.25816917376478699</v>
      </c>
      <c r="H817">
        <v>0.113131001228303</v>
      </c>
      <c r="I817">
        <v>7.7424886955854699E-2</v>
      </c>
      <c r="J817">
        <v>8.5439689372976996E-2</v>
      </c>
      <c r="K817">
        <v>7.0718217060756206E-2</v>
      </c>
      <c r="L817">
        <v>816.80963970231096</v>
      </c>
      <c r="M817">
        <v>15.508428202179401</v>
      </c>
      <c r="N817">
        <v>52.9100223401433</v>
      </c>
      <c r="O817">
        <v>51.816341530615702</v>
      </c>
      <c r="P817">
        <v>-7.2276099825435994E-2</v>
      </c>
      <c r="Q817">
        <v>3.4137819302864102E-2</v>
      </c>
      <c r="R817">
        <v>0.99656052382120597</v>
      </c>
      <c r="S817" t="s">
        <v>4446</v>
      </c>
      <c r="T817" t="s">
        <v>7256</v>
      </c>
      <c r="U817" t="s">
        <v>7256</v>
      </c>
      <c r="V817" t="s">
        <v>7256</v>
      </c>
      <c r="W817">
        <v>13</v>
      </c>
      <c r="X817" t="s">
        <v>8073</v>
      </c>
      <c r="Y817">
        <v>0.46208081982357579</v>
      </c>
      <c r="Z817" t="str">
        <f>HYPERLINK("Melting_Curves/meltCurve_sp_P30520_PURA2_HUMAN_.pdf", "Melting_Curves/meltCurve_sp_P30520_PURA2_HUMAN_.pdf")</f>
        <v>Melting_Curves/meltCurve_sp_P30520_PURA2_HUMAN_.pdf</v>
      </c>
      <c r="AA817" t="s">
        <v>11685</v>
      </c>
      <c r="AB817" t="s">
        <v>15243</v>
      </c>
    </row>
    <row r="818" spans="1:28" x14ac:dyDescent="0.25">
      <c r="A818" t="s">
        <v>822</v>
      </c>
      <c r="B818">
        <v>0.98018197421672304</v>
      </c>
      <c r="C818">
        <v>0.93921563156889298</v>
      </c>
      <c r="D818">
        <v>0.93131544413716505</v>
      </c>
      <c r="E818">
        <v>0.78619802008807604</v>
      </c>
      <c r="F818">
        <v>0.75567689810082195</v>
      </c>
      <c r="G818">
        <v>0.54135542926909597</v>
      </c>
      <c r="H818">
        <v>0.48131601640399302</v>
      </c>
      <c r="I818">
        <v>0.50382110840432504</v>
      </c>
      <c r="J818">
        <v>0.50969279552168201</v>
      </c>
      <c r="K818">
        <v>0.62193235016492998</v>
      </c>
      <c r="L818">
        <v>882.28715368668497</v>
      </c>
      <c r="M818">
        <v>17.252766111801801</v>
      </c>
      <c r="O818">
        <v>50.4666700690317</v>
      </c>
      <c r="P818">
        <v>-4.1414102466520601E-2</v>
      </c>
      <c r="Q818">
        <v>0.51546089702901898</v>
      </c>
      <c r="R818">
        <v>0.93080184431657698</v>
      </c>
      <c r="S818" t="s">
        <v>4447</v>
      </c>
      <c r="T818" t="s">
        <v>7256</v>
      </c>
      <c r="U818" t="s">
        <v>7256</v>
      </c>
      <c r="V818" t="s">
        <v>7256</v>
      </c>
      <c r="W818">
        <v>8</v>
      </c>
      <c r="X818" t="s">
        <v>8074</v>
      </c>
      <c r="Y818">
        <v>0.7041560788359853</v>
      </c>
      <c r="Z818" t="str">
        <f>HYPERLINK("Melting_Curves/meltCurve_sp_P30533_AMRP_HUMAN_.pdf", "Melting_Curves/meltCurve_sp_P30533_AMRP_HUMAN_.pdf")</f>
        <v>Melting_Curves/meltCurve_sp_P30533_AMRP_HUMAN_.pdf</v>
      </c>
      <c r="AA818" t="s">
        <v>11686</v>
      </c>
      <c r="AB818" t="s">
        <v>15244</v>
      </c>
    </row>
    <row r="819" spans="1:28" x14ac:dyDescent="0.25">
      <c r="A819" t="s">
        <v>823</v>
      </c>
      <c r="B819">
        <v>0.98018197421672304</v>
      </c>
      <c r="C819">
        <v>1.01027118095921</v>
      </c>
      <c r="D819">
        <v>0.84756542369293397</v>
      </c>
      <c r="E819">
        <v>0.75814721341622304</v>
      </c>
      <c r="F819">
        <v>0.60597708951890805</v>
      </c>
      <c r="G819">
        <v>0.49060982092426703</v>
      </c>
      <c r="H819">
        <v>0.31019801605175201</v>
      </c>
      <c r="I819">
        <v>7.4654575359795999E-2</v>
      </c>
      <c r="J819">
        <v>8.2495699660973004E-2</v>
      </c>
      <c r="K819">
        <v>6.0600240948292597E-2</v>
      </c>
      <c r="L819">
        <v>643.70826527238899</v>
      </c>
      <c r="M819">
        <v>11.6390965112672</v>
      </c>
      <c r="N819">
        <v>55.305690147336001</v>
      </c>
      <c r="O819">
        <v>53.7487389657596</v>
      </c>
      <c r="P819">
        <v>-5.4151290808744097E-2</v>
      </c>
      <c r="Q819">
        <v>0</v>
      </c>
      <c r="R819">
        <v>0.97891154679952397</v>
      </c>
      <c r="S819" t="s">
        <v>4448</v>
      </c>
      <c r="T819" t="s">
        <v>7256</v>
      </c>
      <c r="U819" t="s">
        <v>7256</v>
      </c>
      <c r="V819" t="s">
        <v>7256</v>
      </c>
      <c r="W819">
        <v>8</v>
      </c>
      <c r="X819" t="s">
        <v>8075</v>
      </c>
      <c r="Y819">
        <v>0.53315276740532513</v>
      </c>
      <c r="Z819" t="str">
        <f>HYPERLINK("Melting_Curves/meltCurve_sp_P30566_PUR8_HUMAN_.pdf", "Melting_Curves/meltCurve_sp_P30566_PUR8_HUMAN_.pdf")</f>
        <v>Melting_Curves/meltCurve_sp_P30566_PUR8_HUMAN_.pdf</v>
      </c>
      <c r="AA819" t="s">
        <v>11687</v>
      </c>
      <c r="AB819" t="s">
        <v>15245</v>
      </c>
    </row>
    <row r="820" spans="1:28" x14ac:dyDescent="0.25">
      <c r="A820" t="s">
        <v>824</v>
      </c>
      <c r="B820">
        <v>0.98018197421672304</v>
      </c>
      <c r="C820">
        <v>0.97209566406714498</v>
      </c>
      <c r="D820">
        <v>0.89893419261018304</v>
      </c>
      <c r="E820">
        <v>0.84691293338687501</v>
      </c>
      <c r="F820">
        <v>0.73351720319444402</v>
      </c>
      <c r="G820">
        <v>0.62117900665033798</v>
      </c>
      <c r="H820">
        <v>0.47829587333812201</v>
      </c>
      <c r="I820">
        <v>0.25212700989909798</v>
      </c>
      <c r="J820">
        <v>5.02796154598164E-2</v>
      </c>
      <c r="K820">
        <v>3.8657146082072102E-2</v>
      </c>
      <c r="L820">
        <v>737.55882812219204</v>
      </c>
      <c r="M820">
        <v>12.6344457811502</v>
      </c>
      <c r="N820">
        <v>58.376824855471497</v>
      </c>
      <c r="O820">
        <v>56.972310617824803</v>
      </c>
      <c r="P820">
        <v>-5.5452111557635402E-2</v>
      </c>
      <c r="Q820">
        <v>0</v>
      </c>
      <c r="R820">
        <v>0.96491797243751098</v>
      </c>
      <c r="S820" t="s">
        <v>4449</v>
      </c>
      <c r="T820" t="s">
        <v>7256</v>
      </c>
      <c r="U820" t="s">
        <v>7256</v>
      </c>
      <c r="V820" t="s">
        <v>7256</v>
      </c>
      <c r="W820">
        <v>30</v>
      </c>
      <c r="X820" t="s">
        <v>8076</v>
      </c>
      <c r="Y820">
        <v>0.62412551423439733</v>
      </c>
      <c r="Z820" t="str">
        <f>HYPERLINK("Melting_Curves/meltCurve_sp_P30613_2_KPYR_HUMAN_.pdf", "Melting_Curves/meltCurve_sp_P30613_2_KPYR_HUMAN_.pdf")</f>
        <v>Melting_Curves/meltCurve_sp_P30613_2_KPYR_HUMAN_.pdf</v>
      </c>
      <c r="AA820" t="s">
        <v>11688</v>
      </c>
      <c r="AB820" t="s">
        <v>15246</v>
      </c>
    </row>
    <row r="821" spans="1:28" x14ac:dyDescent="0.25">
      <c r="A821" t="s">
        <v>825</v>
      </c>
      <c r="B821">
        <v>0.98018197421672304</v>
      </c>
      <c r="C821">
        <v>0.93370318994127899</v>
      </c>
      <c r="D821">
        <v>0.881738135794636</v>
      </c>
      <c r="E821">
        <v>0.72067757067730698</v>
      </c>
      <c r="F821">
        <v>0.66479395691990295</v>
      </c>
      <c r="G821">
        <v>0.46780086767766699</v>
      </c>
      <c r="H821">
        <v>0.45759501251012002</v>
      </c>
      <c r="I821">
        <v>0.46367102151028899</v>
      </c>
      <c r="J821">
        <v>0.48551955214055298</v>
      </c>
      <c r="K821">
        <v>0.451327466832803</v>
      </c>
      <c r="L821">
        <v>723.57958250716297</v>
      </c>
      <c r="M821">
        <v>14.418717515095</v>
      </c>
      <c r="N821">
        <v>58.678716165297999</v>
      </c>
      <c r="O821">
        <v>49.247688088697799</v>
      </c>
      <c r="P821">
        <v>-4.1140211859062602E-2</v>
      </c>
      <c r="Q821">
        <v>0.43800239814866399</v>
      </c>
      <c r="R821">
        <v>0.98221416301627096</v>
      </c>
      <c r="S821" t="s">
        <v>4450</v>
      </c>
      <c r="T821" t="s">
        <v>7256</v>
      </c>
      <c r="U821" t="s">
        <v>7256</v>
      </c>
      <c r="V821" t="s">
        <v>7256</v>
      </c>
      <c r="W821">
        <v>50</v>
      </c>
      <c r="X821" t="s">
        <v>8077</v>
      </c>
      <c r="Y821">
        <v>0.64303751482791327</v>
      </c>
      <c r="Z821" t="str">
        <f>HYPERLINK("Melting_Curves/meltCurve_sp_P30622_2_CLIP1_HUMAN_.pdf", "Melting_Curves/meltCurve_sp_P30622_2_CLIP1_HUMAN_.pdf")</f>
        <v>Melting_Curves/meltCurve_sp_P30622_2_CLIP1_HUMAN_.pdf</v>
      </c>
      <c r="AA821" t="s">
        <v>11689</v>
      </c>
      <c r="AB821" t="s">
        <v>15247</v>
      </c>
    </row>
    <row r="822" spans="1:28" x14ac:dyDescent="0.25">
      <c r="A822" t="s">
        <v>826</v>
      </c>
      <c r="B822">
        <v>0.98018197421672304</v>
      </c>
      <c r="C822">
        <v>0.94882316951271695</v>
      </c>
      <c r="D822">
        <v>0.86140216470411501</v>
      </c>
      <c r="E822">
        <v>0.79381506800752899</v>
      </c>
      <c r="F822">
        <v>0.69876651102669396</v>
      </c>
      <c r="G822">
        <v>0.55072430481608503</v>
      </c>
      <c r="H822">
        <v>0.39172759514514399</v>
      </c>
      <c r="I822">
        <v>0.39634769166190897</v>
      </c>
      <c r="J822">
        <v>0.338346895899582</v>
      </c>
      <c r="K822">
        <v>0.312967322030268</v>
      </c>
      <c r="L822">
        <v>518.583309922328</v>
      </c>
      <c r="M822">
        <v>9.4179972230688804</v>
      </c>
      <c r="N822">
        <v>58.507479555992802</v>
      </c>
      <c r="O822">
        <v>52.751704778442097</v>
      </c>
      <c r="P822">
        <v>-3.5156675191427497E-2</v>
      </c>
      <c r="Q822">
        <v>0.21280864318199599</v>
      </c>
      <c r="R822">
        <v>0.99324077773675301</v>
      </c>
      <c r="S822" t="s">
        <v>4451</v>
      </c>
      <c r="T822" t="s">
        <v>7256</v>
      </c>
      <c r="U822" t="s">
        <v>7256</v>
      </c>
      <c r="V822" t="s">
        <v>7256</v>
      </c>
      <c r="W822">
        <v>9</v>
      </c>
      <c r="X822" t="s">
        <v>8078</v>
      </c>
      <c r="Y822">
        <v>0.62858818117731441</v>
      </c>
      <c r="Z822" t="str">
        <f>HYPERLINK("Melting_Curves/meltCurve_sp_P30711_GSTT1_HUMAN_.pdf", "Melting_Curves/meltCurve_sp_P30711_GSTT1_HUMAN_.pdf")</f>
        <v>Melting_Curves/meltCurve_sp_P30711_GSTT1_HUMAN_.pdf</v>
      </c>
      <c r="AA822" t="s">
        <v>11690</v>
      </c>
      <c r="AB822" t="s">
        <v>15248</v>
      </c>
    </row>
    <row r="823" spans="1:28" x14ac:dyDescent="0.25">
      <c r="A823" t="s">
        <v>827</v>
      </c>
      <c r="B823">
        <v>0.98018197421672304</v>
      </c>
      <c r="C823">
        <v>0.88765819526726497</v>
      </c>
      <c r="D823">
        <v>1.0045814772030399</v>
      </c>
      <c r="E823">
        <v>0.77116329317985599</v>
      </c>
      <c r="F823">
        <v>0.67166232182920904</v>
      </c>
      <c r="G823">
        <v>0.36570158216215098</v>
      </c>
      <c r="H823">
        <v>0.28627742591255301</v>
      </c>
      <c r="I823">
        <v>0.271047589343203</v>
      </c>
      <c r="J823">
        <v>0.33019689665574298</v>
      </c>
      <c r="K823">
        <v>0.32251642430967098</v>
      </c>
      <c r="L823">
        <v>1123.09732916604</v>
      </c>
      <c r="M823">
        <v>21.366737555863899</v>
      </c>
      <c r="N823">
        <v>54.734317198555303</v>
      </c>
      <c r="O823">
        <v>52.108984879298802</v>
      </c>
      <c r="P823">
        <v>-7.3215089720724894E-2</v>
      </c>
      <c r="Q823">
        <v>0.28579331217760701</v>
      </c>
      <c r="R823">
        <v>0.97013700789892199</v>
      </c>
      <c r="S823" t="s">
        <v>4452</v>
      </c>
      <c r="T823" t="s">
        <v>7256</v>
      </c>
      <c r="U823" t="s">
        <v>7256</v>
      </c>
      <c r="V823" t="s">
        <v>7256</v>
      </c>
      <c r="W823">
        <v>13</v>
      </c>
      <c r="X823" t="s">
        <v>8079</v>
      </c>
      <c r="Y823">
        <v>0.5936419653659154</v>
      </c>
      <c r="Z823" t="str">
        <f>HYPERLINK("Melting_Curves/meltCurve_sp_P30740_ILEU_HUMAN_.pdf", "Melting_Curves/meltCurve_sp_P30740_ILEU_HUMAN_.pdf")</f>
        <v>Melting_Curves/meltCurve_sp_P30740_ILEU_HUMAN_.pdf</v>
      </c>
      <c r="AA823" t="s">
        <v>11691</v>
      </c>
      <c r="AB823" t="s">
        <v>15249</v>
      </c>
    </row>
    <row r="824" spans="1:28" x14ac:dyDescent="0.25">
      <c r="A824" t="s">
        <v>828</v>
      </c>
      <c r="B824">
        <v>0.98018197421672304</v>
      </c>
      <c r="C824">
        <v>0.91281005076499999</v>
      </c>
      <c r="D824">
        <v>0.84494876285086296</v>
      </c>
      <c r="E824">
        <v>0.73422922313188999</v>
      </c>
      <c r="F824">
        <v>0.59736934689011401</v>
      </c>
      <c r="G824">
        <v>0.46324388279963002</v>
      </c>
      <c r="H824">
        <v>0.36365815018637698</v>
      </c>
      <c r="I824">
        <v>0.31817291671509901</v>
      </c>
      <c r="J824">
        <v>0.38709880416956099</v>
      </c>
      <c r="K824">
        <v>0.22850208264980301</v>
      </c>
      <c r="L824">
        <v>522.82553699580205</v>
      </c>
      <c r="M824">
        <v>9.9051425025201407</v>
      </c>
      <c r="N824">
        <v>55.998912957095698</v>
      </c>
      <c r="O824">
        <v>50.766942247893198</v>
      </c>
      <c r="P824">
        <v>-3.8217205633349897E-2</v>
      </c>
      <c r="Q824">
        <v>0.216894686184956</v>
      </c>
      <c r="R824">
        <v>0.98276933362224095</v>
      </c>
      <c r="S824" t="s">
        <v>4453</v>
      </c>
      <c r="T824" t="s">
        <v>7256</v>
      </c>
      <c r="U824" t="s">
        <v>7256</v>
      </c>
      <c r="V824" t="s">
        <v>7256</v>
      </c>
      <c r="W824">
        <v>6</v>
      </c>
      <c r="X824" t="s">
        <v>8080</v>
      </c>
      <c r="Y824">
        <v>0.5782690960953788</v>
      </c>
      <c r="Z824" t="str">
        <f>HYPERLINK("Melting_Curves/meltCurve_sp_P30793_GCH1_HUMAN_.pdf", "Melting_Curves/meltCurve_sp_P30793_GCH1_HUMAN_.pdf")</f>
        <v>Melting_Curves/meltCurve_sp_P30793_GCH1_HUMAN_.pdf</v>
      </c>
      <c r="AA824" t="s">
        <v>11692</v>
      </c>
      <c r="AB824" t="s">
        <v>15250</v>
      </c>
    </row>
    <row r="825" spans="1:28" x14ac:dyDescent="0.25">
      <c r="A825" t="s">
        <v>829</v>
      </c>
      <c r="B825">
        <v>0.98018197421672304</v>
      </c>
      <c r="C825">
        <v>0.71980043553938899</v>
      </c>
      <c r="D825">
        <v>0.68979899859595495</v>
      </c>
      <c r="E825">
        <v>0.37444480261768198</v>
      </c>
      <c r="F825">
        <v>0.139364393276974</v>
      </c>
      <c r="G825">
        <v>6.0001196769670299E-2</v>
      </c>
      <c r="H825">
        <v>3.2918295417928303E-2</v>
      </c>
      <c r="I825">
        <v>2.5230474964335399E-2</v>
      </c>
      <c r="J825">
        <v>3.3164110087691802E-2</v>
      </c>
      <c r="K825">
        <v>1.9597039457613302E-2</v>
      </c>
      <c r="L825">
        <v>682.31921574563205</v>
      </c>
      <c r="M825">
        <v>14.319817829024601</v>
      </c>
      <c r="N825">
        <v>47.6485970647513</v>
      </c>
      <c r="O825">
        <v>46.748257303471497</v>
      </c>
      <c r="P825">
        <v>-7.6588699362524604E-2</v>
      </c>
      <c r="Q825">
        <v>0</v>
      </c>
      <c r="R825">
        <v>0.98034583811333098</v>
      </c>
      <c r="S825" t="s">
        <v>4454</v>
      </c>
      <c r="T825" t="s">
        <v>7256</v>
      </c>
      <c r="U825" t="s">
        <v>7256</v>
      </c>
      <c r="V825" t="s">
        <v>7256</v>
      </c>
      <c r="W825">
        <v>25</v>
      </c>
      <c r="X825" t="s">
        <v>8081</v>
      </c>
      <c r="Y825">
        <v>0.2836716037044319</v>
      </c>
      <c r="Z825" t="str">
        <f>HYPERLINK("Melting_Curves/meltCurve_sp_P30837_AL1B1_HUMAN_.pdf", "Melting_Curves/meltCurve_sp_P30837_AL1B1_HUMAN_.pdf")</f>
        <v>Melting_Curves/meltCurve_sp_P30837_AL1B1_HUMAN_.pdf</v>
      </c>
      <c r="AA825" t="s">
        <v>11693</v>
      </c>
      <c r="AB825" t="s">
        <v>15251</v>
      </c>
    </row>
    <row r="826" spans="1:28" x14ac:dyDescent="0.25">
      <c r="A826" t="s">
        <v>830</v>
      </c>
      <c r="B826">
        <v>0.98018197421672304</v>
      </c>
      <c r="C826">
        <v>0.96803348522907195</v>
      </c>
      <c r="D826">
        <v>0.933905790358732</v>
      </c>
      <c r="E826">
        <v>0.78382580989678896</v>
      </c>
      <c r="F826">
        <v>0.64694698019795904</v>
      </c>
      <c r="G826">
        <v>0.52865158479039698</v>
      </c>
      <c r="H826">
        <v>0.24794828429917301</v>
      </c>
      <c r="I826">
        <v>0.14564513517854399</v>
      </c>
      <c r="J826">
        <v>4.9399981637954102E-2</v>
      </c>
      <c r="K826">
        <v>3.3964642368339397E-2</v>
      </c>
      <c r="L826">
        <v>728.07977844806896</v>
      </c>
      <c r="M826">
        <v>13.0216269125344</v>
      </c>
      <c r="N826">
        <v>55.913119461503598</v>
      </c>
      <c r="O826">
        <v>54.643760235534103</v>
      </c>
      <c r="P826">
        <v>-5.9585562965633401E-2</v>
      </c>
      <c r="Q826">
        <v>0</v>
      </c>
      <c r="R826">
        <v>0.98865258968818004</v>
      </c>
      <c r="S826" t="s">
        <v>4455</v>
      </c>
      <c r="T826" t="s">
        <v>7256</v>
      </c>
      <c r="U826" t="s">
        <v>7256</v>
      </c>
      <c r="V826" t="s">
        <v>7256</v>
      </c>
      <c r="W826">
        <v>15</v>
      </c>
      <c r="X826" t="s">
        <v>8082</v>
      </c>
      <c r="Y826">
        <v>0.55027260765670172</v>
      </c>
      <c r="Z826" t="str">
        <f>HYPERLINK("Melting_Curves/meltCurve_sp_P31040_DHSA_HUMAN_.pdf", "Melting_Curves/meltCurve_sp_P31040_DHSA_HUMAN_.pdf")</f>
        <v>Melting_Curves/meltCurve_sp_P31040_DHSA_HUMAN_.pdf</v>
      </c>
      <c r="AA826" t="s">
        <v>11694</v>
      </c>
      <c r="AB826" t="s">
        <v>15252</v>
      </c>
    </row>
    <row r="827" spans="1:28" x14ac:dyDescent="0.25">
      <c r="A827" t="s">
        <v>831</v>
      </c>
      <c r="B827">
        <v>0.98018197421672304</v>
      </c>
      <c r="C827">
        <v>0.99304935458392396</v>
      </c>
      <c r="D827">
        <v>0.90621524102384099</v>
      </c>
      <c r="E827">
        <v>0.62127103208131496</v>
      </c>
      <c r="F827">
        <v>0.23547931855340401</v>
      </c>
      <c r="G827">
        <v>0.166390753466544</v>
      </c>
      <c r="H827">
        <v>0.118538548626112</v>
      </c>
      <c r="I827">
        <v>9.5876857847288596E-2</v>
      </c>
      <c r="J827">
        <v>0.12895981208631699</v>
      </c>
      <c r="K827">
        <v>0.152772658259132</v>
      </c>
      <c r="L827">
        <v>1561.0218527218201</v>
      </c>
      <c r="M827">
        <v>31.068696503019201</v>
      </c>
      <c r="N827">
        <v>50.706923275441397</v>
      </c>
      <c r="O827">
        <v>50.0374359866248</v>
      </c>
      <c r="P827">
        <v>-0.13606776583593899</v>
      </c>
      <c r="Q827">
        <v>0.12343393690174299</v>
      </c>
      <c r="R827">
        <v>0.99516848787539003</v>
      </c>
      <c r="S827" t="s">
        <v>4456</v>
      </c>
      <c r="T827" t="s">
        <v>7256</v>
      </c>
      <c r="U827" t="s">
        <v>7256</v>
      </c>
      <c r="V827" t="s">
        <v>7256</v>
      </c>
      <c r="W827">
        <v>9</v>
      </c>
      <c r="X827" t="s">
        <v>8083</v>
      </c>
      <c r="Y827">
        <v>0.42782983157531701</v>
      </c>
      <c r="Z827" t="str">
        <f>HYPERLINK("Melting_Curves/meltCurve_sp_P31146_COR1A_HUMAN_.pdf", "Melting_Curves/meltCurve_sp_P31146_COR1A_HUMAN_.pdf")</f>
        <v>Melting_Curves/meltCurve_sp_P31146_COR1A_HUMAN_.pdf</v>
      </c>
      <c r="AA827" t="s">
        <v>11695</v>
      </c>
      <c r="AB827" t="s">
        <v>15253</v>
      </c>
    </row>
    <row r="828" spans="1:28" x14ac:dyDescent="0.25">
      <c r="A828" t="s">
        <v>832</v>
      </c>
      <c r="B828">
        <v>0.98018197421672304</v>
      </c>
      <c r="C828">
        <v>0.93531369601910097</v>
      </c>
      <c r="D828">
        <v>0.94261255323483695</v>
      </c>
      <c r="E828">
        <v>0.78731265337426903</v>
      </c>
      <c r="F828">
        <v>0.61183600098424495</v>
      </c>
      <c r="G828">
        <v>0.16687720722900501</v>
      </c>
      <c r="H828">
        <v>7.1775193459893902E-2</v>
      </c>
      <c r="I828">
        <v>5.2762393235510498E-2</v>
      </c>
      <c r="J828">
        <v>7.1907868488293294E-2</v>
      </c>
      <c r="K828">
        <v>4.81396685398712E-2</v>
      </c>
      <c r="L828">
        <v>1228.1759566650801</v>
      </c>
      <c r="M828">
        <v>23.028604116124701</v>
      </c>
      <c r="N828">
        <v>53.5038294321824</v>
      </c>
      <c r="O828">
        <v>52.935362779167001</v>
      </c>
      <c r="P828">
        <v>-0.10489715365180501</v>
      </c>
      <c r="Q828">
        <v>3.5518915638595598E-2</v>
      </c>
      <c r="R828">
        <v>0.991293699112622</v>
      </c>
      <c r="S828" t="s">
        <v>4457</v>
      </c>
      <c r="T828" t="s">
        <v>7256</v>
      </c>
      <c r="U828" t="s">
        <v>7256</v>
      </c>
      <c r="V828" t="s">
        <v>7256</v>
      </c>
      <c r="W828">
        <v>18</v>
      </c>
      <c r="X828" t="s">
        <v>8084</v>
      </c>
      <c r="Y828">
        <v>0.47449860544472028</v>
      </c>
      <c r="Z828" t="str">
        <f>HYPERLINK("Melting_Curves/meltCurve_sp_P31150_GDIA_HUMAN_.pdf", "Melting_Curves/meltCurve_sp_P31150_GDIA_HUMAN_.pdf")</f>
        <v>Melting_Curves/meltCurve_sp_P31150_GDIA_HUMAN_.pdf</v>
      </c>
      <c r="AA828" t="s">
        <v>11696</v>
      </c>
      <c r="AB828" t="s">
        <v>15254</v>
      </c>
    </row>
    <row r="829" spans="1:28" x14ac:dyDescent="0.25">
      <c r="A829" t="s">
        <v>833</v>
      </c>
      <c r="B829">
        <v>0.98018197421672304</v>
      </c>
      <c r="C829">
        <v>0.97725771190009902</v>
      </c>
      <c r="D829">
        <v>0.90067538324970098</v>
      </c>
      <c r="E829">
        <v>0.74081758922801499</v>
      </c>
      <c r="F829">
        <v>0.50414235217081005</v>
      </c>
      <c r="G829">
        <v>0.226688450882571</v>
      </c>
      <c r="H829">
        <v>7.9457673637287604E-2</v>
      </c>
      <c r="I829">
        <v>5.4321032158510002E-2</v>
      </c>
      <c r="J829">
        <v>4.8565635973853598E-2</v>
      </c>
      <c r="K829">
        <v>3.6900328574965599E-2</v>
      </c>
      <c r="L829">
        <v>913.03507075691505</v>
      </c>
      <c r="M829">
        <v>17.275251671678198</v>
      </c>
      <c r="N829">
        <v>52.926800468824901</v>
      </c>
      <c r="O829">
        <v>52.159229683381703</v>
      </c>
      <c r="P829">
        <v>-8.1809446845289693E-2</v>
      </c>
      <c r="Q829">
        <v>1.20269624693977E-2</v>
      </c>
      <c r="R829">
        <v>0.99862752906512497</v>
      </c>
      <c r="S829" t="s">
        <v>4458</v>
      </c>
      <c r="T829" t="s">
        <v>7256</v>
      </c>
      <c r="U829" t="s">
        <v>7256</v>
      </c>
      <c r="V829" t="s">
        <v>7256</v>
      </c>
      <c r="W829">
        <v>18</v>
      </c>
      <c r="X829" t="s">
        <v>8085</v>
      </c>
      <c r="Y829">
        <v>0.45260202238160269</v>
      </c>
      <c r="Z829" t="str">
        <f>HYPERLINK("Melting_Curves/meltCurve_sp_P31153_METK2_HUMAN_.pdf", "Melting_Curves/meltCurve_sp_P31153_METK2_HUMAN_.pdf")</f>
        <v>Melting_Curves/meltCurve_sp_P31153_METK2_HUMAN_.pdf</v>
      </c>
      <c r="AA829" t="s">
        <v>11697</v>
      </c>
      <c r="AB829" t="s">
        <v>15255</v>
      </c>
    </row>
    <row r="830" spans="1:28" x14ac:dyDescent="0.25">
      <c r="A830" t="s">
        <v>834</v>
      </c>
      <c r="B830">
        <v>0.98018197421672304</v>
      </c>
      <c r="C830">
        <v>0.98454125207949295</v>
      </c>
      <c r="D830">
        <v>0.78037095718212801</v>
      </c>
      <c r="E830">
        <v>0.44105472842037802</v>
      </c>
      <c r="F830">
        <v>0.22758653861673001</v>
      </c>
      <c r="G830">
        <v>0.13517679683425199</v>
      </c>
      <c r="H830">
        <v>0.11064002360993</v>
      </c>
      <c r="I830">
        <v>9.3951651985627896E-2</v>
      </c>
      <c r="J830">
        <v>9.4548935593689501E-2</v>
      </c>
      <c r="K830">
        <v>0.17420457022779701</v>
      </c>
      <c r="L830">
        <v>1073.7003259559101</v>
      </c>
      <c r="M830">
        <v>22.089111345940601</v>
      </c>
      <c r="N830">
        <v>49.1725272637415</v>
      </c>
      <c r="O830">
        <v>48.214566715377003</v>
      </c>
      <c r="P830">
        <v>-0.101703605386331</v>
      </c>
      <c r="Q830">
        <v>0.11205371003624599</v>
      </c>
      <c r="R830">
        <v>0.99462541122895898</v>
      </c>
      <c r="S830" t="s">
        <v>4459</v>
      </c>
      <c r="T830" t="s">
        <v>7256</v>
      </c>
      <c r="U830" t="s">
        <v>7256</v>
      </c>
      <c r="V830" t="s">
        <v>7256</v>
      </c>
      <c r="W830">
        <v>6</v>
      </c>
      <c r="X830" t="s">
        <v>8086</v>
      </c>
      <c r="Y830">
        <v>0.37698965521205291</v>
      </c>
      <c r="Z830" t="str">
        <f>HYPERLINK("Melting_Curves/meltCurve_sp_P31321_KAP1_HUMAN_.pdf", "Melting_Curves/meltCurve_sp_P31321_KAP1_HUMAN_.pdf")</f>
        <v>Melting_Curves/meltCurve_sp_P31321_KAP1_HUMAN_.pdf</v>
      </c>
      <c r="AA830" t="s">
        <v>11698</v>
      </c>
      <c r="AB830" t="s">
        <v>15256</v>
      </c>
    </row>
    <row r="831" spans="1:28" x14ac:dyDescent="0.25">
      <c r="A831" t="s">
        <v>835</v>
      </c>
      <c r="B831">
        <v>0.98018197421672304</v>
      </c>
      <c r="C831">
        <v>0.86077519756290499</v>
      </c>
      <c r="D831">
        <v>0.96760542692833995</v>
      </c>
      <c r="E831">
        <v>0.82362254646842603</v>
      </c>
      <c r="F831">
        <v>0.527101861631461</v>
      </c>
      <c r="G831">
        <v>0.13114557239835101</v>
      </c>
      <c r="H831">
        <v>4.4121689497867503E-2</v>
      </c>
      <c r="I831">
        <v>3.1912149031978497E-2</v>
      </c>
      <c r="J831">
        <v>3.2753751250933397E-2</v>
      </c>
      <c r="K831">
        <v>2.4717052837144999E-2</v>
      </c>
      <c r="L831">
        <v>1395.22289444286</v>
      </c>
      <c r="M831">
        <v>26.324403900037101</v>
      </c>
      <c r="N831">
        <v>53.078718039630402</v>
      </c>
      <c r="O831">
        <v>52.698097055159899</v>
      </c>
      <c r="P831">
        <v>-0.12252703349104099</v>
      </c>
      <c r="Q831">
        <v>1.8876812807253701E-2</v>
      </c>
      <c r="R831">
        <v>0.98768552644117502</v>
      </c>
      <c r="S831" t="s">
        <v>4460</v>
      </c>
      <c r="T831" t="s">
        <v>7256</v>
      </c>
      <c r="U831" t="s">
        <v>7256</v>
      </c>
      <c r="V831" t="s">
        <v>7256</v>
      </c>
      <c r="W831">
        <v>115</v>
      </c>
      <c r="X831" t="s">
        <v>8087</v>
      </c>
      <c r="Y831">
        <v>0.4522597950405115</v>
      </c>
      <c r="Z831" t="str">
        <f>HYPERLINK("Melting_Curves/meltCurve_sp_P31327_CPSM_HUMAN_.pdf", "Melting_Curves/meltCurve_sp_P31327_CPSM_HUMAN_.pdf")</f>
        <v>Melting_Curves/meltCurve_sp_P31327_CPSM_HUMAN_.pdf</v>
      </c>
      <c r="AA831" t="s">
        <v>11699</v>
      </c>
      <c r="AB831" t="s">
        <v>15257</v>
      </c>
    </row>
    <row r="832" spans="1:28" x14ac:dyDescent="0.25">
      <c r="A832" t="s">
        <v>836</v>
      </c>
      <c r="B832">
        <v>0.98018197421672304</v>
      </c>
      <c r="C832">
        <v>0.85320157198639102</v>
      </c>
      <c r="D832">
        <v>0.83895033898084703</v>
      </c>
      <c r="E832">
        <v>0.61295061866979395</v>
      </c>
      <c r="F832">
        <v>0.36327776840793802</v>
      </c>
      <c r="G832">
        <v>0.15920720205484301</v>
      </c>
      <c r="H832">
        <v>9.3705770712310801E-2</v>
      </c>
      <c r="I832">
        <v>9.3294575861510701E-2</v>
      </c>
      <c r="J832">
        <v>8.1380778130624498E-2</v>
      </c>
      <c r="K832">
        <v>8.6630482689027496E-2</v>
      </c>
      <c r="L832">
        <v>763.69894583633004</v>
      </c>
      <c r="M832">
        <v>15.080728403069999</v>
      </c>
      <c r="N832">
        <v>50.978489050712199</v>
      </c>
      <c r="O832">
        <v>49.775310810133199</v>
      </c>
      <c r="P832">
        <v>-7.2149878792741096E-2</v>
      </c>
      <c r="Q832">
        <v>4.754536933853E-2</v>
      </c>
      <c r="R832">
        <v>0.98985132019755695</v>
      </c>
      <c r="S832" t="s">
        <v>4461</v>
      </c>
      <c r="T832" t="s">
        <v>7256</v>
      </c>
      <c r="U832" t="s">
        <v>7256</v>
      </c>
      <c r="V832" t="s">
        <v>7256</v>
      </c>
      <c r="W832">
        <v>8</v>
      </c>
      <c r="X832" t="s">
        <v>8088</v>
      </c>
      <c r="Y832">
        <v>0.40742633918949228</v>
      </c>
      <c r="Z832" t="str">
        <f>HYPERLINK("Melting_Curves/meltCurve_sp_P31689_DNJA1_HUMAN_.pdf", "Melting_Curves/meltCurve_sp_P31689_DNJA1_HUMAN_.pdf")</f>
        <v>Melting_Curves/meltCurve_sp_P31689_DNJA1_HUMAN_.pdf</v>
      </c>
      <c r="AA832" t="s">
        <v>11700</v>
      </c>
      <c r="AB832" t="s">
        <v>15258</v>
      </c>
    </row>
    <row r="833" spans="1:28" x14ac:dyDescent="0.25">
      <c r="A833" t="s">
        <v>837</v>
      </c>
      <c r="B833">
        <v>0.98018197421672304</v>
      </c>
      <c r="C833">
        <v>0.93310066035539496</v>
      </c>
      <c r="D833">
        <v>0.81284500614726796</v>
      </c>
      <c r="E833">
        <v>0.56912348698286197</v>
      </c>
      <c r="F833">
        <v>0.26958959952548101</v>
      </c>
      <c r="G833">
        <v>0.145620008723189</v>
      </c>
      <c r="H833">
        <v>0.10139979378316601</v>
      </c>
      <c r="I833">
        <v>8.7785564375018804E-2</v>
      </c>
      <c r="J833">
        <v>8.0314638355289306E-2</v>
      </c>
      <c r="K833">
        <v>4.2608169116211E-2</v>
      </c>
      <c r="L833">
        <v>877.68096935459403</v>
      </c>
      <c r="M833">
        <v>17.565085657618098</v>
      </c>
      <c r="N833">
        <v>50.302509741688802</v>
      </c>
      <c r="O833">
        <v>49.333206095128801</v>
      </c>
      <c r="P833">
        <v>-8.4101698206872494E-2</v>
      </c>
      <c r="Q833">
        <v>5.5220901639921202E-2</v>
      </c>
      <c r="R833">
        <v>0.99624472424264598</v>
      </c>
      <c r="S833" t="s">
        <v>4462</v>
      </c>
      <c r="T833" t="s">
        <v>7256</v>
      </c>
      <c r="U833" t="s">
        <v>7256</v>
      </c>
      <c r="V833" t="s">
        <v>7256</v>
      </c>
      <c r="W833">
        <v>10</v>
      </c>
      <c r="X833" t="s">
        <v>8089</v>
      </c>
      <c r="Y833">
        <v>0.38600272547220887</v>
      </c>
      <c r="Z833" t="str">
        <f>HYPERLINK("Melting_Curves/meltCurve_sp_P31749_AKT1_HUMAN_.pdf", "Melting_Curves/meltCurve_sp_P31749_AKT1_HUMAN_.pdf")</f>
        <v>Melting_Curves/meltCurve_sp_P31749_AKT1_HUMAN_.pdf</v>
      </c>
      <c r="AA833" t="s">
        <v>11701</v>
      </c>
      <c r="AB833" t="s">
        <v>15259</v>
      </c>
    </row>
    <row r="834" spans="1:28" x14ac:dyDescent="0.25">
      <c r="A834" t="s">
        <v>838</v>
      </c>
      <c r="B834">
        <v>0.98018197421672304</v>
      </c>
      <c r="C834">
        <v>0.96195385866050698</v>
      </c>
      <c r="D834">
        <v>0.90106236439964504</v>
      </c>
      <c r="E834">
        <v>0.72744085261264302</v>
      </c>
      <c r="F834">
        <v>0.42643836507484101</v>
      </c>
      <c r="G834">
        <v>0.15587295262178699</v>
      </c>
      <c r="H834">
        <v>9.69263501410835E-2</v>
      </c>
      <c r="I834">
        <v>6.8970884531978804E-2</v>
      </c>
      <c r="J834">
        <v>0.122846820393786</v>
      </c>
      <c r="K834">
        <v>6.1030684703973E-2</v>
      </c>
      <c r="L834">
        <v>1128.6148392437401</v>
      </c>
      <c r="M834">
        <v>21.7920621640612</v>
      </c>
      <c r="N834">
        <v>52.146798369492402</v>
      </c>
      <c r="O834">
        <v>51.359982084582001</v>
      </c>
      <c r="P834">
        <v>-9.8734080484140896E-2</v>
      </c>
      <c r="Q834">
        <v>6.9227496966155599E-2</v>
      </c>
      <c r="R834">
        <v>0.99542514246441205</v>
      </c>
      <c r="S834" t="s">
        <v>4463</v>
      </c>
      <c r="T834" t="s">
        <v>7256</v>
      </c>
      <c r="U834" t="s">
        <v>7256</v>
      </c>
      <c r="V834" t="s">
        <v>7256</v>
      </c>
      <c r="W834">
        <v>14</v>
      </c>
      <c r="X834" t="s">
        <v>8090</v>
      </c>
      <c r="Y834">
        <v>0.44603678262635288</v>
      </c>
      <c r="Z834" t="str">
        <f>HYPERLINK("Melting_Curves/meltCurve_sp_P31751_AKT2_HUMAN_.pdf", "Melting_Curves/meltCurve_sp_P31751_AKT2_HUMAN_.pdf")</f>
        <v>Melting_Curves/meltCurve_sp_P31751_AKT2_HUMAN_.pdf</v>
      </c>
      <c r="AA834" t="s">
        <v>11702</v>
      </c>
      <c r="AB834" t="s">
        <v>15260</v>
      </c>
    </row>
    <row r="835" spans="1:28" x14ac:dyDescent="0.25">
      <c r="A835" t="s">
        <v>839</v>
      </c>
      <c r="B835">
        <v>0.98018197421672304</v>
      </c>
      <c r="C835">
        <v>0.75690803897032899</v>
      </c>
      <c r="D835">
        <v>0.35186037067641701</v>
      </c>
      <c r="E835">
        <v>0.15136263546980999</v>
      </c>
      <c r="F835">
        <v>8.2603593054733998E-2</v>
      </c>
      <c r="G835">
        <v>6.2899912364570001E-2</v>
      </c>
      <c r="H835">
        <v>4.7539355612883E-2</v>
      </c>
      <c r="I835">
        <v>4.5592470710002102E-2</v>
      </c>
      <c r="J835">
        <v>4.8579532684487003E-2</v>
      </c>
      <c r="K835">
        <v>4.7627725806089601E-2</v>
      </c>
      <c r="L835">
        <v>1124.2760848723201</v>
      </c>
      <c r="M835">
        <v>25.1469284433547</v>
      </c>
      <c r="N835">
        <v>44.918525082725601</v>
      </c>
      <c r="O835">
        <v>44.428433123874903</v>
      </c>
      <c r="P835">
        <v>-0.13364754456653599</v>
      </c>
      <c r="Q835">
        <v>5.5523142587866302E-2</v>
      </c>
      <c r="R835">
        <v>0.99756228280398895</v>
      </c>
      <c r="S835" t="s">
        <v>4464</v>
      </c>
      <c r="T835" t="s">
        <v>7256</v>
      </c>
      <c r="U835" t="s">
        <v>7256</v>
      </c>
      <c r="V835" t="s">
        <v>7256</v>
      </c>
      <c r="W835">
        <v>4</v>
      </c>
      <c r="X835" t="s">
        <v>8091</v>
      </c>
      <c r="Y835">
        <v>0.2133413302953461</v>
      </c>
      <c r="Z835" t="str">
        <f>HYPERLINK("Melting_Curves/meltCurve_sp_P31930_QCR1_HUMAN_.pdf", "Melting_Curves/meltCurve_sp_P31930_QCR1_HUMAN_.pdf")</f>
        <v>Melting_Curves/meltCurve_sp_P31930_QCR1_HUMAN_.pdf</v>
      </c>
      <c r="AA835" t="s">
        <v>11703</v>
      </c>
      <c r="AB835" t="s">
        <v>15261</v>
      </c>
    </row>
    <row r="836" spans="1:28" x14ac:dyDescent="0.25">
      <c r="A836" t="s">
        <v>840</v>
      </c>
      <c r="B836">
        <v>0.98018197421672304</v>
      </c>
      <c r="C836">
        <v>0.95704380464914396</v>
      </c>
      <c r="D836">
        <v>0.95501949473288905</v>
      </c>
      <c r="E836">
        <v>0.899270551002746</v>
      </c>
      <c r="F836">
        <v>0.85067479975401195</v>
      </c>
      <c r="G836">
        <v>0.80213047057332898</v>
      </c>
      <c r="H836">
        <v>0.56380797166908203</v>
      </c>
      <c r="I836">
        <v>0.18069079352393599</v>
      </c>
      <c r="J836">
        <v>4.1806957578144503E-2</v>
      </c>
      <c r="K836">
        <v>4.1433182605381501E-2</v>
      </c>
      <c r="L836">
        <v>1431.2912129976601</v>
      </c>
      <c r="M836">
        <v>23.560061046975001</v>
      </c>
      <c r="N836">
        <v>60.7507236065494</v>
      </c>
      <c r="O836">
        <v>60.318152650433198</v>
      </c>
      <c r="P836">
        <v>-9.7650803933018698E-2</v>
      </c>
      <c r="Q836">
        <v>0</v>
      </c>
      <c r="R836">
        <v>0.97007868807876696</v>
      </c>
      <c r="S836" t="s">
        <v>4465</v>
      </c>
      <c r="T836" t="s">
        <v>7256</v>
      </c>
      <c r="U836" t="s">
        <v>7256</v>
      </c>
      <c r="V836" t="s">
        <v>7256</v>
      </c>
      <c r="W836">
        <v>11</v>
      </c>
      <c r="X836" t="s">
        <v>8092</v>
      </c>
      <c r="Y836">
        <v>0.69846403334809892</v>
      </c>
      <c r="Z836" t="str">
        <f>HYPERLINK("Melting_Curves/meltCurve_sp_P31937_3HIDH_HUMAN_.pdf", "Melting_Curves/meltCurve_sp_P31937_3HIDH_HUMAN_.pdf")</f>
        <v>Melting_Curves/meltCurve_sp_P31937_3HIDH_HUMAN_.pdf</v>
      </c>
      <c r="AA836" t="s">
        <v>11704</v>
      </c>
      <c r="AB836" t="s">
        <v>15262</v>
      </c>
    </row>
    <row r="837" spans="1:28" x14ac:dyDescent="0.25">
      <c r="A837" t="s">
        <v>841</v>
      </c>
      <c r="B837">
        <v>0.98018197421672304</v>
      </c>
      <c r="C837">
        <v>0.92412561491851097</v>
      </c>
      <c r="D837">
        <v>0.689359386120309</v>
      </c>
      <c r="E837">
        <v>0.25949556874970597</v>
      </c>
      <c r="F837">
        <v>0.150573044015784</v>
      </c>
      <c r="G837">
        <v>8.6408694324087307E-2</v>
      </c>
      <c r="H837">
        <v>5.8981597012400099E-2</v>
      </c>
      <c r="I837">
        <v>3.7109035125243599E-2</v>
      </c>
      <c r="J837">
        <v>5.0133896303221001E-2</v>
      </c>
      <c r="K837">
        <v>2.7703990183419201E-2</v>
      </c>
      <c r="L837">
        <v>1060.8786732307501</v>
      </c>
      <c r="M837">
        <v>22.356675074711202</v>
      </c>
      <c r="N837">
        <v>47.660787916348298</v>
      </c>
      <c r="O837">
        <v>47.077649737728699</v>
      </c>
      <c r="P837">
        <v>-0.11319758084755401</v>
      </c>
      <c r="Q837">
        <v>4.6554727523299901E-2</v>
      </c>
      <c r="R837">
        <v>0.99871198347857004</v>
      </c>
      <c r="S837" t="s">
        <v>4466</v>
      </c>
      <c r="T837" t="s">
        <v>7256</v>
      </c>
      <c r="U837" t="s">
        <v>7256</v>
      </c>
      <c r="V837" t="s">
        <v>7256</v>
      </c>
      <c r="W837">
        <v>17</v>
      </c>
      <c r="X837" t="s">
        <v>8093</v>
      </c>
      <c r="Y837">
        <v>0.29418503144854907</v>
      </c>
      <c r="Z837" t="str">
        <f>HYPERLINK("Melting_Curves/meltCurve_sp_P31939_PUR9_HUMAN_.pdf", "Melting_Curves/meltCurve_sp_P31939_PUR9_HUMAN_.pdf")</f>
        <v>Melting_Curves/meltCurve_sp_P31939_PUR9_HUMAN_.pdf</v>
      </c>
      <c r="AA837" t="s">
        <v>11705</v>
      </c>
      <c r="AB837" t="s">
        <v>15263</v>
      </c>
    </row>
    <row r="838" spans="1:28" x14ac:dyDescent="0.25">
      <c r="A838" t="s">
        <v>842</v>
      </c>
      <c r="B838">
        <v>0.98018197421672304</v>
      </c>
      <c r="C838">
        <v>1.00949388221103</v>
      </c>
      <c r="D838">
        <v>0.88941477472312802</v>
      </c>
      <c r="E838">
        <v>0.65227998523570396</v>
      </c>
      <c r="F838">
        <v>0.44765090680314101</v>
      </c>
      <c r="G838">
        <v>0.26805561255175803</v>
      </c>
      <c r="H838">
        <v>0.18969855824285001</v>
      </c>
      <c r="I838">
        <v>0.15019877911272</v>
      </c>
      <c r="J838">
        <v>0.215103234358831</v>
      </c>
      <c r="K838">
        <v>0.173845664093177</v>
      </c>
      <c r="L838">
        <v>960.59439079607</v>
      </c>
      <c r="M838">
        <v>18.857513792134601</v>
      </c>
      <c r="N838">
        <v>52.063892803462103</v>
      </c>
      <c r="O838">
        <v>50.3771392225458</v>
      </c>
      <c r="P838">
        <v>-7.7933298539993007E-2</v>
      </c>
      <c r="Q838">
        <v>0.16725075227264999</v>
      </c>
      <c r="R838">
        <v>0.99600660555851395</v>
      </c>
      <c r="S838" t="s">
        <v>4467</v>
      </c>
      <c r="T838" t="s">
        <v>7256</v>
      </c>
      <c r="U838" t="s">
        <v>7256</v>
      </c>
      <c r="V838" t="s">
        <v>7256</v>
      </c>
      <c r="W838">
        <v>6</v>
      </c>
      <c r="X838" t="s">
        <v>8094</v>
      </c>
      <c r="Y838">
        <v>0.48381340467812528</v>
      </c>
      <c r="Z838" t="str">
        <f>HYPERLINK("Melting_Curves/meltCurve_sp_P31942_2_HNRH3_HUMAN_.pdf", "Melting_Curves/meltCurve_sp_P31942_2_HNRH3_HUMAN_.pdf")</f>
        <v>Melting_Curves/meltCurve_sp_P31942_2_HNRH3_HUMAN_.pdf</v>
      </c>
      <c r="AA838" t="s">
        <v>11706</v>
      </c>
      <c r="AB838" t="s">
        <v>15264</v>
      </c>
    </row>
    <row r="839" spans="1:28" x14ac:dyDescent="0.25">
      <c r="A839" t="s">
        <v>843</v>
      </c>
      <c r="B839">
        <v>0.98018197421672304</v>
      </c>
      <c r="C839">
        <v>0.79453567245138401</v>
      </c>
      <c r="D839">
        <v>1.22049321241704</v>
      </c>
      <c r="E839">
        <v>0.88416902385540397</v>
      </c>
      <c r="F839">
        <v>0.72911412142398602</v>
      </c>
      <c r="G839">
        <v>1.0405432701525099</v>
      </c>
      <c r="H839">
        <v>3.01835740382958</v>
      </c>
      <c r="I839">
        <v>0.56431097016074905</v>
      </c>
      <c r="J839">
        <v>1.6634006030760899</v>
      </c>
      <c r="K839">
        <v>5.1716542017811404</v>
      </c>
      <c r="L839">
        <v>14388.356105778799</v>
      </c>
      <c r="M839">
        <v>250</v>
      </c>
      <c r="O839">
        <v>57.549741558321102</v>
      </c>
      <c r="P839">
        <v>0.54300852243956199</v>
      </c>
      <c r="Q839">
        <v>1.5</v>
      </c>
      <c r="R839">
        <v>9.3456654743934095E-2</v>
      </c>
      <c r="S839" t="s">
        <v>4468</v>
      </c>
      <c r="T839" t="s">
        <v>7256</v>
      </c>
      <c r="U839" t="s">
        <v>7256</v>
      </c>
      <c r="V839" t="s">
        <v>7256</v>
      </c>
      <c r="W839">
        <v>1</v>
      </c>
      <c r="X839" t="s">
        <v>8095</v>
      </c>
      <c r="Y839">
        <v>1.207392423599347</v>
      </c>
      <c r="Z839" t="str">
        <f>HYPERLINK("Melting_Curves/meltCurve_sp_P31944_CASPE_HUMAN_.pdf", "Melting_Curves/meltCurve_sp_P31944_CASPE_HUMAN_.pdf")</f>
        <v>Melting_Curves/meltCurve_sp_P31944_CASPE_HUMAN_.pdf</v>
      </c>
      <c r="AA839" t="s">
        <v>11707</v>
      </c>
      <c r="AB839" t="s">
        <v>15265</v>
      </c>
    </row>
    <row r="840" spans="1:28" x14ac:dyDescent="0.25">
      <c r="A840" t="s">
        <v>844</v>
      </c>
      <c r="B840">
        <v>0.98018197421672304</v>
      </c>
      <c r="C840">
        <v>0.97443451987756102</v>
      </c>
      <c r="D840">
        <v>0.94201315304891897</v>
      </c>
      <c r="E840">
        <v>0.83725502070264202</v>
      </c>
      <c r="F840">
        <v>0.80635202716550403</v>
      </c>
      <c r="G840">
        <v>0.650949478981667</v>
      </c>
      <c r="H840">
        <v>0.25905188556735698</v>
      </c>
      <c r="I840">
        <v>0.17283988682477</v>
      </c>
      <c r="J840">
        <v>0.11255454132847301</v>
      </c>
      <c r="K840">
        <v>9.4656644228523407E-2</v>
      </c>
      <c r="L840">
        <v>869.22375586237604</v>
      </c>
      <c r="M840">
        <v>15.000570721437301</v>
      </c>
      <c r="N840">
        <v>57.946045844609301</v>
      </c>
      <c r="O840">
        <v>56.945485299671098</v>
      </c>
      <c r="P840">
        <v>-6.5861612435501399E-2</v>
      </c>
      <c r="Q840">
        <v>0</v>
      </c>
      <c r="R840">
        <v>0.98361064934847098</v>
      </c>
      <c r="S840" t="s">
        <v>4469</v>
      </c>
      <c r="T840" t="s">
        <v>7256</v>
      </c>
      <c r="U840" t="s">
        <v>7256</v>
      </c>
      <c r="V840" t="s">
        <v>7256</v>
      </c>
      <c r="W840">
        <v>14</v>
      </c>
      <c r="X840" t="s">
        <v>8096</v>
      </c>
      <c r="Y840">
        <v>0.61177507228294847</v>
      </c>
      <c r="Z840" t="str">
        <f>HYPERLINK("Melting_Curves/meltCurve_sp_P31946_2_1433B_HUMAN_.pdf", "Melting_Curves/meltCurve_sp_P31946_2_1433B_HUMAN_.pdf")</f>
        <v>Melting_Curves/meltCurve_sp_P31946_2_1433B_HUMAN_.pdf</v>
      </c>
      <c r="AA840" t="s">
        <v>11708</v>
      </c>
      <c r="AB840" t="s">
        <v>15266</v>
      </c>
    </row>
    <row r="841" spans="1:28" x14ac:dyDescent="0.25">
      <c r="A841" t="s">
        <v>845</v>
      </c>
      <c r="B841">
        <v>0.98018197421672304</v>
      </c>
      <c r="C841">
        <v>0.926177377667045</v>
      </c>
      <c r="D841">
        <v>0.96142877659447201</v>
      </c>
      <c r="E841">
        <v>0.93698227289768798</v>
      </c>
      <c r="F841">
        <v>0.96316736296875705</v>
      </c>
      <c r="G841">
        <v>0.78115991752642799</v>
      </c>
      <c r="H841">
        <v>0.32274437963936198</v>
      </c>
      <c r="I841">
        <v>0.14579483244286201</v>
      </c>
      <c r="J841">
        <v>0.26151249077052902</v>
      </c>
      <c r="K841">
        <v>4.7180327654121702E-2</v>
      </c>
      <c r="L841">
        <v>1963.2398926869901</v>
      </c>
      <c r="M841">
        <v>33.401750001072003</v>
      </c>
      <c r="N841">
        <v>59.298227678378602</v>
      </c>
      <c r="O841">
        <v>58.5670782957624</v>
      </c>
      <c r="P841">
        <v>-0.124428513171713</v>
      </c>
      <c r="Q841">
        <v>0.12730517652809001</v>
      </c>
      <c r="R841">
        <v>0.97484976447758898</v>
      </c>
      <c r="S841" t="s">
        <v>4470</v>
      </c>
      <c r="T841" t="s">
        <v>7256</v>
      </c>
      <c r="U841" t="s">
        <v>7256</v>
      </c>
      <c r="V841" t="s">
        <v>7256</v>
      </c>
      <c r="W841">
        <v>6</v>
      </c>
      <c r="X841" t="s">
        <v>8097</v>
      </c>
      <c r="Y841">
        <v>0.67824854768455922</v>
      </c>
      <c r="Z841" t="str">
        <f>HYPERLINK("Melting_Curves/meltCurve_sp_P31947_2_1433S_HUMAN_.pdf", "Melting_Curves/meltCurve_sp_P31947_2_1433S_HUMAN_.pdf")</f>
        <v>Melting_Curves/meltCurve_sp_P31947_2_1433S_HUMAN_.pdf</v>
      </c>
      <c r="AA841" t="s">
        <v>11709</v>
      </c>
      <c r="AB841" t="s">
        <v>15267</v>
      </c>
    </row>
    <row r="842" spans="1:28" x14ac:dyDescent="0.25">
      <c r="A842" t="s">
        <v>846</v>
      </c>
      <c r="B842">
        <v>0.98018197421672304</v>
      </c>
      <c r="C842">
        <v>0.94121852245492299</v>
      </c>
      <c r="D842">
        <v>0.91273743729469703</v>
      </c>
      <c r="E842">
        <v>0.83516361217602597</v>
      </c>
      <c r="F842">
        <v>0.71540886852174501</v>
      </c>
      <c r="G842">
        <v>0.51802899525313695</v>
      </c>
      <c r="H842">
        <v>0.439343399991596</v>
      </c>
      <c r="I842">
        <v>0.45834684114695601</v>
      </c>
      <c r="J842">
        <v>0.42727331957825099</v>
      </c>
      <c r="K842">
        <v>0.51592131415708598</v>
      </c>
      <c r="L842">
        <v>920.05114256771401</v>
      </c>
      <c r="M842">
        <v>17.629219830426099</v>
      </c>
      <c r="N842">
        <v>59.354952455596901</v>
      </c>
      <c r="O842">
        <v>51.5313656477338</v>
      </c>
      <c r="P842">
        <v>-4.7855975439265903E-2</v>
      </c>
      <c r="Q842">
        <v>0.44048547940493998</v>
      </c>
      <c r="R842">
        <v>0.97174048184317097</v>
      </c>
      <c r="S842" t="s">
        <v>4471</v>
      </c>
      <c r="T842" t="s">
        <v>7256</v>
      </c>
      <c r="U842" t="s">
        <v>7256</v>
      </c>
      <c r="V842" t="s">
        <v>7256</v>
      </c>
      <c r="W842">
        <v>44</v>
      </c>
      <c r="X842" t="s">
        <v>8098</v>
      </c>
      <c r="Y842">
        <v>0.6774317916776107</v>
      </c>
      <c r="Z842" t="str">
        <f>HYPERLINK("Melting_Curves/meltCurve_sp_P31948_STIP1_HUMAN_.pdf", "Melting_Curves/meltCurve_sp_P31948_STIP1_HUMAN_.pdf")</f>
        <v>Melting_Curves/meltCurve_sp_P31948_STIP1_HUMAN_.pdf</v>
      </c>
      <c r="AA842" t="s">
        <v>11710</v>
      </c>
      <c r="AB842" t="s">
        <v>15268</v>
      </c>
    </row>
    <row r="843" spans="1:28" x14ac:dyDescent="0.25">
      <c r="A843" t="s">
        <v>847</v>
      </c>
      <c r="B843">
        <v>0.98018197421672304</v>
      </c>
      <c r="C843">
        <v>0.93525544849689601</v>
      </c>
      <c r="D843">
        <v>0.70451767628718498</v>
      </c>
      <c r="E843">
        <v>0.77560126830598497</v>
      </c>
      <c r="F843">
        <v>0.72508625674861504</v>
      </c>
      <c r="G843">
        <v>0.68451732326891201</v>
      </c>
      <c r="H843">
        <v>0.450661198508025</v>
      </c>
      <c r="I843">
        <v>0.40500873503145801</v>
      </c>
      <c r="J843">
        <v>0.53076564684641803</v>
      </c>
      <c r="K843">
        <v>0.440739931199775</v>
      </c>
      <c r="L843">
        <v>347.25962877428498</v>
      </c>
      <c r="M843">
        <v>6.3300366156240599</v>
      </c>
      <c r="N843">
        <v>63.384414232164303</v>
      </c>
      <c r="O843">
        <v>50.148658316553004</v>
      </c>
      <c r="P843">
        <v>-2.2572685527647102E-2</v>
      </c>
      <c r="Q843">
        <v>0.286593335425676</v>
      </c>
      <c r="R843">
        <v>0.86520265907452298</v>
      </c>
      <c r="S843" t="s">
        <v>4472</v>
      </c>
      <c r="T843" t="s">
        <v>7256</v>
      </c>
      <c r="U843" t="s">
        <v>7256</v>
      </c>
      <c r="V843" t="s">
        <v>7256</v>
      </c>
      <c r="W843">
        <v>4</v>
      </c>
      <c r="X843" t="s">
        <v>8099</v>
      </c>
      <c r="Y843">
        <v>0.65990271472424999</v>
      </c>
      <c r="Z843" t="str">
        <f>HYPERLINK("Melting_Curves/meltCurve_sp_P31949_S10AB_HUMAN_.pdf", "Melting_Curves/meltCurve_sp_P31949_S10AB_HUMAN_.pdf")</f>
        <v>Melting_Curves/meltCurve_sp_P31949_S10AB_HUMAN_.pdf</v>
      </c>
      <c r="AA843" t="s">
        <v>11711</v>
      </c>
      <c r="AB843" t="s">
        <v>15269</v>
      </c>
    </row>
    <row r="844" spans="1:28" x14ac:dyDescent="0.25">
      <c r="A844" t="s">
        <v>848</v>
      </c>
      <c r="B844">
        <v>0.98018197421672304</v>
      </c>
      <c r="C844">
        <v>0.87579151412911305</v>
      </c>
      <c r="D844">
        <v>0.96110702358613198</v>
      </c>
      <c r="E844">
        <v>0.85151729686848499</v>
      </c>
      <c r="F844">
        <v>0.64795486023635396</v>
      </c>
      <c r="G844">
        <v>0.325298368113003</v>
      </c>
      <c r="H844">
        <v>0.148174857020724</v>
      </c>
      <c r="I844">
        <v>0.13664992184147601</v>
      </c>
      <c r="J844">
        <v>0.113384805706298</v>
      </c>
      <c r="K844">
        <v>0.10891515755476699</v>
      </c>
      <c r="L844">
        <v>1092.8349447119101</v>
      </c>
      <c r="M844">
        <v>20.219616056624201</v>
      </c>
      <c r="N844">
        <v>54.591606987434403</v>
      </c>
      <c r="O844">
        <v>53.527913007645701</v>
      </c>
      <c r="P844">
        <v>-8.5830061279395006E-2</v>
      </c>
      <c r="Q844">
        <v>9.1147764059329603E-2</v>
      </c>
      <c r="R844">
        <v>0.98800639655711198</v>
      </c>
      <c r="S844" t="s">
        <v>4473</v>
      </c>
      <c r="T844" t="s">
        <v>7256</v>
      </c>
      <c r="U844" t="s">
        <v>7256</v>
      </c>
      <c r="V844" t="s">
        <v>7256</v>
      </c>
      <c r="W844">
        <v>13</v>
      </c>
      <c r="X844" t="s">
        <v>8100</v>
      </c>
      <c r="Y844">
        <v>0.52886843598113764</v>
      </c>
      <c r="Z844" t="str">
        <f>HYPERLINK("Melting_Curves/meltCurve_sp_P32119_PRDX2_HUMAN_.pdf", "Melting_Curves/meltCurve_sp_P32119_PRDX2_HUMAN_.pdf")</f>
        <v>Melting_Curves/meltCurve_sp_P32119_PRDX2_HUMAN_.pdf</v>
      </c>
      <c r="AA844" t="s">
        <v>11712</v>
      </c>
      <c r="AB844" t="s">
        <v>15270</v>
      </c>
    </row>
    <row r="845" spans="1:28" x14ac:dyDescent="0.25">
      <c r="A845" t="s">
        <v>849</v>
      </c>
      <c r="B845">
        <v>0.98018197421672304</v>
      </c>
      <c r="C845">
        <v>0.94650308253293602</v>
      </c>
      <c r="D845">
        <v>0.91896490300433398</v>
      </c>
      <c r="E845">
        <v>0.80044512397880396</v>
      </c>
      <c r="F845">
        <v>0.62111256239974799</v>
      </c>
      <c r="G845">
        <v>0.443839807021365</v>
      </c>
      <c r="H845">
        <v>0.28750955532491201</v>
      </c>
      <c r="I845">
        <v>0.250414190970493</v>
      </c>
      <c r="J845">
        <v>0.20366091427229999</v>
      </c>
      <c r="K845">
        <v>0.131393967743622</v>
      </c>
      <c r="L845">
        <v>643.26833827317796</v>
      </c>
      <c r="M845">
        <v>11.7237510406098</v>
      </c>
      <c r="N845">
        <v>55.775187484692701</v>
      </c>
      <c r="O845">
        <v>53.345376071623498</v>
      </c>
      <c r="P845">
        <v>-5.0190523353338498E-2</v>
      </c>
      <c r="Q845">
        <v>8.6733871649477601E-2</v>
      </c>
      <c r="R845">
        <v>0.99738111240649696</v>
      </c>
      <c r="S845" t="s">
        <v>4474</v>
      </c>
      <c r="T845" t="s">
        <v>7256</v>
      </c>
      <c r="U845" t="s">
        <v>7256</v>
      </c>
      <c r="V845" t="s">
        <v>7256</v>
      </c>
      <c r="W845">
        <v>19</v>
      </c>
      <c r="X845" t="s">
        <v>8101</v>
      </c>
      <c r="Y845">
        <v>0.56148919645359796</v>
      </c>
      <c r="Z845" t="str">
        <f>HYPERLINK("Melting_Curves/meltCurve_sp_P32189_1_GLPK_HUMAN_.pdf", "Melting_Curves/meltCurve_sp_P32189_1_GLPK_HUMAN_.pdf")</f>
        <v>Melting_Curves/meltCurve_sp_P32189_1_GLPK_HUMAN_.pdf</v>
      </c>
      <c r="AA845" t="s">
        <v>11713</v>
      </c>
      <c r="AB845" t="s">
        <v>15271</v>
      </c>
    </row>
    <row r="846" spans="1:28" x14ac:dyDescent="0.25">
      <c r="A846" t="s">
        <v>850</v>
      </c>
      <c r="B846">
        <v>0.98018197421672304</v>
      </c>
      <c r="C846">
        <v>1.0077249280898699</v>
      </c>
      <c r="D846">
        <v>0.919676658560171</v>
      </c>
      <c r="E846">
        <v>0.87549714835888603</v>
      </c>
      <c r="F846">
        <v>0.80763886916622696</v>
      </c>
      <c r="G846">
        <v>0.73733981370247803</v>
      </c>
      <c r="H846">
        <v>0.50382990123877103</v>
      </c>
      <c r="I846">
        <v>0.62248344856850601</v>
      </c>
      <c r="J846">
        <v>0.52809273083213304</v>
      </c>
      <c r="K846">
        <v>0.76085241668867198</v>
      </c>
      <c r="L846">
        <v>911.912375790086</v>
      </c>
      <c r="M846">
        <v>17.375982852625999</v>
      </c>
      <c r="O846">
        <v>51.800880403170098</v>
      </c>
      <c r="P846">
        <v>-3.3274744185280501E-2</v>
      </c>
      <c r="Q846">
        <v>0.603230887291482</v>
      </c>
      <c r="R846">
        <v>0.81186063089050597</v>
      </c>
      <c r="S846" t="s">
        <v>4475</v>
      </c>
      <c r="T846" t="s">
        <v>7256</v>
      </c>
      <c r="U846" t="s">
        <v>7256</v>
      </c>
      <c r="V846" t="s">
        <v>7256</v>
      </c>
      <c r="W846">
        <v>5</v>
      </c>
      <c r="X846" t="s">
        <v>8102</v>
      </c>
      <c r="Y846">
        <v>0.77524871730897604</v>
      </c>
      <c r="Z846" t="str">
        <f>HYPERLINK("Melting_Curves/meltCurve_sp_P32320_CDD_HUMAN_.pdf", "Melting_Curves/meltCurve_sp_P32320_CDD_HUMAN_.pdf")</f>
        <v>Melting_Curves/meltCurve_sp_P32320_CDD_HUMAN_.pdf</v>
      </c>
      <c r="AA846" t="s">
        <v>11714</v>
      </c>
      <c r="AB846" t="s">
        <v>15272</v>
      </c>
    </row>
    <row r="847" spans="1:28" x14ac:dyDescent="0.25">
      <c r="A847" t="s">
        <v>851</v>
      </c>
      <c r="B847">
        <v>0.98018197421672304</v>
      </c>
      <c r="C847">
        <v>0.94601757203923997</v>
      </c>
      <c r="D847">
        <v>0.95333046930145904</v>
      </c>
      <c r="E847">
        <v>0.84493857105141901</v>
      </c>
      <c r="F847">
        <v>0.83884145232992402</v>
      </c>
      <c r="G847">
        <v>0.66176874368400196</v>
      </c>
      <c r="H847">
        <v>0.28638123578049302</v>
      </c>
      <c r="I847">
        <v>9.2938342152943804E-2</v>
      </c>
      <c r="J847">
        <v>3.3403890795043301E-2</v>
      </c>
      <c r="K847">
        <v>2.15997869606139E-2</v>
      </c>
      <c r="L847">
        <v>1152.75745407616</v>
      </c>
      <c r="M847">
        <v>19.830747102376701</v>
      </c>
      <c r="N847">
        <v>58.129807016994498</v>
      </c>
      <c r="O847">
        <v>57.548374796400502</v>
      </c>
      <c r="P847">
        <v>-8.6151065510190694E-2</v>
      </c>
      <c r="Q847">
        <v>0</v>
      </c>
      <c r="R847">
        <v>0.98187867364746395</v>
      </c>
      <c r="S847" t="s">
        <v>4476</v>
      </c>
      <c r="T847" t="s">
        <v>7256</v>
      </c>
      <c r="U847" t="s">
        <v>7256</v>
      </c>
      <c r="V847" t="s">
        <v>7256</v>
      </c>
      <c r="W847">
        <v>4</v>
      </c>
      <c r="X847" t="s">
        <v>8103</v>
      </c>
      <c r="Y847">
        <v>0.61560180832441769</v>
      </c>
      <c r="Z847" t="str">
        <f>HYPERLINK("Melting_Curves/meltCurve_sp_P32321_DCTD_HUMAN_.pdf", "Melting_Curves/meltCurve_sp_P32321_DCTD_HUMAN_.pdf")</f>
        <v>Melting_Curves/meltCurve_sp_P32321_DCTD_HUMAN_.pdf</v>
      </c>
      <c r="AA847" t="s">
        <v>11715</v>
      </c>
      <c r="AB847" t="s">
        <v>15273</v>
      </c>
    </row>
    <row r="848" spans="1:28" x14ac:dyDescent="0.25">
      <c r="A848" t="s">
        <v>852</v>
      </c>
      <c r="B848">
        <v>0.98018197421672304</v>
      </c>
      <c r="C848">
        <v>0.97030725140567597</v>
      </c>
      <c r="D848">
        <v>0.95837784636876799</v>
      </c>
      <c r="E848">
        <v>0.78106458373380905</v>
      </c>
      <c r="F848">
        <v>0.17725604083659099</v>
      </c>
      <c r="G848">
        <v>0.10832685381564899</v>
      </c>
      <c r="H848">
        <v>6.3885135012552899E-2</v>
      </c>
      <c r="I848">
        <v>4.65967211414536E-2</v>
      </c>
      <c r="J848">
        <v>5.5958670890957303E-2</v>
      </c>
      <c r="K848">
        <v>4.3518093855138502E-2</v>
      </c>
      <c r="L848">
        <v>2733.9373872515198</v>
      </c>
      <c r="M848">
        <v>53.504907023557301</v>
      </c>
      <c r="N848">
        <v>51.224002899299599</v>
      </c>
      <c r="O848">
        <v>51.0257177409269</v>
      </c>
      <c r="P848">
        <v>-0.24585746673321299</v>
      </c>
      <c r="Q848">
        <v>6.2138690914905301E-2</v>
      </c>
      <c r="R848">
        <v>0.99695976841842404</v>
      </c>
      <c r="S848" t="s">
        <v>4477</v>
      </c>
      <c r="T848" t="s">
        <v>7256</v>
      </c>
      <c r="U848" t="s">
        <v>7256</v>
      </c>
      <c r="V848" t="s">
        <v>7256</v>
      </c>
      <c r="W848">
        <v>17</v>
      </c>
      <c r="X848" t="s">
        <v>8104</v>
      </c>
      <c r="Y848">
        <v>0.41089656740832792</v>
      </c>
      <c r="Z848" t="str">
        <f>HYPERLINK("Melting_Curves/meltCurve_sp_P32455_GBP1_HUMAN_.pdf", "Melting_Curves/meltCurve_sp_P32455_GBP1_HUMAN_.pdf")</f>
        <v>Melting_Curves/meltCurve_sp_P32455_GBP1_HUMAN_.pdf</v>
      </c>
      <c r="AA848" t="s">
        <v>11716</v>
      </c>
      <c r="AB848" t="s">
        <v>15274</v>
      </c>
    </row>
    <row r="849" spans="1:28" x14ac:dyDescent="0.25">
      <c r="A849" t="s">
        <v>853</v>
      </c>
      <c r="B849">
        <v>0.98018197421672304</v>
      </c>
      <c r="C849">
        <v>0.913234799100068</v>
      </c>
      <c r="D849">
        <v>0.90930837134758802</v>
      </c>
      <c r="E849">
        <v>0.61793327656554298</v>
      </c>
      <c r="F849">
        <v>0.36487179028378203</v>
      </c>
      <c r="G849">
        <v>0.19616498693166601</v>
      </c>
      <c r="H849">
        <v>0.126566169582603</v>
      </c>
      <c r="I849">
        <v>0.11219041140035001</v>
      </c>
      <c r="J849">
        <v>0.118887438478103</v>
      </c>
      <c r="K849">
        <v>5.5708284040924302E-2</v>
      </c>
      <c r="L849">
        <v>928.78675851888704</v>
      </c>
      <c r="M849">
        <v>18.264147513104401</v>
      </c>
      <c r="N849">
        <v>51.357720350298401</v>
      </c>
      <c r="O849">
        <v>50.255149974189202</v>
      </c>
      <c r="P849">
        <v>-8.3396919180278903E-2</v>
      </c>
      <c r="Q849">
        <v>8.2152009367254294E-2</v>
      </c>
      <c r="R849">
        <v>0.99526490030992598</v>
      </c>
      <c r="S849" t="s">
        <v>4478</v>
      </c>
      <c r="T849" t="s">
        <v>7256</v>
      </c>
      <c r="U849" t="s">
        <v>7256</v>
      </c>
      <c r="V849" t="s">
        <v>7256</v>
      </c>
      <c r="W849">
        <v>5</v>
      </c>
      <c r="X849" t="s">
        <v>8105</v>
      </c>
      <c r="Y849">
        <v>0.42928462593874378</v>
      </c>
      <c r="Z849" t="str">
        <f>HYPERLINK("Melting_Curves/meltCurve_sp_P32456_GBP2_HUMAN_.pdf", "Melting_Curves/meltCurve_sp_P32456_GBP2_HUMAN_.pdf")</f>
        <v>Melting_Curves/meltCurve_sp_P32456_GBP2_HUMAN_.pdf</v>
      </c>
      <c r="AA849" t="s">
        <v>11717</v>
      </c>
      <c r="AB849" t="s">
        <v>15275</v>
      </c>
    </row>
    <row r="850" spans="1:28" x14ac:dyDescent="0.25">
      <c r="A850" t="s">
        <v>854</v>
      </c>
      <c r="B850">
        <v>0.98018197421672304</v>
      </c>
      <c r="C850">
        <v>0.62383632924681398</v>
      </c>
      <c r="D850">
        <v>0.71151077134790797</v>
      </c>
      <c r="E850">
        <v>0.755443169286107</v>
      </c>
      <c r="F850">
        <v>0.70945666866434498</v>
      </c>
      <c r="G850">
        <v>0.605397541399604</v>
      </c>
      <c r="H850">
        <v>0.406856785058687</v>
      </c>
      <c r="I850">
        <v>0.24389372149278901</v>
      </c>
      <c r="J850">
        <v>7.9556995049007706E-2</v>
      </c>
      <c r="K850">
        <v>3.3417813153937999E-2</v>
      </c>
      <c r="L850">
        <v>410.42470597493599</v>
      </c>
      <c r="M850">
        <v>7.3768622660221501</v>
      </c>
      <c r="N850">
        <v>55.636758708379801</v>
      </c>
      <c r="O850">
        <v>51.986712579353501</v>
      </c>
      <c r="P850">
        <v>-3.5528978492009103E-2</v>
      </c>
      <c r="Q850">
        <v>0</v>
      </c>
      <c r="R850">
        <v>0.79860654056531699</v>
      </c>
      <c r="S850" t="s">
        <v>4479</v>
      </c>
      <c r="T850" t="s">
        <v>7256</v>
      </c>
      <c r="U850" t="s">
        <v>7256</v>
      </c>
      <c r="V850" t="s">
        <v>7256</v>
      </c>
      <c r="W850">
        <v>2</v>
      </c>
      <c r="X850" t="s">
        <v>8106</v>
      </c>
      <c r="Y850">
        <v>0.54309191271729107</v>
      </c>
      <c r="Z850" t="str">
        <f>HYPERLINK("Melting_Curves/meltCurve_sp_P32519_2_ELF1_HUMAN_.pdf", "Melting_Curves/meltCurve_sp_P32519_2_ELF1_HUMAN_.pdf")</f>
        <v>Melting_Curves/meltCurve_sp_P32519_2_ELF1_HUMAN_.pdf</v>
      </c>
      <c r="AA850" t="s">
        <v>11718</v>
      </c>
      <c r="AB850" t="s">
        <v>15276</v>
      </c>
    </row>
    <row r="851" spans="1:28" x14ac:dyDescent="0.25">
      <c r="A851" t="s">
        <v>855</v>
      </c>
      <c r="B851">
        <v>0.98018197421672304</v>
      </c>
      <c r="C851">
        <v>0.71914090419507803</v>
      </c>
      <c r="D851">
        <v>0.80859146145152805</v>
      </c>
      <c r="E851">
        <v>0.622503174467957</v>
      </c>
      <c r="F851">
        <v>0.284866563422147</v>
      </c>
      <c r="G851">
        <v>0.13345905600505101</v>
      </c>
      <c r="H851">
        <v>5.0323292742318101E-2</v>
      </c>
      <c r="I851">
        <v>3.0955572691147501E-2</v>
      </c>
      <c r="J851">
        <v>2.0424355647552999E-2</v>
      </c>
      <c r="K851">
        <v>1.6734822793908598E-2</v>
      </c>
      <c r="L851">
        <v>673.42462732688705</v>
      </c>
      <c r="M851">
        <v>13.420460694356301</v>
      </c>
      <c r="N851">
        <v>50.178949553890398</v>
      </c>
      <c r="O851">
        <v>49.104103007273302</v>
      </c>
      <c r="P851">
        <v>-6.8337238400199396E-2</v>
      </c>
      <c r="Q851">
        <v>0</v>
      </c>
      <c r="R851">
        <v>0.95785058601485795</v>
      </c>
      <c r="S851" t="s">
        <v>4480</v>
      </c>
      <c r="T851" t="s">
        <v>7256</v>
      </c>
      <c r="U851" t="s">
        <v>7256</v>
      </c>
      <c r="V851" t="s">
        <v>7256</v>
      </c>
      <c r="W851">
        <v>25</v>
      </c>
      <c r="X851" t="s">
        <v>8107</v>
      </c>
      <c r="Y851">
        <v>0.36795139471993787</v>
      </c>
      <c r="Z851" t="str">
        <f>HYPERLINK("Melting_Curves/meltCurve_sp_P32754_2_HPPD_HUMAN_.pdf", "Melting_Curves/meltCurve_sp_P32754_2_HPPD_HUMAN_.pdf")</f>
        <v>Melting_Curves/meltCurve_sp_P32754_2_HPPD_HUMAN_.pdf</v>
      </c>
      <c r="AA851" t="s">
        <v>11719</v>
      </c>
      <c r="AB851" t="s">
        <v>15277</v>
      </c>
    </row>
    <row r="852" spans="1:28" x14ac:dyDescent="0.25">
      <c r="A852" t="s">
        <v>856</v>
      </c>
      <c r="B852">
        <v>0.98018197421672304</v>
      </c>
      <c r="C852">
        <v>0.90480596363828103</v>
      </c>
      <c r="D852">
        <v>0.95187684356582103</v>
      </c>
      <c r="E852">
        <v>0.85853873739792397</v>
      </c>
      <c r="F852">
        <v>0.56075985038926301</v>
      </c>
      <c r="G852">
        <v>0.26100718682081803</v>
      </c>
      <c r="H852">
        <v>0.123727103995333</v>
      </c>
      <c r="I852">
        <v>7.1102569036448501E-2</v>
      </c>
      <c r="J852">
        <v>4.0321109607064698E-2</v>
      </c>
      <c r="K852">
        <v>2.7762396035990001E-2</v>
      </c>
      <c r="L852">
        <v>1072.0863732196999</v>
      </c>
      <c r="M852">
        <v>19.945674327975201</v>
      </c>
      <c r="N852">
        <v>53.899333428595298</v>
      </c>
      <c r="O852">
        <v>53.218769847780997</v>
      </c>
      <c r="P852">
        <v>-9.1186205442766594E-2</v>
      </c>
      <c r="Q852">
        <v>2.68249805160778E-2</v>
      </c>
      <c r="R852">
        <v>0.99312241592291395</v>
      </c>
      <c r="S852" t="s">
        <v>4481</v>
      </c>
      <c r="T852" t="s">
        <v>7256</v>
      </c>
      <c r="U852" t="s">
        <v>7256</v>
      </c>
      <c r="V852" t="s">
        <v>7256</v>
      </c>
      <c r="W852">
        <v>26</v>
      </c>
      <c r="X852" t="s">
        <v>8108</v>
      </c>
      <c r="Y852">
        <v>0.48620827111257298</v>
      </c>
      <c r="Z852" t="str">
        <f>HYPERLINK("Melting_Curves/meltCurve_sp_P32754_HPPD_HUMAN_.pdf", "Melting_Curves/meltCurve_sp_P32754_HPPD_HUMAN_.pdf")</f>
        <v>Melting_Curves/meltCurve_sp_P32754_HPPD_HUMAN_.pdf</v>
      </c>
      <c r="AA852" t="s">
        <v>11719</v>
      </c>
      <c r="AB852" t="s">
        <v>15278</v>
      </c>
    </row>
    <row r="853" spans="1:28" x14ac:dyDescent="0.25">
      <c r="A853" t="s">
        <v>857</v>
      </c>
      <c r="B853">
        <v>0.98018197421672304</v>
      </c>
      <c r="C853">
        <v>0.94746831735322001</v>
      </c>
      <c r="D853">
        <v>0.90852011002456701</v>
      </c>
      <c r="E853">
        <v>0.82574370799814401</v>
      </c>
      <c r="F853">
        <v>0.69781635705318501</v>
      </c>
      <c r="G853">
        <v>0.58077990819928105</v>
      </c>
      <c r="H853">
        <v>0.44977260698663701</v>
      </c>
      <c r="I853">
        <v>0.44318969092299099</v>
      </c>
      <c r="J853">
        <v>0.42337967090080397</v>
      </c>
      <c r="K853">
        <v>0.28543883148837002</v>
      </c>
      <c r="L853">
        <v>497.65951072511598</v>
      </c>
      <c r="M853">
        <v>8.8414157638762099</v>
      </c>
      <c r="N853">
        <v>60.124995796334602</v>
      </c>
      <c r="O853">
        <v>53.630849969477701</v>
      </c>
      <c r="P853">
        <v>-3.2352274485623903E-2</v>
      </c>
      <c r="Q853">
        <v>0.215630588974591</v>
      </c>
      <c r="R853">
        <v>0.98680868177912096</v>
      </c>
      <c r="S853" t="s">
        <v>4482</v>
      </c>
      <c r="T853" t="s">
        <v>7256</v>
      </c>
      <c r="U853" t="s">
        <v>7256</v>
      </c>
      <c r="V853" t="s">
        <v>7256</v>
      </c>
      <c r="W853">
        <v>15</v>
      </c>
      <c r="X853" t="s">
        <v>8109</v>
      </c>
      <c r="Y853">
        <v>0.65624576632452303</v>
      </c>
      <c r="Z853" t="str">
        <f>HYPERLINK("Melting_Curves/meltCurve_sp_P32929_CGL_HUMAN_.pdf", "Melting_Curves/meltCurve_sp_P32929_CGL_HUMAN_.pdf")</f>
        <v>Melting_Curves/meltCurve_sp_P32929_CGL_HUMAN_.pdf</v>
      </c>
      <c r="AA853" t="s">
        <v>11720</v>
      </c>
      <c r="AB853" t="s">
        <v>15279</v>
      </c>
    </row>
    <row r="854" spans="1:28" x14ac:dyDescent="0.25">
      <c r="A854" t="s">
        <v>858</v>
      </c>
      <c r="B854">
        <v>0.98018197421672304</v>
      </c>
      <c r="C854">
        <v>0.69046410712946205</v>
      </c>
      <c r="D854">
        <v>0.38878986261804899</v>
      </c>
      <c r="E854">
        <v>0.16875163569401</v>
      </c>
      <c r="F854">
        <v>9.0331606913755802E-2</v>
      </c>
      <c r="G854">
        <v>5.6511860958892997E-2</v>
      </c>
      <c r="H854">
        <v>4.01355262563843E-2</v>
      </c>
      <c r="I854">
        <v>3.2937865613724603E-2</v>
      </c>
      <c r="J854">
        <v>3.41046342383481E-2</v>
      </c>
      <c r="K854">
        <v>3.53852335424037E-2</v>
      </c>
      <c r="L854">
        <v>905.36278666564203</v>
      </c>
      <c r="M854">
        <v>20.220714265727398</v>
      </c>
      <c r="N854">
        <v>44.962227393579902</v>
      </c>
      <c r="O854">
        <v>44.343016411985801</v>
      </c>
      <c r="P854">
        <v>-0.10937911760052101</v>
      </c>
      <c r="Q854">
        <v>4.0578121832429398E-2</v>
      </c>
      <c r="R854">
        <v>0.99471691125289596</v>
      </c>
      <c r="S854" t="s">
        <v>4483</v>
      </c>
      <c r="T854" t="s">
        <v>7256</v>
      </c>
      <c r="U854" t="s">
        <v>7256</v>
      </c>
      <c r="V854" t="s">
        <v>7256</v>
      </c>
      <c r="W854">
        <v>27</v>
      </c>
      <c r="X854" t="s">
        <v>8110</v>
      </c>
      <c r="Y854">
        <v>0.2095154911367958</v>
      </c>
      <c r="Z854" t="str">
        <f>HYPERLINK("Melting_Curves/meltCurve_sp_P33121_ACSL1_HUMAN_.pdf", "Melting_Curves/meltCurve_sp_P33121_ACSL1_HUMAN_.pdf")</f>
        <v>Melting_Curves/meltCurve_sp_P33121_ACSL1_HUMAN_.pdf</v>
      </c>
      <c r="AA854" t="s">
        <v>11721</v>
      </c>
      <c r="AB854" t="s">
        <v>15280</v>
      </c>
    </row>
    <row r="855" spans="1:28" x14ac:dyDescent="0.25">
      <c r="A855" t="s">
        <v>859</v>
      </c>
      <c r="B855">
        <v>0.98018197421672304</v>
      </c>
      <c r="C855">
        <v>0.951087857861452</v>
      </c>
      <c r="D855">
        <v>0.74322672073225204</v>
      </c>
      <c r="E855">
        <v>0.38410837563113998</v>
      </c>
      <c r="F855">
        <v>0.19677595049747101</v>
      </c>
      <c r="G855">
        <v>0.105078714984305</v>
      </c>
      <c r="H855">
        <v>6.32548681631558E-2</v>
      </c>
      <c r="I855">
        <v>4.7993890743666598E-2</v>
      </c>
      <c r="J855">
        <v>6.4937271765185003E-2</v>
      </c>
      <c r="K855">
        <v>4.4726670554362101E-2</v>
      </c>
      <c r="L855">
        <v>957.06554003721601</v>
      </c>
      <c r="M855">
        <v>19.7586663929238</v>
      </c>
      <c r="N855">
        <v>48.696611794171297</v>
      </c>
      <c r="O855">
        <v>47.949788687966702</v>
      </c>
      <c r="P855">
        <v>-9.7885313697581897E-2</v>
      </c>
      <c r="Q855">
        <v>4.9850882762353797E-2</v>
      </c>
      <c r="R855">
        <v>0.99934880236687795</v>
      </c>
      <c r="S855" t="s">
        <v>4484</v>
      </c>
      <c r="T855" t="s">
        <v>7256</v>
      </c>
      <c r="U855" t="s">
        <v>7256</v>
      </c>
      <c r="V855" t="s">
        <v>7256</v>
      </c>
      <c r="W855">
        <v>24</v>
      </c>
      <c r="X855" t="s">
        <v>8111</v>
      </c>
      <c r="Y855">
        <v>0.33083020920646189</v>
      </c>
      <c r="Z855" t="str">
        <f>HYPERLINK("Melting_Curves/meltCurve_sp_P33176_KINH_HUMAN_.pdf", "Melting_Curves/meltCurve_sp_P33176_KINH_HUMAN_.pdf")</f>
        <v>Melting_Curves/meltCurve_sp_P33176_KINH_HUMAN_.pdf</v>
      </c>
      <c r="AA855" t="s">
        <v>11722</v>
      </c>
      <c r="AB855" t="s">
        <v>15281</v>
      </c>
    </row>
    <row r="856" spans="1:28" x14ac:dyDescent="0.25">
      <c r="A856" t="s">
        <v>860</v>
      </c>
      <c r="B856">
        <v>0.98018197421672304</v>
      </c>
      <c r="C856">
        <v>1.07767378132403</v>
      </c>
      <c r="D856">
        <v>0.97005212561799603</v>
      </c>
      <c r="E856">
        <v>0.78218256415961296</v>
      </c>
      <c r="F856">
        <v>0.58131871826162596</v>
      </c>
      <c r="G856">
        <v>0.38942240364707598</v>
      </c>
      <c r="H856">
        <v>0.40262004231821702</v>
      </c>
      <c r="I856">
        <v>0.40797285994222598</v>
      </c>
      <c r="J856">
        <v>0.48665484948749399</v>
      </c>
      <c r="K856">
        <v>0.470952907618719</v>
      </c>
      <c r="L856">
        <v>1618.6256998195299</v>
      </c>
      <c r="M856">
        <v>31.8175697048123</v>
      </c>
      <c r="N856">
        <v>54.245265429531898</v>
      </c>
      <c r="O856">
        <v>50.672385023743502</v>
      </c>
      <c r="P856">
        <v>-8.9341564460260703E-2</v>
      </c>
      <c r="Q856">
        <v>0.43086457697310598</v>
      </c>
      <c r="R856">
        <v>0.97384305522069703</v>
      </c>
      <c r="S856" t="s">
        <v>4485</v>
      </c>
      <c r="T856" t="s">
        <v>7256</v>
      </c>
      <c r="U856" t="s">
        <v>7256</v>
      </c>
      <c r="V856" t="s">
        <v>7256</v>
      </c>
      <c r="W856">
        <v>8</v>
      </c>
      <c r="X856" t="s">
        <v>8112</v>
      </c>
      <c r="Y856">
        <v>0.64029368871183912</v>
      </c>
      <c r="Z856" t="str">
        <f>HYPERLINK("Melting_Curves/meltCurve_sp_P33240_2_CSTF2_HUMAN_.pdf", "Melting_Curves/meltCurve_sp_P33240_2_CSTF2_HUMAN_.pdf")</f>
        <v>Melting_Curves/meltCurve_sp_P33240_2_CSTF2_HUMAN_.pdf</v>
      </c>
      <c r="AA856" t="s">
        <v>11723</v>
      </c>
      <c r="AB856" t="s">
        <v>15282</v>
      </c>
    </row>
    <row r="857" spans="1:28" x14ac:dyDescent="0.25">
      <c r="A857" t="s">
        <v>861</v>
      </c>
      <c r="B857">
        <v>0.98018197421672304</v>
      </c>
      <c r="C857">
        <v>0.947515916926291</v>
      </c>
      <c r="D857">
        <v>0.93246119173698205</v>
      </c>
      <c r="E857">
        <v>0.84395236842507104</v>
      </c>
      <c r="F857">
        <v>0.76511468727030996</v>
      </c>
      <c r="G857">
        <v>0.48053614256131999</v>
      </c>
      <c r="H857">
        <v>0.46848022426327801</v>
      </c>
      <c r="I857">
        <v>0.35730236392558901</v>
      </c>
      <c r="J857">
        <v>0.41450966252044402</v>
      </c>
      <c r="K857">
        <v>0.59795125142329297</v>
      </c>
      <c r="L857">
        <v>1215.0293266792601</v>
      </c>
      <c r="M857">
        <v>23.054474606660701</v>
      </c>
      <c r="N857">
        <v>58.325055707629403</v>
      </c>
      <c r="O857">
        <v>52.310816781172797</v>
      </c>
      <c r="P857">
        <v>-6.1059941526641903E-2</v>
      </c>
      <c r="Q857">
        <v>0.44582798641785498</v>
      </c>
      <c r="R857">
        <v>0.91318951822872396</v>
      </c>
      <c r="S857" t="s">
        <v>4486</v>
      </c>
      <c r="T857" t="s">
        <v>7256</v>
      </c>
      <c r="U857" t="s">
        <v>7256</v>
      </c>
      <c r="V857" t="s">
        <v>7256</v>
      </c>
      <c r="W857">
        <v>1</v>
      </c>
      <c r="X857" t="s">
        <v>8113</v>
      </c>
      <c r="Y857">
        <v>0.6863973918320897</v>
      </c>
      <c r="Z857" t="str">
        <f>HYPERLINK("Melting_Curves/meltCurve_sp_P33241_LSP1_HUMAN_.pdf", "Melting_Curves/meltCurve_sp_P33241_LSP1_HUMAN_.pdf")</f>
        <v>Melting_Curves/meltCurve_sp_P33241_LSP1_HUMAN_.pdf</v>
      </c>
      <c r="AA857" t="s">
        <v>11724</v>
      </c>
      <c r="AB857" t="s">
        <v>15283</v>
      </c>
    </row>
    <row r="858" spans="1:28" x14ac:dyDescent="0.25">
      <c r="A858" t="s">
        <v>862</v>
      </c>
      <c r="B858">
        <v>0.98018197421672304</v>
      </c>
      <c r="C858">
        <v>0.85759504279277898</v>
      </c>
      <c r="D858">
        <v>0.81793598236896903</v>
      </c>
      <c r="E858">
        <v>0.66763499890636602</v>
      </c>
      <c r="F858">
        <v>0.498438332649355</v>
      </c>
      <c r="G858">
        <v>0.263002212562639</v>
      </c>
      <c r="H858">
        <v>0.22525843271860699</v>
      </c>
      <c r="I858">
        <v>0.25301833161165899</v>
      </c>
      <c r="J858">
        <v>0.33259643864166699</v>
      </c>
      <c r="K858">
        <v>0.449774110016744</v>
      </c>
      <c r="L858">
        <v>796.53952132437303</v>
      </c>
      <c r="M858">
        <v>16.1510424944601</v>
      </c>
      <c r="N858">
        <v>52.120849752784302</v>
      </c>
      <c r="O858">
        <v>48.5806786490608</v>
      </c>
      <c r="P858">
        <v>-5.89984914278079E-2</v>
      </c>
      <c r="Q858">
        <v>0.29020808193215297</v>
      </c>
      <c r="R858">
        <v>0.91575645923640703</v>
      </c>
      <c r="S858" t="s">
        <v>4487</v>
      </c>
      <c r="T858" t="s">
        <v>7256</v>
      </c>
      <c r="U858" t="s">
        <v>7256</v>
      </c>
      <c r="V858" t="s">
        <v>7256</v>
      </c>
      <c r="W858">
        <v>3</v>
      </c>
      <c r="X858" t="s">
        <v>8114</v>
      </c>
      <c r="Y858">
        <v>0.52574923615218172</v>
      </c>
      <c r="Z858" t="str">
        <f>HYPERLINK("Melting_Curves/meltCurve_sp_P33316_DUT_HUMAN_.pdf", "Melting_Curves/meltCurve_sp_P33316_DUT_HUMAN_.pdf")</f>
        <v>Melting_Curves/meltCurve_sp_P33316_DUT_HUMAN_.pdf</v>
      </c>
      <c r="AA858" t="s">
        <v>11725</v>
      </c>
      <c r="AB858" t="s">
        <v>15284</v>
      </c>
    </row>
    <row r="859" spans="1:28" x14ac:dyDescent="0.25">
      <c r="A859" t="s">
        <v>863</v>
      </c>
      <c r="B859">
        <v>0.98018197421672304</v>
      </c>
      <c r="C859">
        <v>1.00932313832094</v>
      </c>
      <c r="D859">
        <v>0.48862221828333402</v>
      </c>
      <c r="E859">
        <v>0.19616764439273801</v>
      </c>
      <c r="F859">
        <v>0.126056437756182</v>
      </c>
      <c r="G859">
        <v>8.6368287008167996E-2</v>
      </c>
      <c r="H859">
        <v>3.4793483705410799E-2</v>
      </c>
      <c r="I859">
        <v>2.5595550699521501E-2</v>
      </c>
      <c r="J859">
        <v>7.4114319831342507E-2</v>
      </c>
      <c r="K859">
        <v>6.1826237839155598E-2</v>
      </c>
      <c r="L859">
        <v>1780.1757418566201</v>
      </c>
      <c r="M859">
        <v>38.793238324005699</v>
      </c>
      <c r="N859">
        <v>46.091303262949502</v>
      </c>
      <c r="O859">
        <v>45.767382284053099</v>
      </c>
      <c r="P859">
        <v>-0.19530278451949301</v>
      </c>
      <c r="Q859">
        <v>7.8346984335160297E-2</v>
      </c>
      <c r="R859">
        <v>0.98574321745730797</v>
      </c>
      <c r="S859" t="s">
        <v>4488</v>
      </c>
      <c r="T859" t="s">
        <v>7256</v>
      </c>
      <c r="U859" t="s">
        <v>7256</v>
      </c>
      <c r="V859" t="s">
        <v>7256</v>
      </c>
      <c r="W859">
        <v>2</v>
      </c>
      <c r="X859" t="s">
        <v>8115</v>
      </c>
      <c r="Y859">
        <v>0.26245982657232519</v>
      </c>
      <c r="Z859" t="str">
        <f>HYPERLINK("Melting_Curves/meltCurve_sp_P33991_MCM4_HUMAN_.pdf", "Melting_Curves/meltCurve_sp_P33991_MCM4_HUMAN_.pdf")</f>
        <v>Melting_Curves/meltCurve_sp_P33991_MCM4_HUMAN_.pdf</v>
      </c>
      <c r="AA859" t="s">
        <v>11726</v>
      </c>
      <c r="AB859" t="s">
        <v>15285</v>
      </c>
    </row>
    <row r="860" spans="1:28" x14ac:dyDescent="0.25">
      <c r="A860" t="s">
        <v>864</v>
      </c>
      <c r="B860">
        <v>0.98018197421672304</v>
      </c>
      <c r="C860">
        <v>0.90201550331236502</v>
      </c>
      <c r="D860">
        <v>0.68298044852475304</v>
      </c>
      <c r="E860">
        <v>0.39708141072514003</v>
      </c>
      <c r="F860">
        <v>0.19302787805594299</v>
      </c>
      <c r="G860">
        <v>0.122431780742654</v>
      </c>
      <c r="H860">
        <v>5.43941087146134E-2</v>
      </c>
      <c r="I860">
        <v>3.1572237339458298E-2</v>
      </c>
      <c r="J860">
        <v>0</v>
      </c>
      <c r="K860">
        <v>6.4308502818070198E-2</v>
      </c>
      <c r="L860">
        <v>788.44678198615702</v>
      </c>
      <c r="M860">
        <v>16.321873596802298</v>
      </c>
      <c r="N860">
        <v>48.456460041530697</v>
      </c>
      <c r="O860">
        <v>47.598479539255003</v>
      </c>
      <c r="P860">
        <v>-8.3617009357532301E-2</v>
      </c>
      <c r="Q860">
        <v>2.46821025382843E-2</v>
      </c>
      <c r="R860">
        <v>0.99672976662893498</v>
      </c>
      <c r="S860" t="s">
        <v>4489</v>
      </c>
      <c r="T860" t="s">
        <v>7256</v>
      </c>
      <c r="U860" t="s">
        <v>7256</v>
      </c>
      <c r="V860" t="s">
        <v>7256</v>
      </c>
      <c r="W860">
        <v>2</v>
      </c>
      <c r="X860" t="s">
        <v>8116</v>
      </c>
      <c r="Y860">
        <v>0.31565877312761043</v>
      </c>
      <c r="Z860" t="str">
        <f>HYPERLINK("Melting_Curves/meltCurve_sp_P33992_MCM5_HUMAN_.pdf", "Melting_Curves/meltCurve_sp_P33992_MCM5_HUMAN_.pdf")</f>
        <v>Melting_Curves/meltCurve_sp_P33992_MCM5_HUMAN_.pdf</v>
      </c>
      <c r="AA860" t="s">
        <v>11727</v>
      </c>
      <c r="AB860" t="s">
        <v>15286</v>
      </c>
    </row>
    <row r="861" spans="1:28" x14ac:dyDescent="0.25">
      <c r="A861" t="s">
        <v>865</v>
      </c>
      <c r="B861">
        <v>0.98018197421672304</v>
      </c>
      <c r="C861">
        <v>0.80458440610427495</v>
      </c>
      <c r="D861">
        <v>0.52544896024624699</v>
      </c>
      <c r="E861">
        <v>0.33301773245317601</v>
      </c>
      <c r="F861">
        <v>0.21671687595076999</v>
      </c>
      <c r="G861">
        <v>0.11911918776554099</v>
      </c>
      <c r="H861">
        <v>8.9380669102846103E-2</v>
      </c>
      <c r="I861">
        <v>5.5586332290899702E-2</v>
      </c>
      <c r="J861">
        <v>0.105867313762945</v>
      </c>
      <c r="K861">
        <v>7.0407370991151394E-2</v>
      </c>
      <c r="L861">
        <v>717.75975869077899</v>
      </c>
      <c r="M861">
        <v>15.4483522018041</v>
      </c>
      <c r="N861">
        <v>46.942593077998097</v>
      </c>
      <c r="O861">
        <v>45.704234539196698</v>
      </c>
      <c r="P861">
        <v>-7.8326896879748004E-2</v>
      </c>
      <c r="Q861">
        <v>7.3157159723536494E-2</v>
      </c>
      <c r="R861">
        <v>0.99215772406257696</v>
      </c>
      <c r="S861" t="s">
        <v>4490</v>
      </c>
      <c r="T861" t="s">
        <v>7256</v>
      </c>
      <c r="U861" t="s">
        <v>7256</v>
      </c>
      <c r="V861" t="s">
        <v>7256</v>
      </c>
      <c r="W861">
        <v>5</v>
      </c>
      <c r="X861" t="s">
        <v>8117</v>
      </c>
      <c r="Y861">
        <v>0.29734266946306048</v>
      </c>
      <c r="Z861" t="str">
        <f>HYPERLINK("Melting_Curves/meltCurve_sp_P33993_MCM7_HUMAN_.pdf", "Melting_Curves/meltCurve_sp_P33993_MCM7_HUMAN_.pdf")</f>
        <v>Melting_Curves/meltCurve_sp_P33993_MCM7_HUMAN_.pdf</v>
      </c>
      <c r="AA861" t="s">
        <v>11728</v>
      </c>
      <c r="AB861" t="s">
        <v>15287</v>
      </c>
    </row>
    <row r="862" spans="1:28" x14ac:dyDescent="0.25">
      <c r="A862" t="s">
        <v>866</v>
      </c>
      <c r="B862">
        <v>0.98018197421672304</v>
      </c>
      <c r="C862">
        <v>0.91572295017783301</v>
      </c>
      <c r="D862">
        <v>0.84969251613650099</v>
      </c>
      <c r="E862">
        <v>0.75023053647889004</v>
      </c>
      <c r="F862">
        <v>0.61831884658840397</v>
      </c>
      <c r="G862">
        <v>0.52991726264858496</v>
      </c>
      <c r="H862">
        <v>0.37085896924982997</v>
      </c>
      <c r="I862">
        <v>0.37492489719493999</v>
      </c>
      <c r="J862">
        <v>0.338807954338534</v>
      </c>
      <c r="K862">
        <v>0.318946156974032</v>
      </c>
      <c r="L862">
        <v>508.06645252547997</v>
      </c>
      <c r="M862">
        <v>9.5543750272891206</v>
      </c>
      <c r="N862">
        <v>57.130013285569298</v>
      </c>
      <c r="O862">
        <v>51.003248793369899</v>
      </c>
      <c r="P862">
        <v>-3.5524636222882502E-2</v>
      </c>
      <c r="Q862">
        <v>0.24188707750660099</v>
      </c>
      <c r="R862">
        <v>0.99395006475849401</v>
      </c>
      <c r="S862" t="s">
        <v>4491</v>
      </c>
      <c r="T862" t="s">
        <v>7256</v>
      </c>
      <c r="U862" t="s">
        <v>7256</v>
      </c>
      <c r="V862" t="s">
        <v>7256</v>
      </c>
      <c r="W862">
        <v>4</v>
      </c>
      <c r="X862" t="s">
        <v>8118</v>
      </c>
      <c r="Y862">
        <v>0.6012642934644512</v>
      </c>
      <c r="Z862" t="str">
        <f>HYPERLINK("Melting_Curves/meltCurve_sp_P34059_GALNS_HUMAN_.pdf", "Melting_Curves/meltCurve_sp_P34059_GALNS_HUMAN_.pdf")</f>
        <v>Melting_Curves/meltCurve_sp_P34059_GALNS_HUMAN_.pdf</v>
      </c>
      <c r="AA862" t="s">
        <v>11729</v>
      </c>
      <c r="AB862" t="s">
        <v>15288</v>
      </c>
    </row>
    <row r="863" spans="1:28" x14ac:dyDescent="0.25">
      <c r="A863" t="s">
        <v>867</v>
      </c>
      <c r="B863">
        <v>0.98018197421672304</v>
      </c>
      <c r="C863">
        <v>0.90585672144057905</v>
      </c>
      <c r="D863">
        <v>0.82618193243474203</v>
      </c>
      <c r="E863">
        <v>0.83359465774542196</v>
      </c>
      <c r="F863">
        <v>0.92197427317342395</v>
      </c>
      <c r="G863">
        <v>0.61758093909659295</v>
      </c>
      <c r="H863">
        <v>0.50188819448290001</v>
      </c>
      <c r="I863">
        <v>0.55245397808977004</v>
      </c>
      <c r="J863">
        <v>0.72354573105485798</v>
      </c>
      <c r="K863">
        <v>0.51619770806585197</v>
      </c>
      <c r="L863">
        <v>424.91972581087401</v>
      </c>
      <c r="M863">
        <v>7.86659830998678</v>
      </c>
      <c r="O863">
        <v>50.859129157580298</v>
      </c>
      <c r="P863">
        <v>-2.0300024028258201E-2</v>
      </c>
      <c r="Q863">
        <v>0.475656513591729</v>
      </c>
      <c r="R863">
        <v>0.72575624016345497</v>
      </c>
      <c r="S863" t="s">
        <v>4492</v>
      </c>
      <c r="T863" t="s">
        <v>7256</v>
      </c>
      <c r="U863" t="s">
        <v>7256</v>
      </c>
      <c r="V863" t="s">
        <v>7256</v>
      </c>
      <c r="W863">
        <v>1</v>
      </c>
      <c r="X863" t="s">
        <v>8119</v>
      </c>
      <c r="Y863">
        <v>0.73857157425376296</v>
      </c>
      <c r="Z863" t="str">
        <f>HYPERLINK("Melting_Curves/meltCurve_sp_P34096_RNAS4_HUMAN_.pdf", "Melting_Curves/meltCurve_sp_P34096_RNAS4_HUMAN_.pdf")</f>
        <v>Melting_Curves/meltCurve_sp_P34096_RNAS4_HUMAN_.pdf</v>
      </c>
      <c r="AA863" t="s">
        <v>11730</v>
      </c>
      <c r="AB863" t="s">
        <v>15289</v>
      </c>
    </row>
    <row r="864" spans="1:28" x14ac:dyDescent="0.25">
      <c r="A864" t="s">
        <v>868</v>
      </c>
      <c r="B864">
        <v>0.98018197421672304</v>
      </c>
      <c r="C864">
        <v>0.93073802285102003</v>
      </c>
      <c r="D864">
        <v>0.90657587276339102</v>
      </c>
      <c r="E864">
        <v>0.84432074487664899</v>
      </c>
      <c r="F864">
        <v>0.77336160128110498</v>
      </c>
      <c r="G864">
        <v>0.67362455840663105</v>
      </c>
      <c r="H864">
        <v>0.40280313569236098</v>
      </c>
      <c r="I864">
        <v>0.19374073405842801</v>
      </c>
      <c r="J864">
        <v>8.0213298494600405E-2</v>
      </c>
      <c r="K864">
        <v>6.9140738187314699E-2</v>
      </c>
      <c r="L864">
        <v>813.76572810904804</v>
      </c>
      <c r="M864">
        <v>13.9121470844053</v>
      </c>
      <c r="N864">
        <v>58.493180456652198</v>
      </c>
      <c r="O864">
        <v>57.324371309045503</v>
      </c>
      <c r="P864">
        <v>-6.0681144721703099E-2</v>
      </c>
      <c r="Q864">
        <v>0</v>
      </c>
      <c r="R864">
        <v>0.97451225217524795</v>
      </c>
      <c r="S864" t="s">
        <v>4493</v>
      </c>
      <c r="T864" t="s">
        <v>7256</v>
      </c>
      <c r="U864" t="s">
        <v>7256</v>
      </c>
      <c r="V864" t="s">
        <v>7256</v>
      </c>
      <c r="W864">
        <v>32</v>
      </c>
      <c r="X864" t="s">
        <v>8120</v>
      </c>
      <c r="Y864">
        <v>0.62826240613444262</v>
      </c>
      <c r="Z864" t="str">
        <f>HYPERLINK("Melting_Curves/meltCurve_sp_P34896_2_GLYC_HUMAN_.pdf", "Melting_Curves/meltCurve_sp_P34896_2_GLYC_HUMAN_.pdf")</f>
        <v>Melting_Curves/meltCurve_sp_P34896_2_GLYC_HUMAN_.pdf</v>
      </c>
      <c r="AA864" t="s">
        <v>11731</v>
      </c>
      <c r="AB864" t="s">
        <v>15290</v>
      </c>
    </row>
    <row r="865" spans="1:28" x14ac:dyDescent="0.25">
      <c r="A865" t="s">
        <v>869</v>
      </c>
      <c r="B865">
        <v>0.98018197421672304</v>
      </c>
      <c r="C865">
        <v>0.99596901890894796</v>
      </c>
      <c r="D865">
        <v>0.91682606899069197</v>
      </c>
      <c r="E865">
        <v>0.84262127949404197</v>
      </c>
      <c r="F865">
        <v>0.750761109790267</v>
      </c>
      <c r="G865">
        <v>0.60970982072003399</v>
      </c>
      <c r="H865">
        <v>0.34733437212889401</v>
      </c>
      <c r="I865">
        <v>0.19864292728717101</v>
      </c>
      <c r="J865">
        <v>7.8416255156842599E-2</v>
      </c>
      <c r="K865">
        <v>5.9874217002917202E-2</v>
      </c>
      <c r="L865">
        <v>780.37088967370505</v>
      </c>
      <c r="M865">
        <v>13.511116032721899</v>
      </c>
      <c r="N865">
        <v>57.757692866968902</v>
      </c>
      <c r="O865">
        <v>56.536476694603799</v>
      </c>
      <c r="P865">
        <v>-5.97542101275709E-2</v>
      </c>
      <c r="Q865">
        <v>0</v>
      </c>
      <c r="R865">
        <v>0.98868373053351999</v>
      </c>
      <c r="S865" t="s">
        <v>4494</v>
      </c>
      <c r="T865" t="s">
        <v>7256</v>
      </c>
      <c r="U865" t="s">
        <v>7256</v>
      </c>
      <c r="V865" t="s">
        <v>7256</v>
      </c>
      <c r="W865">
        <v>32</v>
      </c>
      <c r="X865" t="s">
        <v>8121</v>
      </c>
      <c r="Y865">
        <v>0.60615820584708546</v>
      </c>
      <c r="Z865" t="str">
        <f>HYPERLINK("Melting_Curves/meltCurve_sp_P34897_3_GLYM_HUMAN_.pdf", "Melting_Curves/meltCurve_sp_P34897_3_GLYM_HUMAN_.pdf")</f>
        <v>Melting_Curves/meltCurve_sp_P34897_3_GLYM_HUMAN_.pdf</v>
      </c>
      <c r="AA865" t="s">
        <v>11732</v>
      </c>
      <c r="AB865" t="s">
        <v>15291</v>
      </c>
    </row>
    <row r="866" spans="1:28" x14ac:dyDescent="0.25">
      <c r="A866" t="s">
        <v>870</v>
      </c>
      <c r="B866">
        <v>0.98018197421672304</v>
      </c>
      <c r="C866">
        <v>0.99368383030463903</v>
      </c>
      <c r="D866">
        <v>0.95608448201937701</v>
      </c>
      <c r="E866">
        <v>0.87828538870471995</v>
      </c>
      <c r="F866">
        <v>0.76676877237322205</v>
      </c>
      <c r="G866">
        <v>0.65634936567671798</v>
      </c>
      <c r="H866">
        <v>0.35337847549967499</v>
      </c>
      <c r="I866">
        <v>8.2843670811570097E-2</v>
      </c>
      <c r="J866">
        <v>6.0085304617247197E-2</v>
      </c>
      <c r="K866">
        <v>3.8605513180142499E-2</v>
      </c>
      <c r="L866">
        <v>982.88888770607196</v>
      </c>
      <c r="M866">
        <v>16.932235652808</v>
      </c>
      <c r="N866">
        <v>58.048382985561801</v>
      </c>
      <c r="O866">
        <v>57.256842511885601</v>
      </c>
      <c r="P866">
        <v>-7.3935698743246098E-2</v>
      </c>
      <c r="Q866">
        <v>0</v>
      </c>
      <c r="R866">
        <v>0.98135784876215704</v>
      </c>
      <c r="S866" t="s">
        <v>4495</v>
      </c>
      <c r="T866" t="s">
        <v>7256</v>
      </c>
      <c r="U866" t="s">
        <v>7256</v>
      </c>
      <c r="V866" t="s">
        <v>7256</v>
      </c>
      <c r="W866">
        <v>20</v>
      </c>
      <c r="X866" t="s">
        <v>8122</v>
      </c>
      <c r="Y866">
        <v>0.61437218009629457</v>
      </c>
      <c r="Z866" t="str">
        <f>HYPERLINK("Melting_Curves/meltCurve_sp_P34913_HYES_HUMAN_.pdf", "Melting_Curves/meltCurve_sp_P34913_HYES_HUMAN_.pdf")</f>
        <v>Melting_Curves/meltCurve_sp_P34913_HYES_HUMAN_.pdf</v>
      </c>
      <c r="AA866" t="s">
        <v>11733</v>
      </c>
      <c r="AB866" t="s">
        <v>15292</v>
      </c>
    </row>
    <row r="867" spans="1:28" x14ac:dyDescent="0.25">
      <c r="A867" t="s">
        <v>871</v>
      </c>
      <c r="B867">
        <v>0.98018197421672304</v>
      </c>
      <c r="C867">
        <v>0.98891547251824496</v>
      </c>
      <c r="D867">
        <v>0.93908033069028596</v>
      </c>
      <c r="E867">
        <v>0.78474967086689495</v>
      </c>
      <c r="F867">
        <v>0.23020250298205899</v>
      </c>
      <c r="G867">
        <v>0.12776794376998801</v>
      </c>
      <c r="H867">
        <v>8.0425559656032902E-2</v>
      </c>
      <c r="I867">
        <v>7.5320464306801699E-2</v>
      </c>
      <c r="J867">
        <v>8.3147915916254103E-2</v>
      </c>
      <c r="K867">
        <v>7.3305142634562295E-2</v>
      </c>
      <c r="L867">
        <v>2438.3604963350399</v>
      </c>
      <c r="M867">
        <v>47.620788215906302</v>
      </c>
      <c r="N867">
        <v>51.405933523387802</v>
      </c>
      <c r="O867">
        <v>51.113645046900103</v>
      </c>
      <c r="P867">
        <v>-0.21301907717394</v>
      </c>
      <c r="Q867">
        <v>8.5427099135054904E-2</v>
      </c>
      <c r="R867">
        <v>0.99671938303744201</v>
      </c>
      <c r="S867" t="s">
        <v>4496</v>
      </c>
      <c r="T867" t="s">
        <v>7256</v>
      </c>
      <c r="U867" t="s">
        <v>7256</v>
      </c>
      <c r="V867" t="s">
        <v>7256</v>
      </c>
      <c r="W867">
        <v>39</v>
      </c>
      <c r="X867" t="s">
        <v>8123</v>
      </c>
      <c r="Y867">
        <v>0.4292588110673265</v>
      </c>
      <c r="Z867" t="str">
        <f>HYPERLINK("Melting_Curves/meltCurve_sp_P34932_HSP74_HUMAN_.pdf", "Melting_Curves/meltCurve_sp_P34932_HSP74_HUMAN_.pdf")</f>
        <v>Melting_Curves/meltCurve_sp_P34932_HSP74_HUMAN_.pdf</v>
      </c>
      <c r="AA867" t="s">
        <v>11734</v>
      </c>
      <c r="AB867" t="s">
        <v>15293</v>
      </c>
    </row>
    <row r="868" spans="1:28" x14ac:dyDescent="0.25">
      <c r="A868" t="s">
        <v>872</v>
      </c>
      <c r="B868">
        <v>0.98018197421672304</v>
      </c>
      <c r="C868">
        <v>0.77007394036050103</v>
      </c>
      <c r="D868">
        <v>0.83401896918433804</v>
      </c>
      <c r="E868">
        <v>0.785374818390706</v>
      </c>
      <c r="F868">
        <v>0.81024193492351904</v>
      </c>
      <c r="G868">
        <v>0.65930046938461795</v>
      </c>
      <c r="H868">
        <v>0.45072499982220499</v>
      </c>
      <c r="I868">
        <v>0.37581083030707901</v>
      </c>
      <c r="J868">
        <v>0.26375971117678798</v>
      </c>
      <c r="K868">
        <v>0.22136128777773501</v>
      </c>
      <c r="L868">
        <v>429.46105409953702</v>
      </c>
      <c r="M868">
        <v>7.1962155310656604</v>
      </c>
      <c r="N868">
        <v>59.678737045216799</v>
      </c>
      <c r="O868">
        <v>55.586466694222501</v>
      </c>
      <c r="P868">
        <v>-3.2419174223869002E-2</v>
      </c>
      <c r="Q868">
        <v>0</v>
      </c>
      <c r="R868">
        <v>0.91650854918777003</v>
      </c>
      <c r="S868" t="s">
        <v>4497</v>
      </c>
      <c r="T868" t="s">
        <v>7256</v>
      </c>
      <c r="U868" t="s">
        <v>7256</v>
      </c>
      <c r="V868" t="s">
        <v>7256</v>
      </c>
      <c r="W868">
        <v>1</v>
      </c>
      <c r="X868" t="s">
        <v>8124</v>
      </c>
      <c r="Y868">
        <v>0.63797176154905089</v>
      </c>
      <c r="Z868" t="str">
        <f>HYPERLINK("Melting_Curves/meltCurve_sp_P35030_2_TRY3_HUMAN_.pdf", "Melting_Curves/meltCurve_sp_P35030_2_TRY3_HUMAN_.pdf")</f>
        <v>Melting_Curves/meltCurve_sp_P35030_2_TRY3_HUMAN_.pdf</v>
      </c>
      <c r="AA868" t="s">
        <v>11735</v>
      </c>
      <c r="AB868" t="s">
        <v>15294</v>
      </c>
    </row>
    <row r="869" spans="1:28" x14ac:dyDescent="0.25">
      <c r="A869" t="s">
        <v>873</v>
      </c>
      <c r="B869">
        <v>0.98018197421672304</v>
      </c>
      <c r="C869">
        <v>0.83837967177619599</v>
      </c>
      <c r="D869">
        <v>0.94087371337333203</v>
      </c>
      <c r="E869">
        <v>0.68916356187183703</v>
      </c>
      <c r="F869">
        <v>0.57831632010868395</v>
      </c>
      <c r="G869">
        <v>0.38367064748829399</v>
      </c>
      <c r="H869">
        <v>0.173633817835533</v>
      </c>
      <c r="I869">
        <v>5.9699550282194001E-2</v>
      </c>
      <c r="J869">
        <v>6.0056972264637999E-2</v>
      </c>
      <c r="K869">
        <v>4.2069474995700198E-2</v>
      </c>
      <c r="L869">
        <v>680.13957715665504</v>
      </c>
      <c r="M869">
        <v>12.625774677653199</v>
      </c>
      <c r="N869">
        <v>53.869135914938603</v>
      </c>
      <c r="O869">
        <v>52.571363997659802</v>
      </c>
      <c r="P869">
        <v>-6.0053004514745101E-2</v>
      </c>
      <c r="Q869">
        <v>0</v>
      </c>
      <c r="R869">
        <v>0.97984886387855696</v>
      </c>
      <c r="S869" t="s">
        <v>4498</v>
      </c>
      <c r="T869" t="s">
        <v>7256</v>
      </c>
      <c r="U869" t="s">
        <v>7256</v>
      </c>
      <c r="V869" t="s">
        <v>7256</v>
      </c>
      <c r="W869">
        <v>3</v>
      </c>
      <c r="X869" t="s">
        <v>8125</v>
      </c>
      <c r="Y869">
        <v>0.48745370114361958</v>
      </c>
      <c r="Z869" t="str">
        <f>HYPERLINK("Melting_Curves/meltCurve_sp_P35218_CAH5A_HUMAN_.pdf", "Melting_Curves/meltCurve_sp_P35218_CAH5A_HUMAN_.pdf")</f>
        <v>Melting_Curves/meltCurve_sp_P35218_CAH5A_HUMAN_.pdf</v>
      </c>
      <c r="AA869" t="s">
        <v>11736</v>
      </c>
      <c r="AB869" t="s">
        <v>15295</v>
      </c>
    </row>
    <row r="870" spans="1:28" x14ac:dyDescent="0.25">
      <c r="A870" t="s">
        <v>874</v>
      </c>
      <c r="B870">
        <v>0.98018197421672304</v>
      </c>
      <c r="C870">
        <v>0.93708561105682897</v>
      </c>
      <c r="D870">
        <v>0.87373158637761905</v>
      </c>
      <c r="E870">
        <v>0.75741727109819501</v>
      </c>
      <c r="F870">
        <v>0.54732077954149705</v>
      </c>
      <c r="G870">
        <v>0.34742661925194901</v>
      </c>
      <c r="H870">
        <v>0.16412511042482</v>
      </c>
      <c r="I870">
        <v>8.7263173300870994E-2</v>
      </c>
      <c r="J870">
        <v>6.8746439685331895E-2</v>
      </c>
      <c r="K870">
        <v>5.5132097887963999E-2</v>
      </c>
      <c r="L870">
        <v>702.71096160543505</v>
      </c>
      <c r="M870">
        <v>13.0476757293382</v>
      </c>
      <c r="N870">
        <v>53.857176266374097</v>
      </c>
      <c r="O870">
        <v>52.639169222981302</v>
      </c>
      <c r="P870">
        <v>-6.1978315649089497E-2</v>
      </c>
      <c r="Q870">
        <v>0</v>
      </c>
      <c r="R870">
        <v>0.99719847870115597</v>
      </c>
      <c r="S870" t="s">
        <v>4499</v>
      </c>
      <c r="T870" t="s">
        <v>7256</v>
      </c>
      <c r="U870" t="s">
        <v>7256</v>
      </c>
      <c r="V870" t="s">
        <v>7256</v>
      </c>
      <c r="W870">
        <v>23</v>
      </c>
      <c r="X870" t="s">
        <v>8126</v>
      </c>
      <c r="Y870">
        <v>0.48622897714319863</v>
      </c>
      <c r="Z870" t="str">
        <f>HYPERLINK("Melting_Curves/meltCurve_sp_P35221_CTNA1_HUMAN_.pdf", "Melting_Curves/meltCurve_sp_P35221_CTNA1_HUMAN_.pdf")</f>
        <v>Melting_Curves/meltCurve_sp_P35221_CTNA1_HUMAN_.pdf</v>
      </c>
      <c r="AA870" t="s">
        <v>11737</v>
      </c>
      <c r="AB870" t="s">
        <v>15296</v>
      </c>
    </row>
    <row r="871" spans="1:28" x14ac:dyDescent="0.25">
      <c r="A871" t="s">
        <v>875</v>
      </c>
      <c r="B871">
        <v>0.98018197421672304</v>
      </c>
      <c r="C871">
        <v>0.82225506366989398</v>
      </c>
      <c r="D871">
        <v>1.0059799345770399</v>
      </c>
      <c r="E871">
        <v>0.84298797004944903</v>
      </c>
      <c r="F871">
        <v>0.84346749670878196</v>
      </c>
      <c r="G871">
        <v>0.60389002742494802</v>
      </c>
      <c r="H871">
        <v>0.33273014609202101</v>
      </c>
      <c r="I871">
        <v>0.28947521186084502</v>
      </c>
      <c r="J871">
        <v>0.223295407279654</v>
      </c>
      <c r="K871">
        <v>0.50869912987871702</v>
      </c>
      <c r="L871">
        <v>1226.8635028884901</v>
      </c>
      <c r="M871">
        <v>22.159822849866</v>
      </c>
      <c r="N871">
        <v>57.985056344772502</v>
      </c>
      <c r="O871">
        <v>54.919365886153301</v>
      </c>
      <c r="P871">
        <v>-6.8964709418666503E-2</v>
      </c>
      <c r="Q871">
        <v>0.31634542805242699</v>
      </c>
      <c r="R871">
        <v>0.87299706053382697</v>
      </c>
      <c r="S871" t="s">
        <v>4500</v>
      </c>
      <c r="T871" t="s">
        <v>7256</v>
      </c>
      <c r="U871" t="s">
        <v>7256</v>
      </c>
      <c r="V871" t="s">
        <v>7256</v>
      </c>
      <c r="W871">
        <v>10</v>
      </c>
      <c r="X871" t="s">
        <v>8127</v>
      </c>
      <c r="Y871">
        <v>0.67418390419825902</v>
      </c>
      <c r="Z871" t="str">
        <f>HYPERLINK("Melting_Curves/meltCurve_sp_P35237_SPB6_HUMAN_.pdf", "Melting_Curves/meltCurve_sp_P35237_SPB6_HUMAN_.pdf")</f>
        <v>Melting_Curves/meltCurve_sp_P35237_SPB6_HUMAN_.pdf</v>
      </c>
      <c r="AA871" t="s">
        <v>11738</v>
      </c>
      <c r="AB871" t="s">
        <v>15297</v>
      </c>
    </row>
    <row r="872" spans="1:28" x14ac:dyDescent="0.25">
      <c r="A872" t="s">
        <v>876</v>
      </c>
      <c r="B872">
        <v>0.98018197421672304</v>
      </c>
      <c r="C872">
        <v>0.93916328091875301</v>
      </c>
      <c r="D872">
        <v>0.93680904701368195</v>
      </c>
      <c r="E872">
        <v>0.84728023804900199</v>
      </c>
      <c r="F872">
        <v>0.79918329946414901</v>
      </c>
      <c r="G872">
        <v>0.60770715776106199</v>
      </c>
      <c r="H872">
        <v>0.42114043955688701</v>
      </c>
      <c r="I872">
        <v>6.9641668006938606E-2</v>
      </c>
      <c r="J872">
        <v>6.2992873062621496E-2</v>
      </c>
      <c r="K872">
        <v>5.7124249272435902E-2</v>
      </c>
      <c r="L872">
        <v>912.94109986011597</v>
      </c>
      <c r="M872">
        <v>15.7327807900407</v>
      </c>
      <c r="N872">
        <v>58.027955615912802</v>
      </c>
      <c r="O872">
        <v>57.114705525314001</v>
      </c>
      <c r="P872">
        <v>-6.8870612878505696E-2</v>
      </c>
      <c r="Q872">
        <v>0</v>
      </c>
      <c r="R872">
        <v>0.97032639005779697</v>
      </c>
      <c r="S872" t="s">
        <v>4501</v>
      </c>
      <c r="T872" t="s">
        <v>7256</v>
      </c>
      <c r="U872" t="s">
        <v>7256</v>
      </c>
      <c r="V872" t="s">
        <v>7256</v>
      </c>
      <c r="W872">
        <v>44</v>
      </c>
      <c r="X872" t="s">
        <v>8128</v>
      </c>
      <c r="Y872">
        <v>0.61413671001051429</v>
      </c>
      <c r="Z872" t="str">
        <f>HYPERLINK("Melting_Curves/meltCurve_sp_P35241_RADI_HUMAN_.pdf", "Melting_Curves/meltCurve_sp_P35241_RADI_HUMAN_.pdf")</f>
        <v>Melting_Curves/meltCurve_sp_P35241_RADI_HUMAN_.pdf</v>
      </c>
      <c r="AA872" t="s">
        <v>11739</v>
      </c>
      <c r="AB872" t="s">
        <v>15298</v>
      </c>
    </row>
    <row r="873" spans="1:28" x14ac:dyDescent="0.25">
      <c r="A873" t="s">
        <v>877</v>
      </c>
      <c r="B873">
        <v>0.98018197421672304</v>
      </c>
      <c r="C873">
        <v>0.81350509265553095</v>
      </c>
      <c r="D873">
        <v>0.88236916354861705</v>
      </c>
      <c r="E873">
        <v>0.789544166472674</v>
      </c>
      <c r="F873">
        <v>0.61898779721737895</v>
      </c>
      <c r="G873">
        <v>0.47934035876356601</v>
      </c>
      <c r="H873">
        <v>0.38181189927714398</v>
      </c>
      <c r="I873">
        <v>0.26953909417772298</v>
      </c>
      <c r="J873">
        <v>9.6064359108121999E-2</v>
      </c>
      <c r="K873">
        <v>6.7266683996184101E-2</v>
      </c>
      <c r="L873">
        <v>526.25620165277303</v>
      </c>
      <c r="M873">
        <v>9.3868277585650794</v>
      </c>
      <c r="N873">
        <v>56.063263882397202</v>
      </c>
      <c r="O873">
        <v>53.695401662283601</v>
      </c>
      <c r="P873">
        <v>-4.3731120932799003E-2</v>
      </c>
      <c r="Q873">
        <v>0</v>
      </c>
      <c r="R873">
        <v>0.96376623178396503</v>
      </c>
      <c r="S873" t="s">
        <v>4502</v>
      </c>
      <c r="T873" t="s">
        <v>7256</v>
      </c>
      <c r="U873" t="s">
        <v>7256</v>
      </c>
      <c r="V873" t="s">
        <v>7256</v>
      </c>
      <c r="W873">
        <v>2</v>
      </c>
      <c r="X873" t="s">
        <v>8129</v>
      </c>
      <c r="Y873">
        <v>0.55606085864690968</v>
      </c>
      <c r="Z873" t="str">
        <f>HYPERLINK("Melting_Curves/meltCurve_sp_P35251_2_RFC1_HUMAN_.pdf", "Melting_Curves/meltCurve_sp_P35251_2_RFC1_HUMAN_.pdf")</f>
        <v>Melting_Curves/meltCurve_sp_P35251_2_RFC1_HUMAN_.pdf</v>
      </c>
      <c r="AA873" t="s">
        <v>11740</v>
      </c>
      <c r="AB873" t="s">
        <v>15299</v>
      </c>
    </row>
    <row r="874" spans="1:28" x14ac:dyDescent="0.25">
      <c r="A874" t="s">
        <v>878</v>
      </c>
      <c r="B874">
        <v>0.98018197421672304</v>
      </c>
      <c r="C874">
        <v>0.97351501479764702</v>
      </c>
      <c r="D874">
        <v>0.87149310555130799</v>
      </c>
      <c r="E874">
        <v>0.75482236030071104</v>
      </c>
      <c r="F874">
        <v>0.64365854618714302</v>
      </c>
      <c r="G874">
        <v>0.51397679240419702</v>
      </c>
      <c r="H874">
        <v>0.42791218554674498</v>
      </c>
      <c r="I874">
        <v>0.38692549607093302</v>
      </c>
      <c r="J874">
        <v>0.33949177525087498</v>
      </c>
      <c r="K874">
        <v>0.199962051477349</v>
      </c>
      <c r="L874">
        <v>451.68817613991803</v>
      </c>
      <c r="M874">
        <v>8.0038310652195399</v>
      </c>
      <c r="N874">
        <v>58.048250723604099</v>
      </c>
      <c r="O874">
        <v>53.237964709262002</v>
      </c>
      <c r="P874">
        <v>-3.3873365088509098E-2</v>
      </c>
      <c r="Q874">
        <v>9.9773390354220698E-2</v>
      </c>
      <c r="R874">
        <v>0.98715787906021502</v>
      </c>
      <c r="S874" t="s">
        <v>4503</v>
      </c>
      <c r="T874" t="s">
        <v>7256</v>
      </c>
      <c r="U874" t="s">
        <v>7256</v>
      </c>
      <c r="V874" t="s">
        <v>7256</v>
      </c>
      <c r="W874">
        <v>2</v>
      </c>
      <c r="X874" t="s">
        <v>8130</v>
      </c>
      <c r="Y874">
        <v>0.60775927983132616</v>
      </c>
      <c r="Z874" t="str">
        <f>HYPERLINK("Melting_Curves/meltCurve_sp_P35268_RL22_HUMAN_.pdf", "Melting_Curves/meltCurve_sp_P35268_RL22_HUMAN_.pdf")</f>
        <v>Melting_Curves/meltCurve_sp_P35268_RL22_HUMAN_.pdf</v>
      </c>
      <c r="AA874" t="s">
        <v>11741</v>
      </c>
      <c r="AB874" t="s">
        <v>15300</v>
      </c>
    </row>
    <row r="875" spans="1:28" x14ac:dyDescent="0.25">
      <c r="A875" t="s">
        <v>879</v>
      </c>
      <c r="B875">
        <v>0.98018197421672304</v>
      </c>
      <c r="C875">
        <v>0.93355710140755299</v>
      </c>
      <c r="D875">
        <v>0.90227745314497498</v>
      </c>
      <c r="E875">
        <v>0.56436153971064895</v>
      </c>
      <c r="F875">
        <v>0.28678409929003401</v>
      </c>
      <c r="G875">
        <v>0.20396553809278101</v>
      </c>
      <c r="H875">
        <v>0.12222989869986201</v>
      </c>
      <c r="I875">
        <v>0.103913998512549</v>
      </c>
      <c r="J875">
        <v>0.105428115318748</v>
      </c>
      <c r="K875">
        <v>6.9755326894452005E-2</v>
      </c>
      <c r="L875">
        <v>1040.4107772125799</v>
      </c>
      <c r="M875">
        <v>20.754664058352301</v>
      </c>
      <c r="N875">
        <v>50.6442702751756</v>
      </c>
      <c r="O875">
        <v>49.6705910635104</v>
      </c>
      <c r="P875">
        <v>-9.4521828703215002E-2</v>
      </c>
      <c r="Q875">
        <v>9.5177238936952097E-2</v>
      </c>
      <c r="R875">
        <v>0.99556944464458597</v>
      </c>
      <c r="S875" t="s">
        <v>4504</v>
      </c>
      <c r="T875" t="s">
        <v>7256</v>
      </c>
      <c r="U875" t="s">
        <v>7256</v>
      </c>
      <c r="V875" t="s">
        <v>7256</v>
      </c>
      <c r="W875">
        <v>11</v>
      </c>
      <c r="X875" t="s">
        <v>8131</v>
      </c>
      <c r="Y875">
        <v>0.41238980564184552</v>
      </c>
      <c r="Z875" t="str">
        <f>HYPERLINK("Melting_Curves/meltCurve_sp_P35270_SPRE_HUMAN_.pdf", "Melting_Curves/meltCurve_sp_P35270_SPRE_HUMAN_.pdf")</f>
        <v>Melting_Curves/meltCurve_sp_P35270_SPRE_HUMAN_.pdf</v>
      </c>
      <c r="AA875" t="s">
        <v>11742</v>
      </c>
      <c r="AB875" t="s">
        <v>15301</v>
      </c>
    </row>
    <row r="876" spans="1:28" x14ac:dyDescent="0.25">
      <c r="A876" t="s">
        <v>880</v>
      </c>
      <c r="B876">
        <v>0.98018197421672304</v>
      </c>
      <c r="C876">
        <v>0.94105453770647696</v>
      </c>
      <c r="D876">
        <v>0.90563498099378004</v>
      </c>
      <c r="E876">
        <v>0.72662392496276795</v>
      </c>
      <c r="F876">
        <v>0.43370021152094201</v>
      </c>
      <c r="G876">
        <v>0.104278266336839</v>
      </c>
      <c r="H876">
        <v>4.6571378273943198E-2</v>
      </c>
      <c r="I876">
        <v>3.4001429462145898E-2</v>
      </c>
      <c r="J876">
        <v>3.2259404365362503E-2</v>
      </c>
      <c r="K876">
        <v>2.5161706222867099E-2</v>
      </c>
      <c r="L876">
        <v>1131.7218686993399</v>
      </c>
      <c r="M876">
        <v>21.730218123764299</v>
      </c>
      <c r="N876">
        <v>52.139165002920301</v>
      </c>
      <c r="O876">
        <v>51.645514746573298</v>
      </c>
      <c r="P876">
        <v>-0.103922622952707</v>
      </c>
      <c r="Q876">
        <v>1.20648561019037E-2</v>
      </c>
      <c r="R876">
        <v>0.99574115950174202</v>
      </c>
      <c r="S876" t="s">
        <v>4505</v>
      </c>
      <c r="T876" t="s">
        <v>7256</v>
      </c>
      <c r="U876" t="s">
        <v>7256</v>
      </c>
      <c r="V876" t="s">
        <v>7256</v>
      </c>
      <c r="W876">
        <v>21</v>
      </c>
      <c r="X876" t="s">
        <v>8132</v>
      </c>
      <c r="Y876">
        <v>0.42164743641724572</v>
      </c>
      <c r="Z876" t="str">
        <f>HYPERLINK("Melting_Curves/meltCurve_sp_P35520_CBS_HUMAN_.pdf", "Melting_Curves/meltCurve_sp_P35520_CBS_HUMAN_.pdf")</f>
        <v>Melting_Curves/meltCurve_sp_P35520_CBS_HUMAN_.pdf</v>
      </c>
      <c r="AA876" t="s">
        <v>11743</v>
      </c>
      <c r="AB876" t="s">
        <v>15302</v>
      </c>
    </row>
    <row r="877" spans="1:28" x14ac:dyDescent="0.25">
      <c r="A877" t="s">
        <v>881</v>
      </c>
      <c r="B877">
        <v>0.98018197421672304</v>
      </c>
      <c r="C877">
        <v>0.95256567387850699</v>
      </c>
      <c r="D877">
        <v>0.90652855672194899</v>
      </c>
      <c r="E877">
        <v>0.45210387181113898</v>
      </c>
      <c r="F877">
        <v>0.19702167080757099</v>
      </c>
      <c r="G877">
        <v>9.4692319607081896E-2</v>
      </c>
      <c r="H877">
        <v>5.4237129324884198E-2</v>
      </c>
      <c r="I877">
        <v>4.0118091858454198E-2</v>
      </c>
      <c r="J877">
        <v>4.5580983557441702E-2</v>
      </c>
      <c r="K877">
        <v>2.7717500572025999E-2</v>
      </c>
      <c r="L877">
        <v>1278.6347885550499</v>
      </c>
      <c r="M877">
        <v>25.8139987437822</v>
      </c>
      <c r="N877">
        <v>49.707795974937703</v>
      </c>
      <c r="O877">
        <v>49.238222447568702</v>
      </c>
      <c r="P877">
        <v>-0.12536958260293099</v>
      </c>
      <c r="Q877">
        <v>4.3479893068633001E-2</v>
      </c>
      <c r="R877">
        <v>0.99831894053562298</v>
      </c>
      <c r="S877" t="s">
        <v>4506</v>
      </c>
      <c r="T877" t="s">
        <v>7256</v>
      </c>
      <c r="U877" t="s">
        <v>7256</v>
      </c>
      <c r="V877" t="s">
        <v>7256</v>
      </c>
      <c r="W877">
        <v>28</v>
      </c>
      <c r="X877" t="s">
        <v>8133</v>
      </c>
      <c r="Y877">
        <v>0.35539184125751427</v>
      </c>
      <c r="Z877" t="str">
        <f>HYPERLINK("Melting_Curves/meltCurve_sp_P35558_PCKGC_HUMAN_.pdf", "Melting_Curves/meltCurve_sp_P35558_PCKGC_HUMAN_.pdf")</f>
        <v>Melting_Curves/meltCurve_sp_P35558_PCKGC_HUMAN_.pdf</v>
      </c>
      <c r="AA877" t="s">
        <v>11744</v>
      </c>
      <c r="AB877" t="s">
        <v>15303</v>
      </c>
    </row>
    <row r="878" spans="1:28" x14ac:dyDescent="0.25">
      <c r="A878" t="s">
        <v>882</v>
      </c>
      <c r="B878">
        <v>0.98018197421672304</v>
      </c>
      <c r="C878">
        <v>0.92139316115879</v>
      </c>
      <c r="D878">
        <v>0.87438061060494898</v>
      </c>
      <c r="E878">
        <v>0.69786663781513303</v>
      </c>
      <c r="F878">
        <v>0.53582784684121598</v>
      </c>
      <c r="G878">
        <v>0.38254456869811598</v>
      </c>
      <c r="H878">
        <v>0.362654716673524</v>
      </c>
      <c r="I878">
        <v>0.36778695149595803</v>
      </c>
      <c r="J878">
        <v>0.52929102104810499</v>
      </c>
      <c r="K878">
        <v>0.48029530619572097</v>
      </c>
      <c r="L878">
        <v>1002.26961311756</v>
      </c>
      <c r="M878">
        <v>20.364407024159899</v>
      </c>
      <c r="N878">
        <v>54.0407319283646</v>
      </c>
      <c r="O878">
        <v>48.749506526241603</v>
      </c>
      <c r="P878">
        <v>-6.06975273916701E-2</v>
      </c>
      <c r="Q878">
        <v>0.41881236002873001</v>
      </c>
      <c r="R878">
        <v>0.93732874372232</v>
      </c>
      <c r="S878" t="s">
        <v>4507</v>
      </c>
      <c r="T878" t="s">
        <v>7256</v>
      </c>
      <c r="U878" t="s">
        <v>7256</v>
      </c>
      <c r="V878" t="s">
        <v>7256</v>
      </c>
      <c r="W878">
        <v>6</v>
      </c>
      <c r="X878" t="s">
        <v>8134</v>
      </c>
      <c r="Y878">
        <v>0.60520287117536509</v>
      </c>
      <c r="Z878" t="str">
        <f>HYPERLINK("Melting_Curves/meltCurve_sp_P35568_IRS1_HUMAN_.pdf", "Melting_Curves/meltCurve_sp_P35568_IRS1_HUMAN_.pdf")</f>
        <v>Melting_Curves/meltCurve_sp_P35568_IRS1_HUMAN_.pdf</v>
      </c>
      <c r="AA878" t="s">
        <v>11745</v>
      </c>
      <c r="AB878" t="s">
        <v>15304</v>
      </c>
    </row>
    <row r="879" spans="1:28" x14ac:dyDescent="0.25">
      <c r="A879" t="s">
        <v>883</v>
      </c>
      <c r="B879">
        <v>0.98018197421672304</v>
      </c>
      <c r="C879">
        <v>0.95076134177590299</v>
      </c>
      <c r="D879">
        <v>0.79880483819982195</v>
      </c>
      <c r="E879">
        <v>0.30809756693324197</v>
      </c>
      <c r="F879">
        <v>0.12870773007602401</v>
      </c>
      <c r="G879">
        <v>8.5961968094807301E-2</v>
      </c>
      <c r="H879">
        <v>5.32180611219365E-2</v>
      </c>
      <c r="I879">
        <v>3.9150875301959799E-2</v>
      </c>
      <c r="J879">
        <v>4.3639057945340003E-2</v>
      </c>
      <c r="K879">
        <v>2.76350434630252E-2</v>
      </c>
      <c r="L879">
        <v>1254.2333037706001</v>
      </c>
      <c r="M879">
        <v>26.006518554893699</v>
      </c>
      <c r="N879">
        <v>48.400455634843901</v>
      </c>
      <c r="O879">
        <v>47.9452034130017</v>
      </c>
      <c r="P879">
        <v>-0.12959478301430999</v>
      </c>
      <c r="Q879">
        <v>4.4335474880843398E-2</v>
      </c>
      <c r="R879">
        <v>0.99895542948018601</v>
      </c>
      <c r="S879" t="s">
        <v>4508</v>
      </c>
      <c r="T879" t="s">
        <v>7256</v>
      </c>
      <c r="U879" t="s">
        <v>7256</v>
      </c>
      <c r="V879" t="s">
        <v>7256</v>
      </c>
      <c r="W879">
        <v>39</v>
      </c>
      <c r="X879" t="s">
        <v>8135</v>
      </c>
      <c r="Y879">
        <v>0.31420265869622971</v>
      </c>
      <c r="Z879" t="str">
        <f>HYPERLINK("Melting_Curves/meltCurve_sp_P35573_GDE_HUMAN_.pdf", "Melting_Curves/meltCurve_sp_P35573_GDE_HUMAN_.pdf")</f>
        <v>Melting_Curves/meltCurve_sp_P35573_GDE_HUMAN_.pdf</v>
      </c>
      <c r="AA879" t="s">
        <v>11746</v>
      </c>
      <c r="AB879" t="s">
        <v>15305</v>
      </c>
    </row>
    <row r="880" spans="1:28" x14ac:dyDescent="0.25">
      <c r="A880" t="s">
        <v>884</v>
      </c>
      <c r="B880">
        <v>0.98018197421672304</v>
      </c>
      <c r="C880">
        <v>0.87563797120105902</v>
      </c>
      <c r="D880">
        <v>0.76106562145649204</v>
      </c>
      <c r="E880">
        <v>0.51866912784352504</v>
      </c>
      <c r="F880">
        <v>0.14141045014491699</v>
      </c>
      <c r="G880">
        <v>8.0928058689928403E-2</v>
      </c>
      <c r="H880">
        <v>4.9604269776351899E-2</v>
      </c>
      <c r="I880">
        <v>4.3467381368480197E-2</v>
      </c>
      <c r="J880">
        <v>4.6720776871546001E-2</v>
      </c>
      <c r="K880">
        <v>4.12011802255597E-2</v>
      </c>
      <c r="L880">
        <v>886.35786434414797</v>
      </c>
      <c r="M880">
        <v>18.054653308291702</v>
      </c>
      <c r="N880">
        <v>49.215911792285802</v>
      </c>
      <c r="O880">
        <v>48.502659073657099</v>
      </c>
      <c r="P880">
        <v>-9.1013829237875807E-2</v>
      </c>
      <c r="Q880">
        <v>2.20366463354323E-2</v>
      </c>
      <c r="R880">
        <v>0.98594840664025596</v>
      </c>
      <c r="S880" t="s">
        <v>4509</v>
      </c>
      <c r="T880" t="s">
        <v>7256</v>
      </c>
      <c r="U880" t="s">
        <v>7256</v>
      </c>
      <c r="V880" t="s">
        <v>7256</v>
      </c>
      <c r="W880">
        <v>138</v>
      </c>
      <c r="X880" t="s">
        <v>8136</v>
      </c>
      <c r="Y880">
        <v>0.33526725047602302</v>
      </c>
      <c r="Z880" t="str">
        <f>HYPERLINK("Melting_Curves/meltCurve_sp_P35579_MYH9_HUMAN_.pdf", "Melting_Curves/meltCurve_sp_P35579_MYH9_HUMAN_.pdf")</f>
        <v>Melting_Curves/meltCurve_sp_P35579_MYH9_HUMAN_.pdf</v>
      </c>
      <c r="AA880" t="s">
        <v>11747</v>
      </c>
      <c r="AB880" t="s">
        <v>15306</v>
      </c>
    </row>
    <row r="881" spans="1:28" x14ac:dyDescent="0.25">
      <c r="A881" t="s">
        <v>885</v>
      </c>
      <c r="B881">
        <v>0.98018197421672304</v>
      </c>
      <c r="C881">
        <v>0.87594940689561296</v>
      </c>
      <c r="D881">
        <v>0.85161291566366504</v>
      </c>
      <c r="E881">
        <v>0.41689483031089097</v>
      </c>
      <c r="F881">
        <v>0.26015537739433497</v>
      </c>
      <c r="G881">
        <v>0.112731135222357</v>
      </c>
      <c r="H881">
        <v>7.5459593362479399E-2</v>
      </c>
      <c r="I881">
        <v>5.8526754996688801E-2</v>
      </c>
      <c r="J881">
        <v>7.0187007429974302E-2</v>
      </c>
      <c r="K881">
        <v>4.4335218566318599E-2</v>
      </c>
      <c r="L881">
        <v>934.00945119803896</v>
      </c>
      <c r="M881">
        <v>19.002325600455698</v>
      </c>
      <c r="N881">
        <v>49.433373408484201</v>
      </c>
      <c r="O881">
        <v>48.617730861447299</v>
      </c>
      <c r="P881">
        <v>-9.2714376307956994E-2</v>
      </c>
      <c r="Q881">
        <v>5.1193446893415498E-2</v>
      </c>
      <c r="R881">
        <v>0.99289913413417497</v>
      </c>
      <c r="S881" t="s">
        <v>4510</v>
      </c>
      <c r="T881" t="s">
        <v>7256</v>
      </c>
      <c r="U881" t="s">
        <v>7256</v>
      </c>
      <c r="V881" t="s">
        <v>7256</v>
      </c>
      <c r="W881">
        <v>64</v>
      </c>
      <c r="X881" t="s">
        <v>8137</v>
      </c>
      <c r="Y881">
        <v>0.35536659538018622</v>
      </c>
      <c r="Z881" t="str">
        <f>HYPERLINK("Melting_Curves/meltCurve_sp_P35580_MYH10_HUMAN_.pdf", "Melting_Curves/meltCurve_sp_P35580_MYH10_HUMAN_.pdf")</f>
        <v>Melting_Curves/meltCurve_sp_P35580_MYH10_HUMAN_.pdf</v>
      </c>
      <c r="AA881" t="s">
        <v>11748</v>
      </c>
      <c r="AB881" t="s">
        <v>15307</v>
      </c>
    </row>
    <row r="882" spans="1:28" x14ac:dyDescent="0.25">
      <c r="A882" t="s">
        <v>886</v>
      </c>
      <c r="B882">
        <v>0.98018197421672304</v>
      </c>
      <c r="C882">
        <v>0.92708359456856704</v>
      </c>
      <c r="D882">
        <v>0.93016063238614199</v>
      </c>
      <c r="E882">
        <v>0.71420341765270401</v>
      </c>
      <c r="F882">
        <v>0.34711742153640301</v>
      </c>
      <c r="G882">
        <v>0.14310600579316601</v>
      </c>
      <c r="H882">
        <v>8.6095920892085495E-2</v>
      </c>
      <c r="I882">
        <v>6.59504042814648E-2</v>
      </c>
      <c r="J882">
        <v>5.3277460946400103E-2</v>
      </c>
      <c r="K882">
        <v>4.2074765250704499E-2</v>
      </c>
      <c r="L882">
        <v>1234.3995379615001</v>
      </c>
      <c r="M882">
        <v>23.975633016086501</v>
      </c>
      <c r="N882">
        <v>51.7232624316905</v>
      </c>
      <c r="O882">
        <v>51.131425284587699</v>
      </c>
      <c r="P882">
        <v>-0.11111299347780999</v>
      </c>
      <c r="Q882">
        <v>5.2158483068984102E-2</v>
      </c>
      <c r="R882">
        <v>0.99571066783593598</v>
      </c>
      <c r="S882" t="s">
        <v>4511</v>
      </c>
      <c r="T882" t="s">
        <v>7256</v>
      </c>
      <c r="U882" t="s">
        <v>7256</v>
      </c>
      <c r="V882" t="s">
        <v>7256</v>
      </c>
      <c r="W882">
        <v>29</v>
      </c>
      <c r="X882" t="s">
        <v>8138</v>
      </c>
      <c r="Y882">
        <v>0.42437741944792379</v>
      </c>
      <c r="Z882" t="str">
        <f>HYPERLINK("Melting_Curves/meltCurve_sp_P35606_COPB2_HUMAN_.pdf", "Melting_Curves/meltCurve_sp_P35606_COPB2_HUMAN_.pdf")</f>
        <v>Melting_Curves/meltCurve_sp_P35606_COPB2_HUMAN_.pdf</v>
      </c>
      <c r="AA882" t="s">
        <v>11749</v>
      </c>
      <c r="AB882" t="s">
        <v>15308</v>
      </c>
    </row>
    <row r="883" spans="1:28" x14ac:dyDescent="0.25">
      <c r="A883" t="s">
        <v>887</v>
      </c>
      <c r="B883">
        <v>0.98018197421672304</v>
      </c>
      <c r="C883">
        <v>0.95088984463957504</v>
      </c>
      <c r="D883">
        <v>0.87563286323391298</v>
      </c>
      <c r="E883">
        <v>0.75878587475594395</v>
      </c>
      <c r="F883">
        <v>0.60766981662953701</v>
      </c>
      <c r="G883">
        <v>0.40794892544317801</v>
      </c>
      <c r="H883">
        <v>0.38001138609239399</v>
      </c>
      <c r="I883">
        <v>0.34845904991753301</v>
      </c>
      <c r="J883">
        <v>0.36159470745809602</v>
      </c>
      <c r="K883">
        <v>0.30920391427469801</v>
      </c>
      <c r="L883">
        <v>740.37851676328501</v>
      </c>
      <c r="M883">
        <v>14.329693544337299</v>
      </c>
      <c r="N883">
        <v>55.338336106764103</v>
      </c>
      <c r="O883">
        <v>50.692446491921103</v>
      </c>
      <c r="P883">
        <v>-4.8998552768383802E-2</v>
      </c>
      <c r="Q883">
        <v>0.306738227811371</v>
      </c>
      <c r="R883">
        <v>0.99310313522176497</v>
      </c>
      <c r="S883" t="s">
        <v>4512</v>
      </c>
      <c r="T883" t="s">
        <v>7256</v>
      </c>
      <c r="U883" t="s">
        <v>7256</v>
      </c>
      <c r="V883" t="s">
        <v>7256</v>
      </c>
      <c r="W883">
        <v>10</v>
      </c>
      <c r="X883" t="s">
        <v>8139</v>
      </c>
      <c r="Y883">
        <v>0.59318283561602425</v>
      </c>
      <c r="Z883" t="str">
        <f>HYPERLINK("Melting_Curves/meltCurve_sp_P35611_2_ADDA_HUMAN_.pdf", "Melting_Curves/meltCurve_sp_P35611_2_ADDA_HUMAN_.pdf")</f>
        <v>Melting_Curves/meltCurve_sp_P35611_2_ADDA_HUMAN_.pdf</v>
      </c>
      <c r="AA883" t="s">
        <v>11750</v>
      </c>
      <c r="AB883" t="s">
        <v>15309</v>
      </c>
    </row>
    <row r="884" spans="1:28" x14ac:dyDescent="0.25">
      <c r="A884" t="s">
        <v>888</v>
      </c>
      <c r="B884">
        <v>0.98018197421672304</v>
      </c>
      <c r="C884">
        <v>0.81817333182542895</v>
      </c>
      <c r="D884">
        <v>0.80835952366734198</v>
      </c>
      <c r="E884">
        <v>0.57593416708910505</v>
      </c>
      <c r="F884">
        <v>0.45285200083565003</v>
      </c>
      <c r="G884">
        <v>0.344730159715115</v>
      </c>
      <c r="H884">
        <v>0.28070643106236198</v>
      </c>
      <c r="I884">
        <v>0.29481085925084199</v>
      </c>
      <c r="J884">
        <v>0.32507299739934398</v>
      </c>
      <c r="K884">
        <v>0.39115295134928002</v>
      </c>
      <c r="L884">
        <v>689.02874778478599</v>
      </c>
      <c r="M884">
        <v>14.3103042011701</v>
      </c>
      <c r="N884">
        <v>51.503522712320603</v>
      </c>
      <c r="O884">
        <v>47.238169637872303</v>
      </c>
      <c r="P884">
        <v>-5.2784434989788201E-2</v>
      </c>
      <c r="Q884">
        <v>0.303121184490315</v>
      </c>
      <c r="R884">
        <v>0.96633262205977599</v>
      </c>
      <c r="S884" t="s">
        <v>4513</v>
      </c>
      <c r="T884" t="s">
        <v>7256</v>
      </c>
      <c r="U884" t="s">
        <v>7256</v>
      </c>
      <c r="V884" t="s">
        <v>7256</v>
      </c>
      <c r="W884">
        <v>6</v>
      </c>
      <c r="X884" t="s">
        <v>8140</v>
      </c>
      <c r="Y884">
        <v>0.51193860928981239</v>
      </c>
      <c r="Z884" t="str">
        <f>HYPERLINK("Melting_Curves/meltCurve_sp_P35637_2_FUS_HUMAN_.pdf", "Melting_Curves/meltCurve_sp_P35637_2_FUS_HUMAN_.pdf")</f>
        <v>Melting_Curves/meltCurve_sp_P35637_2_FUS_HUMAN_.pdf</v>
      </c>
      <c r="AA884" t="s">
        <v>11751</v>
      </c>
      <c r="AB884" t="s">
        <v>15310</v>
      </c>
    </row>
    <row r="885" spans="1:28" x14ac:dyDescent="0.25">
      <c r="A885" t="s">
        <v>889</v>
      </c>
      <c r="B885">
        <v>0.98018197421672304</v>
      </c>
      <c r="C885">
        <v>1.0204561571498101</v>
      </c>
      <c r="D885">
        <v>0.96068179570250001</v>
      </c>
      <c r="E885">
        <v>0.73884468981738005</v>
      </c>
      <c r="F885">
        <v>0.41615987491829698</v>
      </c>
      <c r="G885">
        <v>0.229317748018426</v>
      </c>
      <c r="H885">
        <v>0.22704307920038899</v>
      </c>
      <c r="I885">
        <v>0.22800824310090301</v>
      </c>
      <c r="J885">
        <v>0.276535215128347</v>
      </c>
      <c r="K885">
        <v>0.331359118807665</v>
      </c>
      <c r="L885">
        <v>1775.4526887071199</v>
      </c>
      <c r="M885">
        <v>34.888449972027402</v>
      </c>
      <c r="N885">
        <v>51.959589042014301</v>
      </c>
      <c r="O885">
        <v>50.723095035696097</v>
      </c>
      <c r="P885">
        <v>-0.12788772771780901</v>
      </c>
      <c r="Q885">
        <v>0.25627681403193497</v>
      </c>
      <c r="R885">
        <v>0.98938346810873901</v>
      </c>
      <c r="S885" t="s">
        <v>4514</v>
      </c>
      <c r="T885" t="s">
        <v>7256</v>
      </c>
      <c r="U885" t="s">
        <v>7256</v>
      </c>
      <c r="V885" t="s">
        <v>7256</v>
      </c>
      <c r="W885">
        <v>13</v>
      </c>
      <c r="X885" t="s">
        <v>8141</v>
      </c>
      <c r="Y885">
        <v>0.52967948172606116</v>
      </c>
      <c r="Z885" t="str">
        <f>HYPERLINK("Melting_Curves/meltCurve_sp_P35658_2_NU214_HUMAN_.pdf", "Melting_Curves/meltCurve_sp_P35658_2_NU214_HUMAN_.pdf")</f>
        <v>Melting_Curves/meltCurve_sp_P35658_2_NU214_HUMAN_.pdf</v>
      </c>
      <c r="AA885" t="s">
        <v>11752</v>
      </c>
      <c r="AB885" t="s">
        <v>15311</v>
      </c>
    </row>
    <row r="886" spans="1:28" x14ac:dyDescent="0.25">
      <c r="A886" t="s">
        <v>890</v>
      </c>
      <c r="B886">
        <v>0.98018197421672304</v>
      </c>
      <c r="C886">
        <v>0.89067999868790204</v>
      </c>
      <c r="D886">
        <v>0.90757516967732299</v>
      </c>
      <c r="E886">
        <v>0.85521064424355797</v>
      </c>
      <c r="F886">
        <v>0.70283789604875602</v>
      </c>
      <c r="G886">
        <v>0.53014904414487696</v>
      </c>
      <c r="H886">
        <v>0.38828924847187801</v>
      </c>
      <c r="I886">
        <v>0.41056883011080098</v>
      </c>
      <c r="J886">
        <v>0.51406906192738999</v>
      </c>
      <c r="K886">
        <v>0.51595953505815595</v>
      </c>
      <c r="L886">
        <v>1023.6773540312</v>
      </c>
      <c r="M886">
        <v>19.635464544483298</v>
      </c>
      <c r="N886">
        <v>58.894443290387699</v>
      </c>
      <c r="O886">
        <v>51.602395906048898</v>
      </c>
      <c r="P886">
        <v>-5.2559853269409998E-2</v>
      </c>
      <c r="Q886">
        <v>0.44750593232417801</v>
      </c>
      <c r="R886">
        <v>0.92684694427774095</v>
      </c>
      <c r="S886" t="s">
        <v>4515</v>
      </c>
      <c r="T886" t="s">
        <v>7256</v>
      </c>
      <c r="U886" t="s">
        <v>7256</v>
      </c>
      <c r="V886" t="s">
        <v>7256</v>
      </c>
      <c r="W886">
        <v>5</v>
      </c>
      <c r="X886" t="s">
        <v>8142</v>
      </c>
      <c r="Y886">
        <v>0.67886805735850397</v>
      </c>
      <c r="Z886" t="str">
        <f>HYPERLINK("Melting_Curves/meltCurve_sp_P35659_DEK_HUMAN_.pdf", "Melting_Curves/meltCurve_sp_P35659_DEK_HUMAN_.pdf")</f>
        <v>Melting_Curves/meltCurve_sp_P35659_DEK_HUMAN_.pdf</v>
      </c>
      <c r="AA886" t="s">
        <v>11753</v>
      </c>
      <c r="AB886" t="s">
        <v>15312</v>
      </c>
    </row>
    <row r="887" spans="1:28" x14ac:dyDescent="0.25">
      <c r="A887" t="s">
        <v>891</v>
      </c>
      <c r="B887">
        <v>0.98018197421672304</v>
      </c>
      <c r="C887">
        <v>0.99686399233886602</v>
      </c>
      <c r="D887">
        <v>0.90074835964024802</v>
      </c>
      <c r="E887">
        <v>0.73676369248972695</v>
      </c>
      <c r="F887">
        <v>0.72066271870649001</v>
      </c>
      <c r="G887">
        <v>0.554966431482117</v>
      </c>
      <c r="H887">
        <v>0.44244936420815301</v>
      </c>
      <c r="I887">
        <v>0.59245515882806199</v>
      </c>
      <c r="J887">
        <v>0.54112101679888602</v>
      </c>
      <c r="K887">
        <v>0.64238712717418001</v>
      </c>
      <c r="L887">
        <v>925.25283801099897</v>
      </c>
      <c r="M887">
        <v>18.661122063446101</v>
      </c>
      <c r="O887">
        <v>49.022977122627097</v>
      </c>
      <c r="P887">
        <v>-4.2736581705736597E-2</v>
      </c>
      <c r="Q887">
        <v>0.55094114406000905</v>
      </c>
      <c r="R887">
        <v>0.90772940875739705</v>
      </c>
      <c r="S887" t="s">
        <v>4516</v>
      </c>
      <c r="T887" t="s">
        <v>7256</v>
      </c>
      <c r="U887" t="s">
        <v>7256</v>
      </c>
      <c r="V887" t="s">
        <v>7256</v>
      </c>
      <c r="W887">
        <v>4</v>
      </c>
      <c r="X887" t="s">
        <v>8143</v>
      </c>
      <c r="Y887">
        <v>0.70154839487829179</v>
      </c>
      <c r="Z887" t="str">
        <f>HYPERLINK("Melting_Curves/meltCurve_sp_P35754_GLRX1_HUMAN_.pdf", "Melting_Curves/meltCurve_sp_P35754_GLRX1_HUMAN_.pdf")</f>
        <v>Melting_Curves/meltCurve_sp_P35754_GLRX1_HUMAN_.pdf</v>
      </c>
      <c r="AA887" t="s">
        <v>11754</v>
      </c>
      <c r="AB887" t="s">
        <v>15313</v>
      </c>
    </row>
    <row r="888" spans="1:28" x14ac:dyDescent="0.25">
      <c r="A888" t="s">
        <v>892</v>
      </c>
      <c r="B888">
        <v>0.98018197421672304</v>
      </c>
      <c r="C888">
        <v>0.928391646282276</v>
      </c>
      <c r="D888">
        <v>0.89500841568362599</v>
      </c>
      <c r="E888">
        <v>0.67565048529486305</v>
      </c>
      <c r="F888">
        <v>0.24009257940696799</v>
      </c>
      <c r="G888">
        <v>0.110408888910346</v>
      </c>
      <c r="H888">
        <v>7.2854976686954301E-2</v>
      </c>
      <c r="I888">
        <v>6.1052441000502201E-2</v>
      </c>
      <c r="J888">
        <v>6.1661299583551502E-2</v>
      </c>
      <c r="K888">
        <v>4.0223704247686898E-2</v>
      </c>
      <c r="L888">
        <v>1456.90823175883</v>
      </c>
      <c r="M888">
        <v>28.666401620385798</v>
      </c>
      <c r="N888">
        <v>51.031247185109201</v>
      </c>
      <c r="O888">
        <v>50.577437097275798</v>
      </c>
      <c r="P888">
        <v>-0.13386999140957301</v>
      </c>
      <c r="Q888">
        <v>5.5235387130834701E-2</v>
      </c>
      <c r="R888">
        <v>0.99206277216808003</v>
      </c>
      <c r="S888" t="s">
        <v>4517</v>
      </c>
      <c r="T888" t="s">
        <v>7256</v>
      </c>
      <c r="U888" t="s">
        <v>7256</v>
      </c>
      <c r="V888" t="s">
        <v>7256</v>
      </c>
      <c r="W888">
        <v>11</v>
      </c>
      <c r="X888" t="s">
        <v>8144</v>
      </c>
      <c r="Y888">
        <v>0.40255821570885703</v>
      </c>
      <c r="Z888" t="str">
        <f>HYPERLINK("Melting_Curves/meltCurve_sp_P35813_PPM1A_HUMAN_.pdf", "Melting_Curves/meltCurve_sp_P35813_PPM1A_HUMAN_.pdf")</f>
        <v>Melting_Curves/meltCurve_sp_P35813_PPM1A_HUMAN_.pdf</v>
      </c>
      <c r="AA888" t="s">
        <v>11755</v>
      </c>
      <c r="AB888" t="s">
        <v>15314</v>
      </c>
    </row>
    <row r="889" spans="1:28" x14ac:dyDescent="0.25">
      <c r="A889" t="s">
        <v>893</v>
      </c>
      <c r="B889">
        <v>0.98018197421672304</v>
      </c>
      <c r="C889">
        <v>0.93607973775923903</v>
      </c>
      <c r="D889">
        <v>0.80404059975571796</v>
      </c>
      <c r="E889">
        <v>0.48663884450866701</v>
      </c>
      <c r="F889">
        <v>0.34912339631581601</v>
      </c>
      <c r="G889">
        <v>0.23423836406401199</v>
      </c>
      <c r="H889">
        <v>0.16822866013903801</v>
      </c>
      <c r="I889">
        <v>4.0299862517813E-2</v>
      </c>
      <c r="J889">
        <v>0.107607329846637</v>
      </c>
      <c r="K889">
        <v>4.2009263236896799E-2</v>
      </c>
      <c r="L889">
        <v>700.37806944926797</v>
      </c>
      <c r="M889">
        <v>14.001068528427901</v>
      </c>
      <c r="N889">
        <v>50.434599468826697</v>
      </c>
      <c r="O889">
        <v>49.035869318257902</v>
      </c>
      <c r="P889">
        <v>-6.7538558967114803E-2</v>
      </c>
      <c r="Q889">
        <v>5.3965380527466501E-2</v>
      </c>
      <c r="R889">
        <v>0.99137308322455198</v>
      </c>
      <c r="S889" t="s">
        <v>4518</v>
      </c>
      <c r="T889" t="s">
        <v>7256</v>
      </c>
      <c r="U889" t="s">
        <v>7256</v>
      </c>
      <c r="V889" t="s">
        <v>7256</v>
      </c>
      <c r="W889">
        <v>1</v>
      </c>
      <c r="X889" t="s">
        <v>8145</v>
      </c>
      <c r="Y889">
        <v>0.39545458054377169</v>
      </c>
      <c r="Z889" t="str">
        <f>HYPERLINK("Melting_Curves/meltCurve_sp_P35858_ALS_HUMAN_.pdf", "Melting_Curves/meltCurve_sp_P35858_ALS_HUMAN_.pdf")</f>
        <v>Melting_Curves/meltCurve_sp_P35858_ALS_HUMAN_.pdf</v>
      </c>
      <c r="AA889" t="s">
        <v>11756</v>
      </c>
      <c r="AB889" t="s">
        <v>15315</v>
      </c>
    </row>
    <row r="890" spans="1:28" x14ac:dyDescent="0.25">
      <c r="A890" t="s">
        <v>894</v>
      </c>
      <c r="B890">
        <v>0.98018197421672304</v>
      </c>
      <c r="C890">
        <v>0.82739656049375498</v>
      </c>
      <c r="D890">
        <v>0.92104001684848902</v>
      </c>
      <c r="E890">
        <v>0.66358388100521604</v>
      </c>
      <c r="F890">
        <v>0.36211472237654801</v>
      </c>
      <c r="G890">
        <v>0.16165408440242099</v>
      </c>
      <c r="H890">
        <v>7.1973262956046599E-2</v>
      </c>
      <c r="I890">
        <v>4.08605925476472E-2</v>
      </c>
      <c r="J890">
        <v>3.6218104055284098E-2</v>
      </c>
      <c r="K890">
        <v>2.3179150305809301E-2</v>
      </c>
      <c r="L890">
        <v>881.37520661719998</v>
      </c>
      <c r="M890">
        <v>17.1091628957046</v>
      </c>
      <c r="N890">
        <v>51.5667844518468</v>
      </c>
      <c r="O890">
        <v>50.826490509862403</v>
      </c>
      <c r="P890">
        <v>-8.3440346131299206E-2</v>
      </c>
      <c r="Q890">
        <v>8.5489434831891795E-3</v>
      </c>
      <c r="R890">
        <v>0.98367401339580496</v>
      </c>
      <c r="S890" t="s">
        <v>4519</v>
      </c>
      <c r="T890" t="s">
        <v>7256</v>
      </c>
      <c r="U890" t="s">
        <v>7256</v>
      </c>
      <c r="V890" t="s">
        <v>7256</v>
      </c>
      <c r="W890">
        <v>19</v>
      </c>
      <c r="X890" t="s">
        <v>8146</v>
      </c>
      <c r="Y890">
        <v>0.40722411670039832</v>
      </c>
      <c r="Z890" t="str">
        <f>HYPERLINK("Melting_Curves/meltCurve_sp_P35914_HMGCL_HUMAN_.pdf", "Melting_Curves/meltCurve_sp_P35914_HMGCL_HUMAN_.pdf")</f>
        <v>Melting_Curves/meltCurve_sp_P35914_HMGCL_HUMAN_.pdf</v>
      </c>
      <c r="AA890" t="s">
        <v>11757</v>
      </c>
      <c r="AB890" t="s">
        <v>15316</v>
      </c>
    </row>
    <row r="891" spans="1:28" x14ac:dyDescent="0.25">
      <c r="A891" t="s">
        <v>895</v>
      </c>
      <c r="B891">
        <v>0.98018197421672304</v>
      </c>
      <c r="C891">
        <v>0.89525653518537296</v>
      </c>
      <c r="D891">
        <v>0.71186181255690195</v>
      </c>
      <c r="E891">
        <v>0.385888211835137</v>
      </c>
      <c r="F891">
        <v>0.18553931312949101</v>
      </c>
      <c r="G891">
        <v>9.55954128429502E-2</v>
      </c>
      <c r="H891">
        <v>6.2349178577609098E-2</v>
      </c>
      <c r="I891">
        <v>4.8989390277693001E-2</v>
      </c>
      <c r="J891">
        <v>6.5178148930936805E-2</v>
      </c>
      <c r="K891">
        <v>4.0525711514034002E-2</v>
      </c>
      <c r="L891">
        <v>858.83846847150096</v>
      </c>
      <c r="M891">
        <v>17.819659650848099</v>
      </c>
      <c r="N891">
        <v>48.431116078319398</v>
      </c>
      <c r="O891">
        <v>47.601448333556299</v>
      </c>
      <c r="P891">
        <v>-8.9716723093866094E-2</v>
      </c>
      <c r="Q891">
        <v>4.1412282402326403E-2</v>
      </c>
      <c r="R891">
        <v>0.99930850537896698</v>
      </c>
      <c r="S891" t="s">
        <v>4520</v>
      </c>
      <c r="T891" t="s">
        <v>7256</v>
      </c>
      <c r="U891" t="s">
        <v>7256</v>
      </c>
      <c r="V891" t="s">
        <v>7256</v>
      </c>
      <c r="W891">
        <v>18</v>
      </c>
      <c r="X891" t="s">
        <v>8147</v>
      </c>
      <c r="Y891">
        <v>0.3205697218829332</v>
      </c>
      <c r="Z891" t="str">
        <f>HYPERLINK("Melting_Curves/meltCurve_sp_P35998_PRS7_HUMAN_.pdf", "Melting_Curves/meltCurve_sp_P35998_PRS7_HUMAN_.pdf")</f>
        <v>Melting_Curves/meltCurve_sp_P35998_PRS7_HUMAN_.pdf</v>
      </c>
      <c r="AA891" t="s">
        <v>11758</v>
      </c>
      <c r="AB891" t="s">
        <v>15317</v>
      </c>
    </row>
    <row r="892" spans="1:28" x14ac:dyDescent="0.25">
      <c r="A892" t="s">
        <v>896</v>
      </c>
      <c r="B892">
        <v>0.98018197421672304</v>
      </c>
      <c r="C892">
        <v>0.75375564913479698</v>
      </c>
      <c r="D892">
        <v>0.71104897585105398</v>
      </c>
      <c r="E892">
        <v>0.63321232823574902</v>
      </c>
      <c r="F892">
        <v>0.53178841813431998</v>
      </c>
      <c r="G892">
        <v>0.22088885939008199</v>
      </c>
      <c r="H892">
        <v>0.15231848700432701</v>
      </c>
      <c r="I892">
        <v>8.2290391561248094E-2</v>
      </c>
      <c r="J892">
        <v>0</v>
      </c>
      <c r="K892">
        <v>0</v>
      </c>
      <c r="L892">
        <v>533.49366447150999</v>
      </c>
      <c r="M892">
        <v>10.3958458917134</v>
      </c>
      <c r="N892">
        <v>51.3179471893704</v>
      </c>
      <c r="O892">
        <v>49.528023045061097</v>
      </c>
      <c r="P892">
        <v>-5.2496565023064302E-2</v>
      </c>
      <c r="Q892">
        <v>0</v>
      </c>
      <c r="R892">
        <v>0.95520503592719896</v>
      </c>
      <c r="S892" t="s">
        <v>4521</v>
      </c>
      <c r="T892" t="s">
        <v>7256</v>
      </c>
      <c r="U892" t="s">
        <v>7256</v>
      </c>
      <c r="V892" t="s">
        <v>7256</v>
      </c>
      <c r="W892">
        <v>2</v>
      </c>
      <c r="X892" t="s">
        <v>8148</v>
      </c>
      <c r="Y892">
        <v>0.41585465274038708</v>
      </c>
      <c r="Z892" t="str">
        <f>HYPERLINK("Melting_Curves/meltCurve_sp_P36405_ARL3_HUMAN_.pdf", "Melting_Curves/meltCurve_sp_P36405_ARL3_HUMAN_.pdf")</f>
        <v>Melting_Curves/meltCurve_sp_P36405_ARL3_HUMAN_.pdf</v>
      </c>
      <c r="AA892" t="s">
        <v>11759</v>
      </c>
      <c r="AB892" t="s">
        <v>15318</v>
      </c>
    </row>
    <row r="893" spans="1:28" x14ac:dyDescent="0.25">
      <c r="A893" t="s">
        <v>897</v>
      </c>
      <c r="B893">
        <v>0.98018197421672304</v>
      </c>
      <c r="C893">
        <v>0.96352766860285999</v>
      </c>
      <c r="D893">
        <v>0.84312951133007596</v>
      </c>
      <c r="E893">
        <v>0.52004787253413598</v>
      </c>
      <c r="F893">
        <v>0.188698660970258</v>
      </c>
      <c r="G893">
        <v>8.9449274058718206E-2</v>
      </c>
      <c r="H893">
        <v>5.1932354671988097E-2</v>
      </c>
      <c r="I893">
        <v>4.32298805972667E-2</v>
      </c>
      <c r="J893">
        <v>5.0804080518420697E-2</v>
      </c>
      <c r="K893">
        <v>3.2374241172992001E-2</v>
      </c>
      <c r="L893">
        <v>1123.07925361606</v>
      </c>
      <c r="M893">
        <v>22.595560262824101</v>
      </c>
      <c r="N893">
        <v>49.866074370857604</v>
      </c>
      <c r="O893">
        <v>49.319141343137602</v>
      </c>
      <c r="P893">
        <v>-0.11047343473178201</v>
      </c>
      <c r="Q893">
        <v>3.5501583511849399E-2</v>
      </c>
      <c r="R893">
        <v>0.99761281806995805</v>
      </c>
      <c r="S893" t="s">
        <v>4522</v>
      </c>
      <c r="T893" t="s">
        <v>7256</v>
      </c>
      <c r="U893" t="s">
        <v>7256</v>
      </c>
      <c r="V893" t="s">
        <v>7256</v>
      </c>
      <c r="W893">
        <v>9</v>
      </c>
      <c r="X893" t="s">
        <v>8149</v>
      </c>
      <c r="Y893">
        <v>0.35801101908149358</v>
      </c>
      <c r="Z893" t="str">
        <f>HYPERLINK("Melting_Curves/meltCurve_sp_P36507_MP2K2_HUMAN_.pdf", "Melting_Curves/meltCurve_sp_P36507_MP2K2_HUMAN_.pdf")</f>
        <v>Melting_Curves/meltCurve_sp_P36507_MP2K2_HUMAN_.pdf</v>
      </c>
      <c r="AA893" t="s">
        <v>11760</v>
      </c>
      <c r="AB893" t="s">
        <v>15319</v>
      </c>
    </row>
    <row r="894" spans="1:28" x14ac:dyDescent="0.25">
      <c r="A894" t="s">
        <v>898</v>
      </c>
      <c r="B894">
        <v>0.98018197421672304</v>
      </c>
      <c r="C894">
        <v>0.98008625390120296</v>
      </c>
      <c r="D894">
        <v>0.84453938643295701</v>
      </c>
      <c r="E894">
        <v>0.68683747647689797</v>
      </c>
      <c r="F894">
        <v>0.52794685609908698</v>
      </c>
      <c r="G894">
        <v>0.17625139300401199</v>
      </c>
      <c r="H894">
        <v>8.0057427793074107E-2</v>
      </c>
      <c r="I894">
        <v>6.3658579206698901E-2</v>
      </c>
      <c r="J894">
        <v>7.84189085647191E-2</v>
      </c>
      <c r="K894">
        <v>7.50049629637006E-2</v>
      </c>
      <c r="L894">
        <v>852.47348321386801</v>
      </c>
      <c r="M894">
        <v>16.3011062209108</v>
      </c>
      <c r="N894">
        <v>52.482669783441402</v>
      </c>
      <c r="O894">
        <v>51.527439645611899</v>
      </c>
      <c r="P894">
        <v>-7.68608463423191E-2</v>
      </c>
      <c r="Q894">
        <v>2.8249294847959301E-2</v>
      </c>
      <c r="R894">
        <v>0.99012318003072697</v>
      </c>
      <c r="S894" t="s">
        <v>4523</v>
      </c>
      <c r="T894" t="s">
        <v>7256</v>
      </c>
      <c r="U894" t="s">
        <v>7256</v>
      </c>
      <c r="V894" t="s">
        <v>7256</v>
      </c>
      <c r="W894">
        <v>7</v>
      </c>
      <c r="X894" t="s">
        <v>8150</v>
      </c>
      <c r="Y894">
        <v>0.44544109192024339</v>
      </c>
      <c r="Z894" t="str">
        <f>HYPERLINK("Melting_Curves/meltCurve_sp_P36543_VATE1_HUMAN_.pdf", "Melting_Curves/meltCurve_sp_P36543_VATE1_HUMAN_.pdf")</f>
        <v>Melting_Curves/meltCurve_sp_P36543_VATE1_HUMAN_.pdf</v>
      </c>
      <c r="AA894" t="s">
        <v>11761</v>
      </c>
      <c r="AB894" t="s">
        <v>15320</v>
      </c>
    </row>
    <row r="895" spans="1:28" x14ac:dyDescent="0.25">
      <c r="A895" t="s">
        <v>899</v>
      </c>
      <c r="B895">
        <v>0.98018197421672304</v>
      </c>
      <c r="C895">
        <v>0.93615569253255704</v>
      </c>
      <c r="D895">
        <v>0.90652345333342499</v>
      </c>
      <c r="E895">
        <v>0.77016669158906204</v>
      </c>
      <c r="F895">
        <v>0.66627899581447103</v>
      </c>
      <c r="G895">
        <v>0.495896464871528</v>
      </c>
      <c r="H895">
        <v>0.24382963661256701</v>
      </c>
      <c r="I895">
        <v>0.13581382104546599</v>
      </c>
      <c r="J895">
        <v>9.1753389395242302E-2</v>
      </c>
      <c r="K895">
        <v>8.0710028266616704E-2</v>
      </c>
      <c r="L895">
        <v>674.71675644041795</v>
      </c>
      <c r="M895">
        <v>12.102527247463801</v>
      </c>
      <c r="N895">
        <v>55.750083298880398</v>
      </c>
      <c r="O895">
        <v>54.293440646179697</v>
      </c>
      <c r="P895">
        <v>-5.5740389747513497E-2</v>
      </c>
      <c r="Q895">
        <v>0</v>
      </c>
      <c r="R895">
        <v>0.99233884819720997</v>
      </c>
      <c r="S895" t="s">
        <v>4524</v>
      </c>
      <c r="T895" t="s">
        <v>7256</v>
      </c>
      <c r="U895" t="s">
        <v>7256</v>
      </c>
      <c r="V895" t="s">
        <v>7256</v>
      </c>
      <c r="W895">
        <v>18</v>
      </c>
      <c r="X895" t="s">
        <v>8151</v>
      </c>
      <c r="Y895">
        <v>0.54610899783745503</v>
      </c>
      <c r="Z895" t="str">
        <f>HYPERLINK("Melting_Curves/meltCurve_sp_P36551_HEM6_HUMAN_.pdf", "Melting_Curves/meltCurve_sp_P36551_HEM6_HUMAN_.pdf")</f>
        <v>Melting_Curves/meltCurve_sp_P36551_HEM6_HUMAN_.pdf</v>
      </c>
      <c r="AA895" t="s">
        <v>11762</v>
      </c>
      <c r="AB895" t="s">
        <v>15321</v>
      </c>
    </row>
    <row r="896" spans="1:28" x14ac:dyDescent="0.25">
      <c r="A896" t="s">
        <v>900</v>
      </c>
      <c r="B896">
        <v>0.98018197421672304</v>
      </c>
      <c r="C896">
        <v>0.96415218507523404</v>
      </c>
      <c r="D896">
        <v>0.96044308477221396</v>
      </c>
      <c r="E896">
        <v>0.80515217191404898</v>
      </c>
      <c r="F896">
        <v>0.58667369039280004</v>
      </c>
      <c r="G896">
        <v>0.22677699286172801</v>
      </c>
      <c r="H896">
        <v>7.7050318076049507E-2</v>
      </c>
      <c r="I896">
        <v>5.4967951581807901E-2</v>
      </c>
      <c r="J896">
        <v>6.3502958336989906E-2</v>
      </c>
      <c r="K896">
        <v>4.4185394795791103E-2</v>
      </c>
      <c r="L896">
        <v>1143.59626922709</v>
      </c>
      <c r="M896">
        <v>21.3806957709246</v>
      </c>
      <c r="N896">
        <v>53.653535390746903</v>
      </c>
      <c r="O896">
        <v>53.026018584016697</v>
      </c>
      <c r="P896">
        <v>-9.7575329401615202E-2</v>
      </c>
      <c r="Q896">
        <v>3.2042400005733801E-2</v>
      </c>
      <c r="R896">
        <v>0.99802737811285402</v>
      </c>
      <c r="S896" t="s">
        <v>4525</v>
      </c>
      <c r="T896" t="s">
        <v>7256</v>
      </c>
      <c r="U896" t="s">
        <v>7256</v>
      </c>
      <c r="V896" t="s">
        <v>7256</v>
      </c>
      <c r="W896">
        <v>38</v>
      </c>
      <c r="X896" t="s">
        <v>8152</v>
      </c>
      <c r="Y896">
        <v>0.47904542518602361</v>
      </c>
      <c r="Z896" t="str">
        <f>HYPERLINK("Melting_Curves/meltCurve_sp_P36871_PGM1_HUMAN_.pdf", "Melting_Curves/meltCurve_sp_P36871_PGM1_HUMAN_.pdf")</f>
        <v>Melting_Curves/meltCurve_sp_P36871_PGM1_HUMAN_.pdf</v>
      </c>
      <c r="AA896" t="s">
        <v>11763</v>
      </c>
      <c r="AB896" t="s">
        <v>15322</v>
      </c>
    </row>
    <row r="897" spans="1:28" x14ac:dyDescent="0.25">
      <c r="A897" t="s">
        <v>901</v>
      </c>
      <c r="B897">
        <v>0.98018197421672304</v>
      </c>
      <c r="C897">
        <v>0.92086338195342399</v>
      </c>
      <c r="D897">
        <v>0.816820948034094</v>
      </c>
      <c r="E897">
        <v>0.70639879413714202</v>
      </c>
      <c r="F897">
        <v>0.51573567489191297</v>
      </c>
      <c r="G897">
        <v>0.26956970768057498</v>
      </c>
      <c r="H897">
        <v>0.226261010054809</v>
      </c>
      <c r="I897">
        <v>0.17224900029865001</v>
      </c>
      <c r="J897">
        <v>0.23512370982210701</v>
      </c>
      <c r="K897">
        <v>8.0910688520594798E-2</v>
      </c>
      <c r="L897">
        <v>641.43778767361096</v>
      </c>
      <c r="M897">
        <v>12.3184275683713</v>
      </c>
      <c r="N897">
        <v>52.992573039826901</v>
      </c>
      <c r="O897">
        <v>50.756194950757703</v>
      </c>
      <c r="P897">
        <v>-5.48387044529592E-2</v>
      </c>
      <c r="Q897">
        <v>9.6378855814183803E-2</v>
      </c>
      <c r="R897">
        <v>0.983362661765534</v>
      </c>
      <c r="S897" t="s">
        <v>4526</v>
      </c>
      <c r="T897" t="s">
        <v>7256</v>
      </c>
      <c r="U897" t="s">
        <v>7256</v>
      </c>
      <c r="V897" t="s">
        <v>7256</v>
      </c>
      <c r="W897">
        <v>11</v>
      </c>
      <c r="X897" t="s">
        <v>8153</v>
      </c>
      <c r="Y897">
        <v>0.48658678148018369</v>
      </c>
      <c r="Z897" t="str">
        <f>HYPERLINK("Melting_Curves/meltCurve_sp_P36873_PP1G_HUMAN_.pdf", "Melting_Curves/meltCurve_sp_P36873_PP1G_HUMAN_.pdf")</f>
        <v>Melting_Curves/meltCurve_sp_P36873_PP1G_HUMAN_.pdf</v>
      </c>
      <c r="AA897" t="s">
        <v>11764</v>
      </c>
      <c r="AB897" t="s">
        <v>15323</v>
      </c>
    </row>
    <row r="898" spans="1:28" x14ac:dyDescent="0.25">
      <c r="A898" t="s">
        <v>902</v>
      </c>
      <c r="B898">
        <v>0.98018197421672304</v>
      </c>
      <c r="C898">
        <v>0.946931251168045</v>
      </c>
      <c r="D898">
        <v>0.86525752279725998</v>
      </c>
      <c r="E898">
        <v>0.62799321824858401</v>
      </c>
      <c r="F898">
        <v>0.291836327753625</v>
      </c>
      <c r="G898">
        <v>0.24115967715244699</v>
      </c>
      <c r="H898">
        <v>0.165519773107799</v>
      </c>
      <c r="I898">
        <v>0.13447903264052199</v>
      </c>
      <c r="J898">
        <v>0.18270076860999601</v>
      </c>
      <c r="K898">
        <v>7.2504583394541397E-2</v>
      </c>
      <c r="L898">
        <v>991.73650549530601</v>
      </c>
      <c r="M898">
        <v>19.7513899542943</v>
      </c>
      <c r="N898">
        <v>50.9764244710722</v>
      </c>
      <c r="O898">
        <v>49.704774243749803</v>
      </c>
      <c r="P898">
        <v>-8.6598576545123193E-2</v>
      </c>
      <c r="Q898">
        <v>0.12832154410812299</v>
      </c>
      <c r="R898">
        <v>0.98787145741544202</v>
      </c>
      <c r="S898" t="s">
        <v>4527</v>
      </c>
      <c r="T898" t="s">
        <v>7256</v>
      </c>
      <c r="U898" t="s">
        <v>7256</v>
      </c>
      <c r="V898" t="s">
        <v>7256</v>
      </c>
      <c r="W898">
        <v>7</v>
      </c>
      <c r="X898" t="s">
        <v>8154</v>
      </c>
      <c r="Y898">
        <v>0.43743338114578478</v>
      </c>
      <c r="Z898" t="str">
        <f>HYPERLINK("Melting_Curves/meltCurve_sp_P36915_GNL1_HUMAN_.pdf", "Melting_Curves/meltCurve_sp_P36915_GNL1_HUMAN_.pdf")</f>
        <v>Melting_Curves/meltCurve_sp_P36915_GNL1_HUMAN_.pdf</v>
      </c>
      <c r="AA898" t="s">
        <v>11765</v>
      </c>
      <c r="AB898" t="s">
        <v>15324</v>
      </c>
    </row>
    <row r="899" spans="1:28" x14ac:dyDescent="0.25">
      <c r="A899" t="s">
        <v>903</v>
      </c>
      <c r="B899">
        <v>0.98018197421672304</v>
      </c>
      <c r="C899">
        <v>0.87051963980815905</v>
      </c>
      <c r="D899">
        <v>0.85129081316745303</v>
      </c>
      <c r="E899">
        <v>0.69933143941459597</v>
      </c>
      <c r="F899">
        <v>0.443014743744849</v>
      </c>
      <c r="G899">
        <v>0.243087050798941</v>
      </c>
      <c r="H899">
        <v>9.6971212376497001E-2</v>
      </c>
      <c r="I899">
        <v>8.5518625777362398E-2</v>
      </c>
      <c r="J899">
        <v>6.9251034514263607E-2</v>
      </c>
      <c r="K899">
        <v>5.4475239444285797E-2</v>
      </c>
      <c r="L899">
        <v>696.09522448801204</v>
      </c>
      <c r="M899">
        <v>13.3260242771241</v>
      </c>
      <c r="N899">
        <v>52.276668353223101</v>
      </c>
      <c r="O899">
        <v>51.101526528180202</v>
      </c>
      <c r="P899">
        <v>-6.4866119687823201E-2</v>
      </c>
      <c r="Q899">
        <v>5.1868448760586704E-3</v>
      </c>
      <c r="R899">
        <v>0.99152623154265196</v>
      </c>
      <c r="S899" t="s">
        <v>4528</v>
      </c>
      <c r="T899" t="s">
        <v>7256</v>
      </c>
      <c r="U899" t="s">
        <v>7256</v>
      </c>
      <c r="V899" t="s">
        <v>7256</v>
      </c>
      <c r="W899">
        <v>4</v>
      </c>
      <c r="X899" t="s">
        <v>8155</v>
      </c>
      <c r="Y899">
        <v>0.43705733767284721</v>
      </c>
      <c r="Z899" t="str">
        <f>HYPERLINK("Melting_Curves/meltCurve_sp_P36955_PEDF_HUMAN_.pdf", "Melting_Curves/meltCurve_sp_P36955_PEDF_HUMAN_.pdf")</f>
        <v>Melting_Curves/meltCurve_sp_P36955_PEDF_HUMAN_.pdf</v>
      </c>
      <c r="AA899" t="s">
        <v>11766</v>
      </c>
      <c r="AB899" t="s">
        <v>15325</v>
      </c>
    </row>
    <row r="900" spans="1:28" x14ac:dyDescent="0.25">
      <c r="A900" t="s">
        <v>904</v>
      </c>
      <c r="B900">
        <v>0.98018197421672304</v>
      </c>
      <c r="C900">
        <v>0.95022467680811196</v>
      </c>
      <c r="D900">
        <v>0.89621448451027697</v>
      </c>
      <c r="E900">
        <v>0.79082418605025695</v>
      </c>
      <c r="F900">
        <v>0.70835764430335901</v>
      </c>
      <c r="G900">
        <v>0.57909100006048797</v>
      </c>
      <c r="H900">
        <v>0.44345810450972001</v>
      </c>
      <c r="I900">
        <v>0.423508732531231</v>
      </c>
      <c r="J900">
        <v>0.38722890129721599</v>
      </c>
      <c r="K900">
        <v>0.27440350192624702</v>
      </c>
      <c r="L900">
        <v>457.93951165169199</v>
      </c>
      <c r="M900">
        <v>7.9992469630039498</v>
      </c>
      <c r="N900">
        <v>59.832566513519403</v>
      </c>
      <c r="O900">
        <v>54.002337993701197</v>
      </c>
      <c r="P900">
        <v>-3.1657753513475301E-2</v>
      </c>
      <c r="Q900">
        <v>0.146089386594625</v>
      </c>
      <c r="R900">
        <v>0.99361257577165596</v>
      </c>
      <c r="S900" t="s">
        <v>4529</v>
      </c>
      <c r="T900" t="s">
        <v>7256</v>
      </c>
      <c r="U900" t="s">
        <v>7256</v>
      </c>
      <c r="V900" t="s">
        <v>7256</v>
      </c>
      <c r="W900">
        <v>15</v>
      </c>
      <c r="X900" t="s">
        <v>8156</v>
      </c>
      <c r="Y900">
        <v>0.6455259256032575</v>
      </c>
      <c r="Z900" t="str">
        <f>HYPERLINK("Melting_Curves/meltCurve_sp_P36957_ODO2_HUMAN_.pdf", "Melting_Curves/meltCurve_sp_P36957_ODO2_HUMAN_.pdf")</f>
        <v>Melting_Curves/meltCurve_sp_P36957_ODO2_HUMAN_.pdf</v>
      </c>
      <c r="AA900" t="s">
        <v>11767</v>
      </c>
      <c r="AB900" t="s">
        <v>15326</v>
      </c>
    </row>
    <row r="901" spans="1:28" x14ac:dyDescent="0.25">
      <c r="A901" t="s">
        <v>905</v>
      </c>
      <c r="B901">
        <v>0.98018197421672304</v>
      </c>
      <c r="C901">
        <v>0.90279840827262803</v>
      </c>
      <c r="D901">
        <v>0.91162893720642701</v>
      </c>
      <c r="E901">
        <v>0.67562893729679596</v>
      </c>
      <c r="F901">
        <v>0.57258307287700705</v>
      </c>
      <c r="G901">
        <v>0.43263966296748602</v>
      </c>
      <c r="H901">
        <v>0.32063367936998499</v>
      </c>
      <c r="I901">
        <v>0.32008494394922099</v>
      </c>
      <c r="J901">
        <v>0.43059434652691603</v>
      </c>
      <c r="K901">
        <v>0.265590646578578</v>
      </c>
      <c r="L901">
        <v>717.12624628174899</v>
      </c>
      <c r="M901">
        <v>14.094354678458901</v>
      </c>
      <c r="N901">
        <v>54.486716384421101</v>
      </c>
      <c r="O901">
        <v>49.888975829120803</v>
      </c>
      <c r="P901">
        <v>-4.9214133956585401E-2</v>
      </c>
      <c r="Q901">
        <v>0.30328806247762602</v>
      </c>
      <c r="R901">
        <v>0.96867382438147098</v>
      </c>
      <c r="S901" t="s">
        <v>4530</v>
      </c>
      <c r="T901" t="s">
        <v>7256</v>
      </c>
      <c r="U901" t="s">
        <v>7256</v>
      </c>
      <c r="V901" t="s">
        <v>7256</v>
      </c>
      <c r="W901">
        <v>4</v>
      </c>
      <c r="X901" t="s">
        <v>8157</v>
      </c>
      <c r="Y901">
        <v>0.57386625981438655</v>
      </c>
      <c r="Z901" t="str">
        <f>HYPERLINK("Melting_Curves/meltCurve_sp_P36959_GMPR1_HUMAN_.pdf", "Melting_Curves/meltCurve_sp_P36959_GMPR1_HUMAN_.pdf")</f>
        <v>Melting_Curves/meltCurve_sp_P36959_GMPR1_HUMAN_.pdf</v>
      </c>
      <c r="AA901" t="s">
        <v>11768</v>
      </c>
      <c r="AB901" t="s">
        <v>15327</v>
      </c>
    </row>
    <row r="902" spans="1:28" x14ac:dyDescent="0.25">
      <c r="A902" t="s">
        <v>906</v>
      </c>
      <c r="B902">
        <v>0.98018197421672304</v>
      </c>
      <c r="C902">
        <v>1.0248099713834899</v>
      </c>
      <c r="D902">
        <v>0.92190234973844298</v>
      </c>
      <c r="E902">
        <v>0.62944975881281595</v>
      </c>
      <c r="F902">
        <v>0.23171945270118799</v>
      </c>
      <c r="G902">
        <v>0.11277176612892</v>
      </c>
      <c r="H902">
        <v>6.5785846895542593E-2</v>
      </c>
      <c r="I902">
        <v>4.8063526583591198E-2</v>
      </c>
      <c r="J902">
        <v>5.4785721511552699E-2</v>
      </c>
      <c r="K902">
        <v>4.0092319165137703E-2</v>
      </c>
      <c r="L902">
        <v>1477.4956107937901</v>
      </c>
      <c r="M902">
        <v>29.184135194262499</v>
      </c>
      <c r="N902">
        <v>50.820774343835303</v>
      </c>
      <c r="O902">
        <v>50.390747399466598</v>
      </c>
      <c r="P902">
        <v>-0.13715429916552499</v>
      </c>
      <c r="Q902">
        <v>5.2737669184700499E-2</v>
      </c>
      <c r="R902">
        <v>0.99763599462724195</v>
      </c>
      <c r="S902" t="s">
        <v>4531</v>
      </c>
      <c r="T902" t="s">
        <v>7256</v>
      </c>
      <c r="U902" t="s">
        <v>7256</v>
      </c>
      <c r="V902" t="s">
        <v>7256</v>
      </c>
      <c r="W902">
        <v>12</v>
      </c>
      <c r="X902" t="s">
        <v>8158</v>
      </c>
      <c r="Y902">
        <v>0.39453574703414962</v>
      </c>
      <c r="Z902" t="str">
        <f>HYPERLINK("Melting_Curves/meltCurve_sp_P36969_2_GPX4_HUMAN_.pdf", "Melting_Curves/meltCurve_sp_P36969_2_GPX4_HUMAN_.pdf")</f>
        <v>Melting_Curves/meltCurve_sp_P36969_2_GPX4_HUMAN_.pdf</v>
      </c>
      <c r="AA902" t="s">
        <v>11769</v>
      </c>
      <c r="AB902" t="s">
        <v>15328</v>
      </c>
    </row>
    <row r="903" spans="1:28" x14ac:dyDescent="0.25">
      <c r="A903" t="s">
        <v>907</v>
      </c>
      <c r="B903">
        <v>0.98018197421672304</v>
      </c>
      <c r="C903">
        <v>0.97557173010678999</v>
      </c>
      <c r="D903">
        <v>0.84874226546511899</v>
      </c>
      <c r="E903">
        <v>0.65073059308550796</v>
      </c>
      <c r="F903">
        <v>0.43117162267668602</v>
      </c>
      <c r="G903">
        <v>0.32621182978658603</v>
      </c>
      <c r="H903">
        <v>0.259979406214144</v>
      </c>
      <c r="I903">
        <v>0.26510517641047099</v>
      </c>
      <c r="J903">
        <v>0.32231067545459402</v>
      </c>
      <c r="K903">
        <v>0.36464473138135001</v>
      </c>
      <c r="L903">
        <v>1014.79560616094</v>
      </c>
      <c r="M903">
        <v>20.466674205048299</v>
      </c>
      <c r="N903">
        <v>51.830035314099099</v>
      </c>
      <c r="O903">
        <v>49.116738887250797</v>
      </c>
      <c r="P903">
        <v>-7.3534877290957798E-2</v>
      </c>
      <c r="Q903">
        <v>0.29413305847336302</v>
      </c>
      <c r="R903">
        <v>0.98492216033569202</v>
      </c>
      <c r="S903" t="s">
        <v>4532</v>
      </c>
      <c r="T903" t="s">
        <v>7256</v>
      </c>
      <c r="U903" t="s">
        <v>7256</v>
      </c>
      <c r="V903" t="s">
        <v>7256</v>
      </c>
      <c r="W903">
        <v>5</v>
      </c>
      <c r="X903" t="s">
        <v>8159</v>
      </c>
      <c r="Y903">
        <v>0.52901072734555565</v>
      </c>
      <c r="Z903" t="str">
        <f>HYPERLINK("Melting_Curves/meltCurve_sp_P36980_2_FHR2_HUMAN_.pdf", "Melting_Curves/meltCurve_sp_P36980_2_FHR2_HUMAN_.pdf")</f>
        <v>Melting_Curves/meltCurve_sp_P36980_2_FHR2_HUMAN_.pdf</v>
      </c>
      <c r="AA903" t="s">
        <v>11770</v>
      </c>
      <c r="AB903" t="s">
        <v>15329</v>
      </c>
    </row>
    <row r="904" spans="1:28" x14ac:dyDescent="0.25">
      <c r="A904" t="s">
        <v>908</v>
      </c>
      <c r="B904">
        <v>0.98018197421672304</v>
      </c>
      <c r="C904">
        <v>0.97265905788248197</v>
      </c>
      <c r="D904">
        <v>0.98454594736983103</v>
      </c>
      <c r="E904">
        <v>0.81459211480704397</v>
      </c>
      <c r="F904">
        <v>0.77102770542682197</v>
      </c>
      <c r="G904">
        <v>0.58651438949376999</v>
      </c>
      <c r="H904">
        <v>0.38428686174530602</v>
      </c>
      <c r="I904">
        <v>0.20830626274182901</v>
      </c>
      <c r="J904">
        <v>0.13528565517322</v>
      </c>
      <c r="K904">
        <v>0.143054421591921</v>
      </c>
      <c r="L904">
        <v>696.74917532070504</v>
      </c>
      <c r="M904">
        <v>11.995988978120799</v>
      </c>
      <c r="N904">
        <v>58.081860799775498</v>
      </c>
      <c r="O904">
        <v>56.538398711532501</v>
      </c>
      <c r="P904">
        <v>-5.3056351452985803E-2</v>
      </c>
      <c r="Q904">
        <v>0</v>
      </c>
      <c r="R904">
        <v>0.99143246531860696</v>
      </c>
      <c r="S904" t="s">
        <v>4533</v>
      </c>
      <c r="T904" t="s">
        <v>7256</v>
      </c>
      <c r="U904" t="s">
        <v>7256</v>
      </c>
      <c r="V904" t="s">
        <v>7256</v>
      </c>
      <c r="W904">
        <v>5</v>
      </c>
      <c r="X904" t="s">
        <v>8160</v>
      </c>
      <c r="Y904">
        <v>0.61506215310350831</v>
      </c>
      <c r="Z904" t="str">
        <f>HYPERLINK("Melting_Curves/meltCurve_sp_P37108_SRP14_HUMAN_.pdf", "Melting_Curves/meltCurve_sp_P37108_SRP14_HUMAN_.pdf")</f>
        <v>Melting_Curves/meltCurve_sp_P37108_SRP14_HUMAN_.pdf</v>
      </c>
      <c r="AA904" t="s">
        <v>11771</v>
      </c>
      <c r="AB904" t="s">
        <v>15330</v>
      </c>
    </row>
    <row r="905" spans="1:28" x14ac:dyDescent="0.25">
      <c r="A905" t="s">
        <v>909</v>
      </c>
      <c r="B905">
        <v>0.98018197421672304</v>
      </c>
      <c r="C905">
        <v>0.87186149617418296</v>
      </c>
      <c r="D905">
        <v>0.80921017107243198</v>
      </c>
      <c r="E905">
        <v>0.63269208543415401</v>
      </c>
      <c r="F905">
        <v>0.48892480708819303</v>
      </c>
      <c r="G905">
        <v>0.27733837053998001</v>
      </c>
      <c r="H905">
        <v>0.20654864140770701</v>
      </c>
      <c r="I905">
        <v>0.19231604880821701</v>
      </c>
      <c r="J905">
        <v>0.239552680987658</v>
      </c>
      <c r="K905">
        <v>0.146568894207741</v>
      </c>
      <c r="L905">
        <v>613.04005215096197</v>
      </c>
      <c r="M905">
        <v>12.054262457730999</v>
      </c>
      <c r="N905">
        <v>52.189273033163303</v>
      </c>
      <c r="O905">
        <v>49.517717571553703</v>
      </c>
      <c r="P905">
        <v>-5.2809310764169198E-2</v>
      </c>
      <c r="Q905">
        <v>0.13246367142021101</v>
      </c>
      <c r="R905">
        <v>0.98893617273414802</v>
      </c>
      <c r="S905" t="s">
        <v>4534</v>
      </c>
      <c r="T905" t="s">
        <v>7256</v>
      </c>
      <c r="U905" t="s">
        <v>7256</v>
      </c>
      <c r="V905" t="s">
        <v>7256</v>
      </c>
      <c r="W905">
        <v>3</v>
      </c>
      <c r="X905" t="s">
        <v>8161</v>
      </c>
      <c r="Y905">
        <v>0.47477125698208411</v>
      </c>
      <c r="Z905" t="str">
        <f>HYPERLINK("Melting_Curves/meltCurve_sp_P37198_NUP62_HUMAN_.pdf", "Melting_Curves/meltCurve_sp_P37198_NUP62_HUMAN_.pdf")</f>
        <v>Melting_Curves/meltCurve_sp_P37198_NUP62_HUMAN_.pdf</v>
      </c>
      <c r="AA905" t="s">
        <v>11772</v>
      </c>
      <c r="AB905" t="s">
        <v>15331</v>
      </c>
    </row>
    <row r="906" spans="1:28" x14ac:dyDescent="0.25">
      <c r="A906" t="s">
        <v>910</v>
      </c>
      <c r="B906">
        <v>0.98018197421672304</v>
      </c>
      <c r="C906">
        <v>0.95937885967138004</v>
      </c>
      <c r="D906">
        <v>0.80150734310003402</v>
      </c>
      <c r="E906">
        <v>0.65644751598942397</v>
      </c>
      <c r="F906">
        <v>0.33600456120404698</v>
      </c>
      <c r="G906">
        <v>0.30203285761358001</v>
      </c>
      <c r="H906">
        <v>0.231300225510849</v>
      </c>
      <c r="I906">
        <v>0.14632926467556401</v>
      </c>
      <c r="J906">
        <v>0.30964429698576901</v>
      </c>
      <c r="K906">
        <v>0.247361702533165</v>
      </c>
      <c r="L906">
        <v>916.63644216645002</v>
      </c>
      <c r="M906">
        <v>18.494042288422602</v>
      </c>
      <c r="N906">
        <v>51.185671663523699</v>
      </c>
      <c r="O906">
        <v>48.995291729792399</v>
      </c>
      <c r="P906">
        <v>-7.3446865072027107E-2</v>
      </c>
      <c r="Q906">
        <v>0.22171900687086599</v>
      </c>
      <c r="R906">
        <v>0.96961180660924495</v>
      </c>
      <c r="S906" t="s">
        <v>4535</v>
      </c>
      <c r="T906" t="s">
        <v>7256</v>
      </c>
      <c r="U906" t="s">
        <v>7256</v>
      </c>
      <c r="V906" t="s">
        <v>7256</v>
      </c>
      <c r="W906">
        <v>2</v>
      </c>
      <c r="X906" t="s">
        <v>8162</v>
      </c>
      <c r="Y906">
        <v>0.48249952804355623</v>
      </c>
      <c r="Z906" t="str">
        <f>HYPERLINK("Melting_Curves/meltCurve_sp_P37235_HPCL1_HUMAN_.pdf", "Melting_Curves/meltCurve_sp_P37235_HPCL1_HUMAN_.pdf")</f>
        <v>Melting_Curves/meltCurve_sp_P37235_HPCL1_HUMAN_.pdf</v>
      </c>
      <c r="AA906" t="s">
        <v>11773</v>
      </c>
      <c r="AB906" t="s">
        <v>15332</v>
      </c>
    </row>
    <row r="907" spans="1:28" x14ac:dyDescent="0.25">
      <c r="A907" t="s">
        <v>911</v>
      </c>
      <c r="B907">
        <v>0.98018197421672304</v>
      </c>
      <c r="C907">
        <v>1.05735832155194</v>
      </c>
      <c r="D907">
        <v>0.98315320395278405</v>
      </c>
      <c r="E907">
        <v>0.83288673332084195</v>
      </c>
      <c r="F907">
        <v>0.83172505861026103</v>
      </c>
      <c r="G907">
        <v>0.54362143056036605</v>
      </c>
      <c r="H907">
        <v>0.28856292282708101</v>
      </c>
      <c r="I907">
        <v>0.25267199955786102</v>
      </c>
      <c r="J907">
        <v>0.29953912913444303</v>
      </c>
      <c r="K907">
        <v>0.36174783349714801</v>
      </c>
      <c r="L907">
        <v>1224.2039342589301</v>
      </c>
      <c r="M907">
        <v>22.213375737015699</v>
      </c>
      <c r="N907">
        <v>57.1913682384398</v>
      </c>
      <c r="O907">
        <v>54.670321641761198</v>
      </c>
      <c r="P907">
        <v>-7.3430765202117096E-2</v>
      </c>
      <c r="Q907">
        <v>0.27712094408693499</v>
      </c>
      <c r="R907">
        <v>0.96850477400376001</v>
      </c>
      <c r="S907" t="s">
        <v>4536</v>
      </c>
      <c r="T907" t="s">
        <v>7256</v>
      </c>
      <c r="U907" t="s">
        <v>7256</v>
      </c>
      <c r="V907" t="s">
        <v>7256</v>
      </c>
      <c r="W907">
        <v>13</v>
      </c>
      <c r="X907" t="s">
        <v>8163</v>
      </c>
      <c r="Y907">
        <v>0.64939237099444991</v>
      </c>
      <c r="Z907" t="str">
        <f>HYPERLINK("Melting_Curves/meltCurve_sp_P37802_TAGL2_HUMAN_.pdf", "Melting_Curves/meltCurve_sp_P37802_TAGL2_HUMAN_.pdf")</f>
        <v>Melting_Curves/meltCurve_sp_P37802_TAGL2_HUMAN_.pdf</v>
      </c>
      <c r="AA907" t="s">
        <v>11774</v>
      </c>
      <c r="AB907" t="s">
        <v>15333</v>
      </c>
    </row>
    <row r="908" spans="1:28" x14ac:dyDescent="0.25">
      <c r="A908" t="s">
        <v>912</v>
      </c>
      <c r="B908">
        <v>0.98018197421672304</v>
      </c>
      <c r="C908">
        <v>0.95897960314548902</v>
      </c>
      <c r="D908">
        <v>0.96553514986326305</v>
      </c>
      <c r="E908">
        <v>0.83059806406074799</v>
      </c>
      <c r="F908">
        <v>0.50426831064020305</v>
      </c>
      <c r="G908">
        <v>0.300281173054813</v>
      </c>
      <c r="H908">
        <v>0.1908708009217</v>
      </c>
      <c r="I908">
        <v>0.167696815573318</v>
      </c>
      <c r="J908">
        <v>0.13967623437909599</v>
      </c>
      <c r="K908">
        <v>0.108860567236041</v>
      </c>
      <c r="L908">
        <v>1136.76235605849</v>
      </c>
      <c r="M908">
        <v>21.556329626540101</v>
      </c>
      <c r="N908">
        <v>53.508668353678203</v>
      </c>
      <c r="O908">
        <v>52.286964116926299</v>
      </c>
      <c r="P908">
        <v>-8.9262584732618E-2</v>
      </c>
      <c r="Q908">
        <v>0.13396079870350799</v>
      </c>
      <c r="R908">
        <v>0.99532420263087695</v>
      </c>
      <c r="S908" t="s">
        <v>4537</v>
      </c>
      <c r="T908" t="s">
        <v>7256</v>
      </c>
      <c r="U908" t="s">
        <v>7256</v>
      </c>
      <c r="V908" t="s">
        <v>7256</v>
      </c>
      <c r="W908">
        <v>26</v>
      </c>
      <c r="X908" t="s">
        <v>8164</v>
      </c>
      <c r="Y908">
        <v>0.51203985510563854</v>
      </c>
      <c r="Z908" t="str">
        <f>HYPERLINK("Melting_Curves/meltCurve_sp_P37837_TALDO_HUMAN_.pdf", "Melting_Curves/meltCurve_sp_P37837_TALDO_HUMAN_.pdf")</f>
        <v>Melting_Curves/meltCurve_sp_P37837_TALDO_HUMAN_.pdf</v>
      </c>
      <c r="AA908" t="s">
        <v>11775</v>
      </c>
      <c r="AB908" t="s">
        <v>15334</v>
      </c>
    </row>
    <row r="909" spans="1:28" x14ac:dyDescent="0.25">
      <c r="A909" t="s">
        <v>913</v>
      </c>
      <c r="B909">
        <v>0.98018197421672304</v>
      </c>
      <c r="C909">
        <v>0.91567608264634204</v>
      </c>
      <c r="D909">
        <v>0.89426785444796997</v>
      </c>
      <c r="E909">
        <v>0.74627790455364296</v>
      </c>
      <c r="F909">
        <v>0.545600924639701</v>
      </c>
      <c r="G909">
        <v>0.242916425421176</v>
      </c>
      <c r="H909">
        <v>8.2986080058341793E-2</v>
      </c>
      <c r="I909">
        <v>4.80222576844999E-2</v>
      </c>
      <c r="J909">
        <v>4.1319121208052298E-2</v>
      </c>
      <c r="K909">
        <v>3.1529051617000599E-2</v>
      </c>
      <c r="L909">
        <v>860.85347839668702</v>
      </c>
      <c r="M909">
        <v>16.178945115084399</v>
      </c>
      <c r="N909">
        <v>53.208261140372798</v>
      </c>
      <c r="O909">
        <v>52.415306372440597</v>
      </c>
      <c r="P909">
        <v>-7.7172905118337395E-2</v>
      </c>
      <c r="Q909">
        <v>0</v>
      </c>
      <c r="R909">
        <v>0.99478493428905101</v>
      </c>
      <c r="S909" t="s">
        <v>4538</v>
      </c>
      <c r="T909" t="s">
        <v>7256</v>
      </c>
      <c r="U909" t="s">
        <v>7256</v>
      </c>
      <c r="V909" t="s">
        <v>7256</v>
      </c>
      <c r="W909">
        <v>19</v>
      </c>
      <c r="X909" t="s">
        <v>8165</v>
      </c>
      <c r="Y909">
        <v>0.4594457346547452</v>
      </c>
      <c r="Z909" t="str">
        <f>HYPERLINK("Melting_Curves/meltCurve_sp_P38117_ETFB_HUMAN_.pdf", "Melting_Curves/meltCurve_sp_P38117_ETFB_HUMAN_.pdf")</f>
        <v>Melting_Curves/meltCurve_sp_P38117_ETFB_HUMAN_.pdf</v>
      </c>
      <c r="AA909" t="s">
        <v>11776</v>
      </c>
      <c r="AB909" t="s">
        <v>15335</v>
      </c>
    </row>
    <row r="910" spans="1:28" x14ac:dyDescent="0.25">
      <c r="A910" t="s">
        <v>914</v>
      </c>
      <c r="B910">
        <v>0.98018197421672304</v>
      </c>
      <c r="C910">
        <v>1.0560814066817199</v>
      </c>
      <c r="D910">
        <v>0.97448891418978301</v>
      </c>
      <c r="E910">
        <v>0.82345232494784004</v>
      </c>
      <c r="F910">
        <v>0.73594751173824202</v>
      </c>
      <c r="G910">
        <v>0.60346535697843795</v>
      </c>
      <c r="H910">
        <v>0.42214134500821598</v>
      </c>
      <c r="I910">
        <v>0.42071534282482198</v>
      </c>
      <c r="J910">
        <v>0.50277532357839405</v>
      </c>
      <c r="K910">
        <v>0.61673107888449796</v>
      </c>
      <c r="L910">
        <v>1117.6556461038699</v>
      </c>
      <c r="M910">
        <v>21.388765590096</v>
      </c>
      <c r="N910">
        <v>64.731826708586695</v>
      </c>
      <c r="O910">
        <v>51.803990875927198</v>
      </c>
      <c r="P910">
        <v>-5.2447153506879597E-2</v>
      </c>
      <c r="Q910">
        <v>0.49190073228146902</v>
      </c>
      <c r="R910">
        <v>0.92525488919992604</v>
      </c>
      <c r="S910" t="s">
        <v>4539</v>
      </c>
      <c r="T910" t="s">
        <v>7256</v>
      </c>
      <c r="U910" t="s">
        <v>7256</v>
      </c>
      <c r="V910" t="s">
        <v>7256</v>
      </c>
      <c r="W910">
        <v>6</v>
      </c>
      <c r="X910" t="s">
        <v>8166</v>
      </c>
      <c r="Y910">
        <v>0.70567310105698977</v>
      </c>
      <c r="Z910" t="str">
        <f>HYPERLINK("Melting_Curves/meltCurve_sp_P38159_RBMX_HUMAN_.pdf", "Melting_Curves/meltCurve_sp_P38159_RBMX_HUMAN_.pdf")</f>
        <v>Melting_Curves/meltCurve_sp_P38159_RBMX_HUMAN_.pdf</v>
      </c>
      <c r="AA910" t="s">
        <v>11777</v>
      </c>
      <c r="AB910" t="s">
        <v>15336</v>
      </c>
    </row>
    <row r="911" spans="1:28" x14ac:dyDescent="0.25">
      <c r="A911" t="s">
        <v>915</v>
      </c>
      <c r="B911">
        <v>0.98018197421672304</v>
      </c>
      <c r="C911">
        <v>1.06681224814303</v>
      </c>
      <c r="D911">
        <v>0.97660344267715604</v>
      </c>
      <c r="E911">
        <v>0.81349612680897598</v>
      </c>
      <c r="F911">
        <v>0.547487294164821</v>
      </c>
      <c r="G911">
        <v>0.37819639838167401</v>
      </c>
      <c r="H911">
        <v>0.29421259649270698</v>
      </c>
      <c r="I911">
        <v>0.24828540042736699</v>
      </c>
      <c r="J911">
        <v>0.233299017143897</v>
      </c>
      <c r="K911">
        <v>0.33280667174758699</v>
      </c>
      <c r="L911">
        <v>1296.85020772503</v>
      </c>
      <c r="M911">
        <v>24.895479624631299</v>
      </c>
      <c r="N911">
        <v>53.810860799680803</v>
      </c>
      <c r="O911">
        <v>51.7591706656981</v>
      </c>
      <c r="P911">
        <v>-8.7266214009840595E-2</v>
      </c>
      <c r="Q911">
        <v>0.274283452694566</v>
      </c>
      <c r="R911">
        <v>0.98770947899560202</v>
      </c>
      <c r="S911" t="s">
        <v>4540</v>
      </c>
      <c r="T911" t="s">
        <v>7256</v>
      </c>
      <c r="U911" t="s">
        <v>7256</v>
      </c>
      <c r="V911" t="s">
        <v>7256</v>
      </c>
      <c r="W911">
        <v>2</v>
      </c>
      <c r="X911" t="s">
        <v>8167</v>
      </c>
      <c r="Y911">
        <v>0.57347513164208541</v>
      </c>
      <c r="Z911" t="str">
        <f>HYPERLINK("Melting_Curves/meltCurve_sp_P38432_COIL_HUMAN_.pdf", "Melting_Curves/meltCurve_sp_P38432_COIL_HUMAN_.pdf")</f>
        <v>Melting_Curves/meltCurve_sp_P38432_COIL_HUMAN_.pdf</v>
      </c>
      <c r="AA911" t="s">
        <v>11778</v>
      </c>
      <c r="AB911" t="s">
        <v>15337</v>
      </c>
    </row>
    <row r="912" spans="1:28" x14ac:dyDescent="0.25">
      <c r="A912" t="s">
        <v>916</v>
      </c>
      <c r="B912">
        <v>0.98018197421672304</v>
      </c>
      <c r="C912">
        <v>0.94487289220784898</v>
      </c>
      <c r="D912">
        <v>0.79256709584057805</v>
      </c>
      <c r="E912">
        <v>0.53768664042688497</v>
      </c>
      <c r="F912">
        <v>0.27091490640342802</v>
      </c>
      <c r="G912">
        <v>0.21777513670385401</v>
      </c>
      <c r="H912">
        <v>0.15919258537509301</v>
      </c>
      <c r="I912">
        <v>8.9297558030360796E-2</v>
      </c>
      <c r="J912">
        <v>3.1527495201169299E-2</v>
      </c>
      <c r="K912">
        <v>2.1039101858195901E-2</v>
      </c>
      <c r="L912">
        <v>739.08102608220202</v>
      </c>
      <c r="M912">
        <v>14.7754734814015</v>
      </c>
      <c r="N912">
        <v>50.3143254998093</v>
      </c>
      <c r="O912">
        <v>49.131354267805598</v>
      </c>
      <c r="P912">
        <v>-7.2086676351567097E-2</v>
      </c>
      <c r="Q912">
        <v>4.1293362484836699E-2</v>
      </c>
      <c r="R912">
        <v>0.991051355203037</v>
      </c>
      <c r="S912" t="s">
        <v>4541</v>
      </c>
      <c r="T912" t="s">
        <v>7256</v>
      </c>
      <c r="U912" t="s">
        <v>7256</v>
      </c>
      <c r="V912" t="s">
        <v>7256</v>
      </c>
      <c r="W912">
        <v>1</v>
      </c>
      <c r="X912" t="s">
        <v>8168</v>
      </c>
      <c r="Y912">
        <v>0.38498871694957187</v>
      </c>
      <c r="Z912" t="str">
        <f>HYPERLINK("Melting_Curves/meltCurve_sp_P38570_ITAE_HUMAN_.pdf", "Melting_Curves/meltCurve_sp_P38570_ITAE_HUMAN_.pdf")</f>
        <v>Melting_Curves/meltCurve_sp_P38570_ITAE_HUMAN_.pdf</v>
      </c>
      <c r="AA912" t="s">
        <v>11779</v>
      </c>
      <c r="AB912" t="s">
        <v>15338</v>
      </c>
    </row>
    <row r="913" spans="1:28" x14ac:dyDescent="0.25">
      <c r="A913" t="s">
        <v>917</v>
      </c>
      <c r="B913">
        <v>0.98018197421672304</v>
      </c>
      <c r="C913">
        <v>0.92774482782843204</v>
      </c>
      <c r="D913">
        <v>0.92280233199958195</v>
      </c>
      <c r="E913">
        <v>0.74353820358077405</v>
      </c>
      <c r="F913">
        <v>0.34686425220355899</v>
      </c>
      <c r="G913">
        <v>0.12001751005019599</v>
      </c>
      <c r="H913">
        <v>6.7354827552929097E-2</v>
      </c>
      <c r="I913">
        <v>4.5900659514181701E-2</v>
      </c>
      <c r="J913">
        <v>6.3753242556555401E-2</v>
      </c>
      <c r="K913">
        <v>3.4139306385869803E-2</v>
      </c>
      <c r="L913">
        <v>1376.2614054932601</v>
      </c>
      <c r="M913">
        <v>26.658741645055098</v>
      </c>
      <c r="N913">
        <v>51.812370536701899</v>
      </c>
      <c r="O913">
        <v>51.337284454790797</v>
      </c>
      <c r="P913">
        <v>-0.12386169201130701</v>
      </c>
      <c r="Q913">
        <v>4.5918086775531698E-2</v>
      </c>
      <c r="R913">
        <v>0.99474440100267603</v>
      </c>
      <c r="S913" t="s">
        <v>4542</v>
      </c>
      <c r="T913" t="s">
        <v>7256</v>
      </c>
      <c r="U913" t="s">
        <v>7256</v>
      </c>
      <c r="V913" t="s">
        <v>7256</v>
      </c>
      <c r="W913">
        <v>45</v>
      </c>
      <c r="X913" t="s">
        <v>8169</v>
      </c>
      <c r="Y913">
        <v>0.42328359326595788</v>
      </c>
      <c r="Z913" t="str">
        <f>HYPERLINK("Melting_Curves/meltCurve_sp_P38646_GRP75_HUMAN_.pdf", "Melting_Curves/meltCurve_sp_P38646_GRP75_HUMAN_.pdf")</f>
        <v>Melting_Curves/meltCurve_sp_P38646_GRP75_HUMAN_.pdf</v>
      </c>
      <c r="AA913" t="s">
        <v>11780</v>
      </c>
      <c r="AB913" t="s">
        <v>15339</v>
      </c>
    </row>
    <row r="914" spans="1:28" x14ac:dyDescent="0.25">
      <c r="A914" t="s">
        <v>918</v>
      </c>
      <c r="B914">
        <v>0.98018197421672304</v>
      </c>
      <c r="C914">
        <v>0.87390807211218402</v>
      </c>
      <c r="D914">
        <v>0.70128351230470698</v>
      </c>
      <c r="E914">
        <v>0.27537857000523303</v>
      </c>
      <c r="F914">
        <v>0.17797404121190799</v>
      </c>
      <c r="G914">
        <v>0.105175715036658</v>
      </c>
      <c r="H914">
        <v>6.74195400301318E-2</v>
      </c>
      <c r="I914">
        <v>5.5312000402323501E-2</v>
      </c>
      <c r="J914">
        <v>6.0038696347704E-2</v>
      </c>
      <c r="K914">
        <v>6.7597729163229203E-2</v>
      </c>
      <c r="L914">
        <v>963.91797606361001</v>
      </c>
      <c r="M914">
        <v>20.326127095980599</v>
      </c>
      <c r="N914">
        <v>47.730475097300499</v>
      </c>
      <c r="O914">
        <v>46.970743680683903</v>
      </c>
      <c r="P914">
        <v>-0.101541538382937</v>
      </c>
      <c r="Q914">
        <v>6.1437181700320302E-2</v>
      </c>
      <c r="R914">
        <v>0.99746145024615396</v>
      </c>
      <c r="S914" t="s">
        <v>4543</v>
      </c>
      <c r="T914" t="s">
        <v>7256</v>
      </c>
      <c r="U914" t="s">
        <v>7256</v>
      </c>
      <c r="V914" t="s">
        <v>7256</v>
      </c>
      <c r="W914">
        <v>8</v>
      </c>
      <c r="X914" t="s">
        <v>8170</v>
      </c>
      <c r="Y914">
        <v>0.30672500114192253</v>
      </c>
      <c r="Z914" t="str">
        <f>HYPERLINK("Melting_Curves/meltCurve_sp_P38919_IF4A3_HUMAN_.pdf", "Melting_Curves/meltCurve_sp_P38919_IF4A3_HUMAN_.pdf")</f>
        <v>Melting_Curves/meltCurve_sp_P38919_IF4A3_HUMAN_.pdf</v>
      </c>
      <c r="AA914" t="s">
        <v>11781</v>
      </c>
      <c r="AB914" t="s">
        <v>15340</v>
      </c>
    </row>
    <row r="915" spans="1:28" x14ac:dyDescent="0.25">
      <c r="A915" t="s">
        <v>919</v>
      </c>
      <c r="B915">
        <v>0.98018197421672304</v>
      </c>
      <c r="C915">
        <v>0.95695208737867599</v>
      </c>
      <c r="D915">
        <v>0.76480519805018199</v>
      </c>
      <c r="E915">
        <v>0.505136748475152</v>
      </c>
      <c r="F915">
        <v>0.25357300903719698</v>
      </c>
      <c r="G915">
        <v>0.13990614700560899</v>
      </c>
      <c r="H915">
        <v>0.114064351402462</v>
      </c>
      <c r="I915">
        <v>0.13017678780483399</v>
      </c>
      <c r="J915">
        <v>0.15137350191287299</v>
      </c>
      <c r="K915">
        <v>0.16362525479216999</v>
      </c>
      <c r="L915">
        <v>965.54593960417299</v>
      </c>
      <c r="M915">
        <v>19.7866318989667</v>
      </c>
      <c r="N915">
        <v>49.517761850228702</v>
      </c>
      <c r="O915">
        <v>48.3076754645111</v>
      </c>
      <c r="P915">
        <v>-8.9603445136338805E-2</v>
      </c>
      <c r="Q915">
        <v>0.12498787715314</v>
      </c>
      <c r="R915">
        <v>0.99349799684657203</v>
      </c>
      <c r="S915" t="s">
        <v>4544</v>
      </c>
      <c r="T915" t="s">
        <v>7256</v>
      </c>
      <c r="U915" t="s">
        <v>7256</v>
      </c>
      <c r="V915" t="s">
        <v>7256</v>
      </c>
      <c r="W915">
        <v>5</v>
      </c>
      <c r="X915" t="s">
        <v>8171</v>
      </c>
      <c r="Y915">
        <v>0.39415171495653639</v>
      </c>
      <c r="Z915" t="str">
        <f>HYPERLINK("Melting_Curves/meltCurve_sp_P39019_RS19_HUMAN_.pdf", "Melting_Curves/meltCurve_sp_P39019_RS19_HUMAN_.pdf")</f>
        <v>Melting_Curves/meltCurve_sp_P39019_RS19_HUMAN_.pdf</v>
      </c>
      <c r="AA915" t="s">
        <v>11782</v>
      </c>
      <c r="AB915" t="s">
        <v>15341</v>
      </c>
    </row>
    <row r="916" spans="1:28" x14ac:dyDescent="0.25">
      <c r="A916" t="s">
        <v>920</v>
      </c>
      <c r="B916">
        <v>0.98018197421672304</v>
      </c>
      <c r="C916">
        <v>1.1787046653605899</v>
      </c>
      <c r="D916">
        <v>1.0257880709132201</v>
      </c>
      <c r="E916">
        <v>0.64551123474852201</v>
      </c>
      <c r="F916">
        <v>0.46900011068861902</v>
      </c>
      <c r="G916">
        <v>0.18162220299764301</v>
      </c>
      <c r="H916">
        <v>0.14439857328788799</v>
      </c>
      <c r="I916">
        <v>6.1456199146094501E-2</v>
      </c>
      <c r="J916">
        <v>0.43831595013963298</v>
      </c>
      <c r="K916">
        <v>7.7337145179340303E-2</v>
      </c>
      <c r="L916">
        <v>1396.38366357986</v>
      </c>
      <c r="M916">
        <v>27.320382108663502</v>
      </c>
      <c r="N916">
        <v>51.930779112668198</v>
      </c>
      <c r="O916">
        <v>50.839938902616097</v>
      </c>
      <c r="P916">
        <v>-0.110823719294916</v>
      </c>
      <c r="Q916">
        <v>0.17508944987137801</v>
      </c>
      <c r="R916">
        <v>0.91074951494457501</v>
      </c>
      <c r="S916" t="s">
        <v>4545</v>
      </c>
      <c r="T916" t="s">
        <v>7256</v>
      </c>
      <c r="U916" t="s">
        <v>7256</v>
      </c>
      <c r="V916" t="s">
        <v>7256</v>
      </c>
      <c r="W916">
        <v>2</v>
      </c>
      <c r="X916" t="s">
        <v>8172</v>
      </c>
      <c r="Y916">
        <v>0.48688214424805448</v>
      </c>
      <c r="Z916" t="str">
        <f>HYPERLINK("Melting_Curves/meltCurve_sp_P39060_2_COIA1_HUMAN_.pdf", "Melting_Curves/meltCurve_sp_P39060_2_COIA1_HUMAN_.pdf")</f>
        <v>Melting_Curves/meltCurve_sp_P39060_2_COIA1_HUMAN_.pdf</v>
      </c>
      <c r="AA916" t="s">
        <v>11783</v>
      </c>
      <c r="AB916" t="s">
        <v>15342</v>
      </c>
    </row>
    <row r="917" spans="1:28" x14ac:dyDescent="0.25">
      <c r="A917" t="s">
        <v>921</v>
      </c>
      <c r="B917">
        <v>0.98018197421672304</v>
      </c>
      <c r="C917">
        <v>1.0511391723121899</v>
      </c>
      <c r="D917">
        <v>0.67482817674236595</v>
      </c>
      <c r="E917">
        <v>0.42193937708752599</v>
      </c>
      <c r="F917">
        <v>0.226393029009575</v>
      </c>
      <c r="G917">
        <v>0.21370953777651699</v>
      </c>
      <c r="H917">
        <v>0.18549905247082901</v>
      </c>
      <c r="I917">
        <v>9.1678656273731104E-2</v>
      </c>
      <c r="J917">
        <v>0.52223508706759203</v>
      </c>
      <c r="K917">
        <v>6.2064370573383702E-2</v>
      </c>
      <c r="L917">
        <v>1226.12041314764</v>
      </c>
      <c r="M917">
        <v>25.968312456636099</v>
      </c>
      <c r="N917">
        <v>48.250622093835801</v>
      </c>
      <c r="O917">
        <v>46.938716644338399</v>
      </c>
      <c r="P917">
        <v>-0.108783913471122</v>
      </c>
      <c r="Q917">
        <v>0.21348518223761301</v>
      </c>
      <c r="R917">
        <v>0.866917786076837</v>
      </c>
      <c r="S917" t="s">
        <v>4546</v>
      </c>
      <c r="T917" t="s">
        <v>7256</v>
      </c>
      <c r="U917" t="s">
        <v>7256</v>
      </c>
      <c r="V917" t="s">
        <v>7256</v>
      </c>
      <c r="W917">
        <v>3</v>
      </c>
      <c r="X917" t="s">
        <v>8173</v>
      </c>
      <c r="Y917">
        <v>0.40910807494163481</v>
      </c>
      <c r="Z917" t="str">
        <f>HYPERLINK("Melting_Curves/meltCurve_sp_P39748_FEN1_HUMAN_.pdf", "Melting_Curves/meltCurve_sp_P39748_FEN1_HUMAN_.pdf")</f>
        <v>Melting_Curves/meltCurve_sp_P39748_FEN1_HUMAN_.pdf</v>
      </c>
      <c r="AA917" t="s">
        <v>11784</v>
      </c>
      <c r="AB917" t="s">
        <v>15343</v>
      </c>
    </row>
    <row r="918" spans="1:28" x14ac:dyDescent="0.25">
      <c r="A918" t="s">
        <v>922</v>
      </c>
      <c r="B918">
        <v>0.98018197421672304</v>
      </c>
      <c r="C918">
        <v>0.95471879167907203</v>
      </c>
      <c r="D918">
        <v>0.85945941539441195</v>
      </c>
      <c r="E918">
        <v>0.74159065476707198</v>
      </c>
      <c r="F918">
        <v>0.60171188779375195</v>
      </c>
      <c r="G918">
        <v>0.37539847418113498</v>
      </c>
      <c r="H918">
        <v>0.33036286017933297</v>
      </c>
      <c r="I918">
        <v>0.34657028066159901</v>
      </c>
      <c r="J918">
        <v>0.34859084247877498</v>
      </c>
      <c r="K918">
        <v>0.40868408690754998</v>
      </c>
      <c r="L918">
        <v>848.36839142567896</v>
      </c>
      <c r="M918">
        <v>16.667940238597598</v>
      </c>
      <c r="N918">
        <v>54.522004521069398</v>
      </c>
      <c r="O918">
        <v>50.182505295148403</v>
      </c>
      <c r="P918">
        <v>-5.5234442200878697E-2</v>
      </c>
      <c r="Q918">
        <v>0.33486261407727202</v>
      </c>
      <c r="R918">
        <v>0.97800698474137204</v>
      </c>
      <c r="S918" t="s">
        <v>4547</v>
      </c>
      <c r="T918" t="s">
        <v>7256</v>
      </c>
      <c r="U918" t="s">
        <v>7256</v>
      </c>
      <c r="V918" t="s">
        <v>7256</v>
      </c>
      <c r="W918">
        <v>15</v>
      </c>
      <c r="X918" t="s">
        <v>8174</v>
      </c>
      <c r="Y918">
        <v>0.58936081143521024</v>
      </c>
      <c r="Z918" t="str">
        <f>HYPERLINK("Melting_Curves/meltCurve_sp_P40222_TXLNA_HUMAN_.pdf", "Melting_Curves/meltCurve_sp_P40222_TXLNA_HUMAN_.pdf")</f>
        <v>Melting_Curves/meltCurve_sp_P40222_TXLNA_HUMAN_.pdf</v>
      </c>
      <c r="AA918" t="s">
        <v>11785</v>
      </c>
      <c r="AB918" t="s">
        <v>15344</v>
      </c>
    </row>
    <row r="919" spans="1:28" x14ac:dyDescent="0.25">
      <c r="A919" t="s">
        <v>923</v>
      </c>
      <c r="B919">
        <v>0.98018197421672304</v>
      </c>
      <c r="C919">
        <v>0.97125932212534005</v>
      </c>
      <c r="D919">
        <v>0.953985990861972</v>
      </c>
      <c r="E919">
        <v>0.80756800796793204</v>
      </c>
      <c r="F919">
        <v>0.65305933709118602</v>
      </c>
      <c r="G919">
        <v>0.20257029340851401</v>
      </c>
      <c r="H919">
        <v>8.7490591038800899E-2</v>
      </c>
      <c r="I919">
        <v>6.1379747512927303E-2</v>
      </c>
      <c r="J919">
        <v>5.8549013876953902E-2</v>
      </c>
      <c r="K919">
        <v>4.6868642341354003E-2</v>
      </c>
      <c r="L919">
        <v>1237.4602633428899</v>
      </c>
      <c r="M919">
        <v>23.012852733356699</v>
      </c>
      <c r="N919">
        <v>53.944382510063399</v>
      </c>
      <c r="O919">
        <v>53.371468964508303</v>
      </c>
      <c r="P919">
        <v>-0.10398865524219</v>
      </c>
      <c r="Q919">
        <v>3.5334993583663502E-2</v>
      </c>
      <c r="R919">
        <v>0.99452459451563102</v>
      </c>
      <c r="S919" t="s">
        <v>4548</v>
      </c>
      <c r="T919" t="s">
        <v>7256</v>
      </c>
      <c r="U919" t="s">
        <v>7256</v>
      </c>
      <c r="V919" t="s">
        <v>7256</v>
      </c>
      <c r="W919">
        <v>21</v>
      </c>
      <c r="X919" t="s">
        <v>8175</v>
      </c>
      <c r="Y919">
        <v>0.48855591074668242</v>
      </c>
      <c r="Z919" t="str">
        <f>HYPERLINK("Melting_Curves/meltCurve_sp_P40227_TCPZ_HUMAN_.pdf", "Melting_Curves/meltCurve_sp_P40227_TCPZ_HUMAN_.pdf")</f>
        <v>Melting_Curves/meltCurve_sp_P40227_TCPZ_HUMAN_.pdf</v>
      </c>
      <c r="AA919" t="s">
        <v>11786</v>
      </c>
      <c r="AB919" t="s">
        <v>15345</v>
      </c>
    </row>
    <row r="920" spans="1:28" x14ac:dyDescent="0.25">
      <c r="A920" t="s">
        <v>924</v>
      </c>
      <c r="B920">
        <v>0.98018197421672304</v>
      </c>
      <c r="C920">
        <v>0.95689292356952305</v>
      </c>
      <c r="D920">
        <v>0.96693475414210395</v>
      </c>
      <c r="E920">
        <v>0.824106158725882</v>
      </c>
      <c r="F920">
        <v>0.72277866306032301</v>
      </c>
      <c r="G920">
        <v>0.28491890643844697</v>
      </c>
      <c r="H920">
        <v>0.103206035663128</v>
      </c>
      <c r="I920">
        <v>9.1392103942408001E-2</v>
      </c>
      <c r="J920">
        <v>9.2825496064840002E-2</v>
      </c>
      <c r="K920">
        <v>6.5126328015800594E-2</v>
      </c>
      <c r="L920">
        <v>1231.0056008127301</v>
      </c>
      <c r="M920">
        <v>22.6196815001346</v>
      </c>
      <c r="N920">
        <v>54.710130052140201</v>
      </c>
      <c r="O920">
        <v>54.001880312453402</v>
      </c>
      <c r="P920">
        <v>-9.8836712876807994E-2</v>
      </c>
      <c r="Q920">
        <v>5.6173870202068203E-2</v>
      </c>
      <c r="R920">
        <v>0.99261389363950203</v>
      </c>
      <c r="S920" t="s">
        <v>4549</v>
      </c>
      <c r="T920" t="s">
        <v>7256</v>
      </c>
      <c r="U920" t="s">
        <v>7256</v>
      </c>
      <c r="V920" t="s">
        <v>7256</v>
      </c>
      <c r="W920">
        <v>12</v>
      </c>
      <c r="X920" t="s">
        <v>8176</v>
      </c>
      <c r="Y920">
        <v>0.5203101287719446</v>
      </c>
      <c r="Z920" t="str">
        <f>HYPERLINK("Melting_Curves/meltCurve_sp_P40261_NNMT_HUMAN_.pdf", "Melting_Curves/meltCurve_sp_P40261_NNMT_HUMAN_.pdf")</f>
        <v>Melting_Curves/meltCurve_sp_P40261_NNMT_HUMAN_.pdf</v>
      </c>
      <c r="AA920" t="s">
        <v>11787</v>
      </c>
      <c r="AB920" t="s">
        <v>15346</v>
      </c>
    </row>
    <row r="921" spans="1:28" x14ac:dyDescent="0.25">
      <c r="A921" t="s">
        <v>925</v>
      </c>
      <c r="B921">
        <v>0.98018197421672304</v>
      </c>
      <c r="C921">
        <v>0.930615330039956</v>
      </c>
      <c r="D921">
        <v>0.899310436577759</v>
      </c>
      <c r="E921">
        <v>0.83588015941418103</v>
      </c>
      <c r="F921">
        <v>0.81444914564067505</v>
      </c>
      <c r="G921">
        <v>0.67784814357573697</v>
      </c>
      <c r="H921">
        <v>0.51940602246454903</v>
      </c>
      <c r="I921">
        <v>0.56191463173158096</v>
      </c>
      <c r="J921">
        <v>0.45034293060703501</v>
      </c>
      <c r="K921">
        <v>0.26526829321274498</v>
      </c>
      <c r="L921">
        <v>417.42777501974399</v>
      </c>
      <c r="M921">
        <v>6.5884981537126004</v>
      </c>
      <c r="N921">
        <v>63.357045120966902</v>
      </c>
      <c r="O921">
        <v>58.281898476145102</v>
      </c>
      <c r="P921">
        <v>-2.8326693494851E-2</v>
      </c>
      <c r="Q921">
        <v>0</v>
      </c>
      <c r="R921">
        <v>0.96217170038611799</v>
      </c>
      <c r="S921" t="s">
        <v>4550</v>
      </c>
      <c r="T921" t="s">
        <v>7256</v>
      </c>
      <c r="U921" t="s">
        <v>7256</v>
      </c>
      <c r="V921" t="s">
        <v>7256</v>
      </c>
      <c r="W921">
        <v>4</v>
      </c>
      <c r="X921" t="s">
        <v>8177</v>
      </c>
      <c r="Y921">
        <v>0.70668061281135186</v>
      </c>
      <c r="Z921" t="str">
        <f>HYPERLINK("Melting_Curves/meltCurve_sp_P40306_PSB10_HUMAN_.pdf", "Melting_Curves/meltCurve_sp_P40306_PSB10_HUMAN_.pdf")</f>
        <v>Melting_Curves/meltCurve_sp_P40306_PSB10_HUMAN_.pdf</v>
      </c>
      <c r="AA921" t="s">
        <v>11788</v>
      </c>
      <c r="AB921" t="s">
        <v>15347</v>
      </c>
    </row>
    <row r="922" spans="1:28" x14ac:dyDescent="0.25">
      <c r="A922" t="s">
        <v>926</v>
      </c>
      <c r="B922">
        <v>0.98018197421672304</v>
      </c>
      <c r="C922">
        <v>0.84941335275503904</v>
      </c>
      <c r="D922">
        <v>1.05380772488469</v>
      </c>
      <c r="E922">
        <v>0.69431414279704795</v>
      </c>
      <c r="F922">
        <v>0.58600964156041202</v>
      </c>
      <c r="G922">
        <v>0.464136045035627</v>
      </c>
      <c r="H922">
        <v>0.33318041275721999</v>
      </c>
      <c r="I922">
        <v>0.18694237614046</v>
      </c>
      <c r="J922">
        <v>0.109596853639502</v>
      </c>
      <c r="K922">
        <v>5.8198430630283599E-2</v>
      </c>
      <c r="L922">
        <v>591.94603136151204</v>
      </c>
      <c r="M922">
        <v>10.6683172680249</v>
      </c>
      <c r="N922">
        <v>55.486354264525502</v>
      </c>
      <c r="O922">
        <v>53.643303095134399</v>
      </c>
      <c r="P922">
        <v>-4.9737646692797899E-2</v>
      </c>
      <c r="Q922">
        <v>0</v>
      </c>
      <c r="R922">
        <v>0.95856045133578605</v>
      </c>
      <c r="S922" t="s">
        <v>4551</v>
      </c>
      <c r="T922" t="s">
        <v>7256</v>
      </c>
      <c r="U922" t="s">
        <v>7256</v>
      </c>
      <c r="V922" t="s">
        <v>7256</v>
      </c>
      <c r="W922">
        <v>1</v>
      </c>
      <c r="X922" t="s">
        <v>8178</v>
      </c>
      <c r="Y922">
        <v>0.53940787281039015</v>
      </c>
      <c r="Z922" t="str">
        <f>HYPERLINK("Melting_Curves/meltCurve_sp_P40394_ADH7_HUMAN_.pdf", "Melting_Curves/meltCurve_sp_P40394_ADH7_HUMAN_.pdf")</f>
        <v>Melting_Curves/meltCurve_sp_P40394_ADH7_HUMAN_.pdf</v>
      </c>
      <c r="AA922" t="s">
        <v>11789</v>
      </c>
      <c r="AB922" t="s">
        <v>15348</v>
      </c>
    </row>
    <row r="923" spans="1:28" x14ac:dyDescent="0.25">
      <c r="A923" t="s">
        <v>927</v>
      </c>
      <c r="B923">
        <v>0.98018197421672304</v>
      </c>
      <c r="C923">
        <v>0.98531405370923297</v>
      </c>
      <c r="D923">
        <v>0.92076288204728496</v>
      </c>
      <c r="E923">
        <v>0.71294489753909995</v>
      </c>
      <c r="F923">
        <v>0.39626404739714699</v>
      </c>
      <c r="G923">
        <v>0</v>
      </c>
      <c r="H923">
        <v>0.155490705715086</v>
      </c>
      <c r="I923">
        <v>0.12593390039110899</v>
      </c>
      <c r="J923">
        <v>0.14196812713325199</v>
      </c>
      <c r="K923">
        <v>0.124360255779107</v>
      </c>
      <c r="L923">
        <v>1589.1911108982899</v>
      </c>
      <c r="M923">
        <v>30.980290570480999</v>
      </c>
      <c r="N923">
        <v>51.699732120134001</v>
      </c>
      <c r="O923">
        <v>51.084537227222903</v>
      </c>
      <c r="P923">
        <v>-0.135353713673491</v>
      </c>
      <c r="Q923">
        <v>0.10724643008903099</v>
      </c>
      <c r="R923">
        <v>0.97892085111268801</v>
      </c>
      <c r="S923" t="s">
        <v>4552</v>
      </c>
      <c r="T923" t="s">
        <v>7256</v>
      </c>
      <c r="U923" t="s">
        <v>7256</v>
      </c>
      <c r="V923" t="s">
        <v>7256</v>
      </c>
      <c r="W923">
        <v>24</v>
      </c>
      <c r="X923" t="s">
        <v>8179</v>
      </c>
      <c r="Y923">
        <v>0.44871225605760467</v>
      </c>
      <c r="Z923" t="str">
        <f>HYPERLINK("Melting_Curves/meltCurve_sp_P40763_2_STAT3_HUMAN_.pdf", "Melting_Curves/meltCurve_sp_P40763_2_STAT3_HUMAN_.pdf")</f>
        <v>Melting_Curves/meltCurve_sp_P40763_2_STAT3_HUMAN_.pdf</v>
      </c>
      <c r="AA923" t="s">
        <v>11790</v>
      </c>
      <c r="AB923" t="s">
        <v>15349</v>
      </c>
    </row>
    <row r="924" spans="1:28" x14ac:dyDescent="0.25">
      <c r="A924" t="s">
        <v>928</v>
      </c>
      <c r="B924">
        <v>0.98018197421672304</v>
      </c>
      <c r="C924">
        <v>0.91358149901712804</v>
      </c>
      <c r="D924">
        <v>0.90452914495055203</v>
      </c>
      <c r="E924">
        <v>0.70698224269939602</v>
      </c>
      <c r="F924">
        <v>0.33478096608551799</v>
      </c>
      <c r="G924">
        <v>0.109692997443051</v>
      </c>
      <c r="H924">
        <v>6.1634910865201301E-2</v>
      </c>
      <c r="I924">
        <v>4.8849700469051703E-2</v>
      </c>
      <c r="J924">
        <v>6.7457158657111702E-2</v>
      </c>
      <c r="K924">
        <v>3.2702754106242397E-2</v>
      </c>
      <c r="L924">
        <v>1237.34607302366</v>
      </c>
      <c r="M924">
        <v>24.082143384720901</v>
      </c>
      <c r="N924">
        <v>51.560901291448999</v>
      </c>
      <c r="O924">
        <v>51.029873596595202</v>
      </c>
      <c r="P924">
        <v>-0.113208838597169</v>
      </c>
      <c r="Q924">
        <v>4.0460391569605202E-2</v>
      </c>
      <c r="R924">
        <v>0.99319206436447904</v>
      </c>
      <c r="S924" t="s">
        <v>4553</v>
      </c>
      <c r="T924" t="s">
        <v>7256</v>
      </c>
      <c r="U924" t="s">
        <v>7256</v>
      </c>
      <c r="V924" t="s">
        <v>7256</v>
      </c>
      <c r="W924">
        <v>24</v>
      </c>
      <c r="X924" t="s">
        <v>8180</v>
      </c>
      <c r="Y924">
        <v>0.41381401906167808</v>
      </c>
      <c r="Z924" t="str">
        <f>HYPERLINK("Melting_Curves/meltCurve_sp_P40763_STAT3_HUMAN_.pdf", "Melting_Curves/meltCurve_sp_P40763_STAT3_HUMAN_.pdf")</f>
        <v>Melting_Curves/meltCurve_sp_P40763_STAT3_HUMAN_.pdf</v>
      </c>
      <c r="AA924" t="s">
        <v>11790</v>
      </c>
      <c r="AB924" t="s">
        <v>15350</v>
      </c>
    </row>
    <row r="925" spans="1:28" x14ac:dyDescent="0.25">
      <c r="A925" t="s">
        <v>929</v>
      </c>
      <c r="B925">
        <v>0.98018197421672304</v>
      </c>
      <c r="C925">
        <v>0.98447028384497104</v>
      </c>
      <c r="D925">
        <v>0.90648618776604095</v>
      </c>
      <c r="E925">
        <v>0.551899649846048</v>
      </c>
      <c r="F925">
        <v>0.26834180533254398</v>
      </c>
      <c r="G925">
        <v>0.17877402871223699</v>
      </c>
      <c r="H925">
        <v>0.12992332149333599</v>
      </c>
      <c r="I925">
        <v>0.118016038671477</v>
      </c>
      <c r="J925">
        <v>0.113573020292075</v>
      </c>
      <c r="K925">
        <v>0.113223884257648</v>
      </c>
      <c r="L925">
        <v>1254.50331230852</v>
      </c>
      <c r="M925">
        <v>25.145549143507299</v>
      </c>
      <c r="N925">
        <v>50.432017853430601</v>
      </c>
      <c r="O925">
        <v>49.577356637746298</v>
      </c>
      <c r="P925">
        <v>-0.11177880389193499</v>
      </c>
      <c r="Q925">
        <v>0.118472267965955</v>
      </c>
      <c r="R925">
        <v>0.99909244261779795</v>
      </c>
      <c r="S925" t="s">
        <v>4554</v>
      </c>
      <c r="T925" t="s">
        <v>7256</v>
      </c>
      <c r="U925" t="s">
        <v>7256</v>
      </c>
      <c r="V925" t="s">
        <v>7256</v>
      </c>
      <c r="W925">
        <v>8</v>
      </c>
      <c r="X925" t="s">
        <v>8181</v>
      </c>
      <c r="Y925">
        <v>0.4168516657640437</v>
      </c>
      <c r="Z925" t="str">
        <f>HYPERLINK("Melting_Curves/meltCurve_sp_P40818_UBP8_HUMAN_.pdf", "Melting_Curves/meltCurve_sp_P40818_UBP8_HUMAN_.pdf")</f>
        <v>Melting_Curves/meltCurve_sp_P40818_UBP8_HUMAN_.pdf</v>
      </c>
      <c r="AA925" t="s">
        <v>11791</v>
      </c>
      <c r="AB925" t="s">
        <v>15351</v>
      </c>
    </row>
    <row r="926" spans="1:28" x14ac:dyDescent="0.25">
      <c r="A926" t="s">
        <v>930</v>
      </c>
      <c r="B926">
        <v>0.98018197421672304</v>
      </c>
      <c r="C926">
        <v>1.00920788884918</v>
      </c>
      <c r="D926">
        <v>0.96775930225430795</v>
      </c>
      <c r="E926">
        <v>0.913501204368808</v>
      </c>
      <c r="F926">
        <v>0.93189988587069705</v>
      </c>
      <c r="G926">
        <v>0.82249448012476301</v>
      </c>
      <c r="H926">
        <v>0.159507608317878</v>
      </c>
      <c r="I926">
        <v>5.1156019238211503E-2</v>
      </c>
      <c r="J926">
        <v>4.2314336905071102E-2</v>
      </c>
      <c r="K926">
        <v>3.2634533331376302E-2</v>
      </c>
      <c r="L926">
        <v>2897.21119451084</v>
      </c>
      <c r="M926">
        <v>49.3717626389899</v>
      </c>
      <c r="N926">
        <v>58.768223443129102</v>
      </c>
      <c r="O926">
        <v>58.585510745455203</v>
      </c>
      <c r="P926">
        <v>-0.20328576506337601</v>
      </c>
      <c r="Q926">
        <v>3.5109224373477299E-2</v>
      </c>
      <c r="R926">
        <v>0.992882946405792</v>
      </c>
      <c r="S926" t="s">
        <v>4555</v>
      </c>
      <c r="T926" t="s">
        <v>7256</v>
      </c>
      <c r="U926" t="s">
        <v>7256</v>
      </c>
      <c r="V926" t="s">
        <v>7256</v>
      </c>
      <c r="W926">
        <v>21</v>
      </c>
      <c r="X926" t="s">
        <v>8182</v>
      </c>
      <c r="Y926">
        <v>0.63850656333300881</v>
      </c>
      <c r="Z926" t="str">
        <f>HYPERLINK("Melting_Curves/meltCurve_sp_P40925_MDHC_HUMAN_.pdf", "Melting_Curves/meltCurve_sp_P40925_MDHC_HUMAN_.pdf")</f>
        <v>Melting_Curves/meltCurve_sp_P40925_MDHC_HUMAN_.pdf</v>
      </c>
      <c r="AA926" t="s">
        <v>11792</v>
      </c>
      <c r="AB926" t="s">
        <v>15352</v>
      </c>
    </row>
    <row r="927" spans="1:28" x14ac:dyDescent="0.25">
      <c r="A927" t="s">
        <v>931</v>
      </c>
      <c r="B927">
        <v>0.98018197421672304</v>
      </c>
      <c r="C927">
        <v>0.98676355078131806</v>
      </c>
      <c r="D927">
        <v>0.97945262339597206</v>
      </c>
      <c r="E927">
        <v>0.87294602135754196</v>
      </c>
      <c r="F927">
        <v>0.86114557166858996</v>
      </c>
      <c r="G927">
        <v>0.70362548072931197</v>
      </c>
      <c r="H927">
        <v>0.27947464152924401</v>
      </c>
      <c r="I927">
        <v>6.84130465043708E-2</v>
      </c>
      <c r="J927">
        <v>4.3142233935479397E-2</v>
      </c>
      <c r="K927">
        <v>3.45000692218278E-2</v>
      </c>
      <c r="L927">
        <v>1360.7881834145401</v>
      </c>
      <c r="M927">
        <v>23.251344780007202</v>
      </c>
      <c r="N927">
        <v>58.525140979662702</v>
      </c>
      <c r="O927">
        <v>58.097363757383903</v>
      </c>
      <c r="P927">
        <v>-0.10005511184711301</v>
      </c>
      <c r="Q927">
        <v>0</v>
      </c>
      <c r="R927">
        <v>0.98647024811307005</v>
      </c>
      <c r="S927" t="s">
        <v>4556</v>
      </c>
      <c r="T927" t="s">
        <v>7256</v>
      </c>
      <c r="U927" t="s">
        <v>7256</v>
      </c>
      <c r="V927" t="s">
        <v>7256</v>
      </c>
      <c r="W927">
        <v>28</v>
      </c>
      <c r="X927" t="s">
        <v>8183</v>
      </c>
      <c r="Y927">
        <v>0.62674892839889174</v>
      </c>
      <c r="Z927" t="str">
        <f>HYPERLINK("Melting_Curves/meltCurve_sp_P40926_MDHM_HUMAN_.pdf", "Melting_Curves/meltCurve_sp_P40926_MDHM_HUMAN_.pdf")</f>
        <v>Melting_Curves/meltCurve_sp_P40926_MDHM_HUMAN_.pdf</v>
      </c>
      <c r="AA927" t="s">
        <v>11793</v>
      </c>
      <c r="AB927" t="s">
        <v>15353</v>
      </c>
    </row>
    <row r="928" spans="1:28" x14ac:dyDescent="0.25">
      <c r="A928" t="s">
        <v>932</v>
      </c>
      <c r="B928">
        <v>0.98018197421672304</v>
      </c>
      <c r="C928">
        <v>0.67818936743735903</v>
      </c>
      <c r="D928">
        <v>0.81567011784830801</v>
      </c>
      <c r="E928">
        <v>0.41947250823827398</v>
      </c>
      <c r="F928">
        <v>0.22369056977788901</v>
      </c>
      <c r="G928">
        <v>9.4744807745830106E-2</v>
      </c>
      <c r="H928">
        <v>3.7852101550503503E-2</v>
      </c>
      <c r="I928">
        <v>2.9808503220527201E-2</v>
      </c>
      <c r="J928">
        <v>3.23135467354915E-2</v>
      </c>
      <c r="K928">
        <v>2.2182015073743701E-2</v>
      </c>
      <c r="L928">
        <v>658.35610574393604</v>
      </c>
      <c r="M928">
        <v>13.524172335755599</v>
      </c>
      <c r="N928">
        <v>48.679955370533001</v>
      </c>
      <c r="O928">
        <v>47.652594041114902</v>
      </c>
      <c r="P928">
        <v>-7.0962666451869993E-2</v>
      </c>
      <c r="Q928">
        <v>0</v>
      </c>
      <c r="R928">
        <v>0.95638204290531903</v>
      </c>
      <c r="S928" t="s">
        <v>4557</v>
      </c>
      <c r="T928" t="s">
        <v>7256</v>
      </c>
      <c r="U928" t="s">
        <v>7256</v>
      </c>
      <c r="V928" t="s">
        <v>7256</v>
      </c>
      <c r="W928">
        <v>46</v>
      </c>
      <c r="X928" t="s">
        <v>8184</v>
      </c>
      <c r="Y928">
        <v>0.31966206048329199</v>
      </c>
      <c r="Z928" t="str">
        <f>HYPERLINK("Melting_Curves/meltCurve_sp_P40939_ECHA_HUMAN_.pdf", "Melting_Curves/meltCurve_sp_P40939_ECHA_HUMAN_.pdf")</f>
        <v>Melting_Curves/meltCurve_sp_P40939_ECHA_HUMAN_.pdf</v>
      </c>
      <c r="AA928" t="s">
        <v>11794</v>
      </c>
      <c r="AB928" t="s">
        <v>15354</v>
      </c>
    </row>
    <row r="929" spans="1:28" x14ac:dyDescent="0.25">
      <c r="A929" t="s">
        <v>933</v>
      </c>
      <c r="B929">
        <v>0.98018197421672304</v>
      </c>
      <c r="C929">
        <v>0.91503383875520805</v>
      </c>
      <c r="D929">
        <v>0.86371675289726901</v>
      </c>
      <c r="E929">
        <v>0.72953539515247701</v>
      </c>
      <c r="F929">
        <v>0.55307992708145204</v>
      </c>
      <c r="G929">
        <v>0.30930405852547899</v>
      </c>
      <c r="H929">
        <v>0.103456932481195</v>
      </c>
      <c r="I929">
        <v>6.0664648839835397E-2</v>
      </c>
      <c r="J929">
        <v>7.8024075479435503E-2</v>
      </c>
      <c r="K929">
        <v>4.2490474071613403E-2</v>
      </c>
      <c r="L929">
        <v>734.67638226555005</v>
      </c>
      <c r="M929">
        <v>13.7630991654226</v>
      </c>
      <c r="N929">
        <v>53.3801590727237</v>
      </c>
      <c r="O929">
        <v>52.291069815108202</v>
      </c>
      <c r="P929">
        <v>-6.5809735804711597E-2</v>
      </c>
      <c r="Q929">
        <v>0</v>
      </c>
      <c r="R929">
        <v>0.99323588976694799</v>
      </c>
      <c r="S929" t="s">
        <v>4558</v>
      </c>
      <c r="T929" t="s">
        <v>7256</v>
      </c>
      <c r="U929" t="s">
        <v>7256</v>
      </c>
      <c r="V929" t="s">
        <v>7256</v>
      </c>
      <c r="W929">
        <v>17</v>
      </c>
      <c r="X929" t="s">
        <v>8185</v>
      </c>
      <c r="Y929">
        <v>0.46963222092442458</v>
      </c>
      <c r="Z929" t="str">
        <f>HYPERLINK("Melting_Curves/meltCurve_sp_P41091_IF2G_HUMAN_.pdf", "Melting_Curves/meltCurve_sp_P41091_IF2G_HUMAN_.pdf")</f>
        <v>Melting_Curves/meltCurve_sp_P41091_IF2G_HUMAN_.pdf</v>
      </c>
      <c r="AA929" t="s">
        <v>11795</v>
      </c>
      <c r="AB929" t="s">
        <v>15355</v>
      </c>
    </row>
    <row r="930" spans="1:28" x14ac:dyDescent="0.25">
      <c r="A930" t="s">
        <v>934</v>
      </c>
      <c r="B930">
        <v>0.98018197421672304</v>
      </c>
      <c r="C930">
        <v>0.96778681763921204</v>
      </c>
      <c r="D930">
        <v>0.88379425601862704</v>
      </c>
      <c r="E930">
        <v>0.68550428972063904</v>
      </c>
      <c r="F930">
        <v>0.59240049735974998</v>
      </c>
      <c r="G930">
        <v>0.36960067176776301</v>
      </c>
      <c r="H930">
        <v>0.35558233648169402</v>
      </c>
      <c r="I930">
        <v>0.39805102083315402</v>
      </c>
      <c r="J930">
        <v>0.36330872571893202</v>
      </c>
      <c r="K930">
        <v>0.59145615287434905</v>
      </c>
      <c r="L930">
        <v>1024.36090539665</v>
      </c>
      <c r="M930">
        <v>20.640975052425201</v>
      </c>
      <c r="N930">
        <v>54.221326400619901</v>
      </c>
      <c r="O930">
        <v>49.168762810122601</v>
      </c>
      <c r="P930">
        <v>-6.16066351209658E-2</v>
      </c>
      <c r="Q930">
        <v>0.41300530648769601</v>
      </c>
      <c r="R930">
        <v>0.91328407191805006</v>
      </c>
      <c r="S930" t="s">
        <v>4559</v>
      </c>
      <c r="T930" t="s">
        <v>7256</v>
      </c>
      <c r="U930" t="s">
        <v>7256</v>
      </c>
      <c r="V930" t="s">
        <v>7256</v>
      </c>
      <c r="W930">
        <v>1</v>
      </c>
      <c r="X930" t="s">
        <v>8186</v>
      </c>
      <c r="Y930">
        <v>0.60907097439703395</v>
      </c>
      <c r="Z930" t="str">
        <f>HYPERLINK("Melting_Curves/meltCurve_sp_P41208_CETN2_HUMAN_.pdf", "Melting_Curves/meltCurve_sp_P41208_CETN2_HUMAN_.pdf")</f>
        <v>Melting_Curves/meltCurve_sp_P41208_CETN2_HUMAN_.pdf</v>
      </c>
      <c r="AA930" t="s">
        <v>11796</v>
      </c>
      <c r="AB930" t="s">
        <v>15356</v>
      </c>
    </row>
    <row r="931" spans="1:28" x14ac:dyDescent="0.25">
      <c r="A931" t="s">
        <v>935</v>
      </c>
      <c r="B931">
        <v>0.98018197421672304</v>
      </c>
      <c r="C931">
        <v>0.87047758418215804</v>
      </c>
      <c r="D931">
        <v>0.83181697503704699</v>
      </c>
      <c r="E931">
        <v>0.44065455346540999</v>
      </c>
      <c r="F931">
        <v>0.16873929686540801</v>
      </c>
      <c r="G931">
        <v>0.113453497463117</v>
      </c>
      <c r="H931">
        <v>8.0092617061118102E-2</v>
      </c>
      <c r="I931">
        <v>6.6087357704013097E-2</v>
      </c>
      <c r="J931">
        <v>8.0417253823219806E-2</v>
      </c>
      <c r="K931">
        <v>8.7046711237968505E-2</v>
      </c>
      <c r="L931">
        <v>1058.98736748339</v>
      </c>
      <c r="M931">
        <v>21.6867066776142</v>
      </c>
      <c r="N931">
        <v>49.166685375142499</v>
      </c>
      <c r="O931">
        <v>48.421669630091898</v>
      </c>
      <c r="P931">
        <v>-0.104269363826043</v>
      </c>
      <c r="Q931">
        <v>6.8779518046922394E-2</v>
      </c>
      <c r="R931">
        <v>0.99154367943325805</v>
      </c>
      <c r="S931" t="s">
        <v>4560</v>
      </c>
      <c r="T931" t="s">
        <v>7256</v>
      </c>
      <c r="U931" t="s">
        <v>7256</v>
      </c>
      <c r="V931" t="s">
        <v>7256</v>
      </c>
      <c r="W931">
        <v>8</v>
      </c>
      <c r="X931" t="s">
        <v>8187</v>
      </c>
      <c r="Y931">
        <v>0.35396776927057771</v>
      </c>
      <c r="Z931" t="str">
        <f>HYPERLINK("Melting_Curves/meltCurve_sp_P41226_UBA7_HUMAN_.pdf", "Melting_Curves/meltCurve_sp_P41226_UBA7_HUMAN_.pdf")</f>
        <v>Melting_Curves/meltCurve_sp_P41226_UBA7_HUMAN_.pdf</v>
      </c>
      <c r="AA931" t="s">
        <v>11797</v>
      </c>
      <c r="AB931" t="s">
        <v>15357</v>
      </c>
    </row>
    <row r="932" spans="1:28" x14ac:dyDescent="0.25">
      <c r="A932" t="s">
        <v>936</v>
      </c>
      <c r="B932">
        <v>0.98018197421672304</v>
      </c>
      <c r="C932">
        <v>0.94781852534342903</v>
      </c>
      <c r="D932">
        <v>0.93758306578155204</v>
      </c>
      <c r="E932">
        <v>0.730800957612461</v>
      </c>
      <c r="F932">
        <v>0.35013618520351503</v>
      </c>
      <c r="G932">
        <v>0.14699857765228599</v>
      </c>
      <c r="H932">
        <v>9.5706489956444804E-2</v>
      </c>
      <c r="I932">
        <v>5.9690455595961402E-2</v>
      </c>
      <c r="J932">
        <v>9.0330831178648596E-2</v>
      </c>
      <c r="K932">
        <v>7.9762771195000998E-2</v>
      </c>
      <c r="L932">
        <v>1395.87408649446</v>
      </c>
      <c r="M932">
        <v>27.1252218032607</v>
      </c>
      <c r="N932">
        <v>51.778902138994098</v>
      </c>
      <c r="O932">
        <v>51.183112551472597</v>
      </c>
      <c r="P932">
        <v>-0.122311179950037</v>
      </c>
      <c r="Q932">
        <v>7.6843336208878399E-2</v>
      </c>
      <c r="R932">
        <v>0.996840358648032</v>
      </c>
      <c r="S932" t="s">
        <v>4561</v>
      </c>
      <c r="T932" t="s">
        <v>7256</v>
      </c>
      <c r="U932" t="s">
        <v>7256</v>
      </c>
      <c r="V932" t="s">
        <v>7256</v>
      </c>
      <c r="W932">
        <v>4</v>
      </c>
      <c r="X932" t="s">
        <v>8188</v>
      </c>
      <c r="Y932">
        <v>0.43664263324580221</v>
      </c>
      <c r="Z932" t="str">
        <f>HYPERLINK("Melting_Curves/meltCurve_sp_P41227_2_NAA10_HUMAN_.pdf", "Melting_Curves/meltCurve_sp_P41227_2_NAA10_HUMAN_.pdf")</f>
        <v>Melting_Curves/meltCurve_sp_P41227_2_NAA10_HUMAN_.pdf</v>
      </c>
      <c r="AA932" t="s">
        <v>11798</v>
      </c>
      <c r="AB932" t="s">
        <v>15358</v>
      </c>
    </row>
    <row r="933" spans="1:28" x14ac:dyDescent="0.25">
      <c r="A933" t="s">
        <v>937</v>
      </c>
      <c r="B933">
        <v>0.98018197421672304</v>
      </c>
      <c r="C933">
        <v>0.94611335304116695</v>
      </c>
      <c r="D933">
        <v>0.88116729503940805</v>
      </c>
      <c r="E933">
        <v>0.77366248592195597</v>
      </c>
      <c r="F933">
        <v>0.67696838517745295</v>
      </c>
      <c r="G933">
        <v>0.50456408533290598</v>
      </c>
      <c r="H933">
        <v>0.44205213773664598</v>
      </c>
      <c r="I933">
        <v>0.48018376026194198</v>
      </c>
      <c r="J933">
        <v>0.54619791557421304</v>
      </c>
      <c r="K933">
        <v>0.53901504975457804</v>
      </c>
      <c r="L933">
        <v>823.78714803040202</v>
      </c>
      <c r="M933">
        <v>16.402833342277599</v>
      </c>
      <c r="N933">
        <v>64.409568417502001</v>
      </c>
      <c r="O933">
        <v>49.493583295510099</v>
      </c>
      <c r="P933">
        <v>-4.2546992057397197E-2</v>
      </c>
      <c r="Q933">
        <v>0.48651473545820301</v>
      </c>
      <c r="R933">
        <v>0.95790193786098299</v>
      </c>
      <c r="S933" t="s">
        <v>4562</v>
      </c>
      <c r="T933" t="s">
        <v>7256</v>
      </c>
      <c r="U933" t="s">
        <v>7256</v>
      </c>
      <c r="V933" t="s">
        <v>7256</v>
      </c>
      <c r="W933">
        <v>6</v>
      </c>
      <c r="X933" t="s">
        <v>8189</v>
      </c>
      <c r="Y933">
        <v>0.67184819474172452</v>
      </c>
      <c r="Z933" t="str">
        <f>HYPERLINK("Melting_Curves/meltCurve_sp_P41236_IPP2_HUMAN_.pdf", "Melting_Curves/meltCurve_sp_P41236_IPP2_HUMAN_.pdf")</f>
        <v>Melting_Curves/meltCurve_sp_P41236_IPP2_HUMAN_.pdf</v>
      </c>
      <c r="AA933" t="s">
        <v>11799</v>
      </c>
      <c r="AB933" t="s">
        <v>15359</v>
      </c>
    </row>
    <row r="934" spans="1:28" x14ac:dyDescent="0.25">
      <c r="A934" t="s">
        <v>938</v>
      </c>
      <c r="B934">
        <v>0.98018197421672304</v>
      </c>
      <c r="C934">
        <v>0.92453602821748504</v>
      </c>
      <c r="D934">
        <v>0.81891108682910296</v>
      </c>
      <c r="E934">
        <v>0.37885151630224001</v>
      </c>
      <c r="F934">
        <v>0.116687517936075</v>
      </c>
      <c r="G934">
        <v>7.5287101701775203E-2</v>
      </c>
      <c r="H934">
        <v>4.6650743088269303E-2</v>
      </c>
      <c r="I934">
        <v>3.6861514962550801E-2</v>
      </c>
      <c r="J934">
        <v>3.7350925738509899E-2</v>
      </c>
      <c r="K934">
        <v>2.61145136722198E-2</v>
      </c>
      <c r="L934">
        <v>1183.3671035469099</v>
      </c>
      <c r="M934">
        <v>24.314789305298198</v>
      </c>
      <c r="N934">
        <v>48.804494070007898</v>
      </c>
      <c r="O934">
        <v>48.3429826231744</v>
      </c>
      <c r="P934">
        <v>-0.121627599622599</v>
      </c>
      <c r="Q934">
        <v>3.2727870111685001E-2</v>
      </c>
      <c r="R934">
        <v>0.99761100249253198</v>
      </c>
      <c r="S934" t="s">
        <v>4563</v>
      </c>
      <c r="T934" t="s">
        <v>7256</v>
      </c>
      <c r="U934" t="s">
        <v>7256</v>
      </c>
      <c r="V934" t="s">
        <v>7256</v>
      </c>
      <c r="W934">
        <v>12</v>
      </c>
      <c r="X934" t="s">
        <v>8190</v>
      </c>
      <c r="Y934">
        <v>0.32129028061085069</v>
      </c>
      <c r="Z934" t="str">
        <f>HYPERLINK("Melting_Curves/meltCurve_sp_P41240_CSK_HUMAN_.pdf", "Melting_Curves/meltCurve_sp_P41240_CSK_HUMAN_.pdf")</f>
        <v>Melting_Curves/meltCurve_sp_P41240_CSK_HUMAN_.pdf</v>
      </c>
      <c r="AA934" t="s">
        <v>11800</v>
      </c>
      <c r="AB934" t="s">
        <v>15360</v>
      </c>
    </row>
    <row r="935" spans="1:28" x14ac:dyDescent="0.25">
      <c r="A935" t="s">
        <v>939</v>
      </c>
      <c r="B935">
        <v>0.98018197421672304</v>
      </c>
      <c r="C935">
        <v>0.94573343088748796</v>
      </c>
      <c r="D935">
        <v>0.83444800706977096</v>
      </c>
      <c r="E935">
        <v>0.71799822800846602</v>
      </c>
      <c r="F935">
        <v>0.59879290906057303</v>
      </c>
      <c r="G935">
        <v>0.48585310027594097</v>
      </c>
      <c r="H935">
        <v>0.35491681203860498</v>
      </c>
      <c r="I935">
        <v>0.19661818454525801</v>
      </c>
      <c r="J935">
        <v>4.55253439661117E-2</v>
      </c>
      <c r="K935">
        <v>4.64275635808045E-2</v>
      </c>
      <c r="L935">
        <v>557.04206046250602</v>
      </c>
      <c r="M935">
        <v>10.081368331058</v>
      </c>
      <c r="N935">
        <v>55.254608510748902</v>
      </c>
      <c r="O935">
        <v>53.212627938494201</v>
      </c>
      <c r="P935">
        <v>-4.7385942398051203E-2</v>
      </c>
      <c r="Q935">
        <v>0</v>
      </c>
      <c r="R935">
        <v>0.97634163842924304</v>
      </c>
      <c r="S935" t="s">
        <v>4564</v>
      </c>
      <c r="T935" t="s">
        <v>7256</v>
      </c>
      <c r="U935" t="s">
        <v>7256</v>
      </c>
      <c r="V935" t="s">
        <v>7256</v>
      </c>
      <c r="W935">
        <v>20</v>
      </c>
      <c r="X935" t="s">
        <v>8191</v>
      </c>
      <c r="Y935">
        <v>0.53312625802798241</v>
      </c>
      <c r="Z935" t="str">
        <f>HYPERLINK("Melting_Curves/meltCurve_sp_P41250_SYG_HUMAN_.pdf", "Melting_Curves/meltCurve_sp_P41250_SYG_HUMAN_.pdf")</f>
        <v>Melting_Curves/meltCurve_sp_P41250_SYG_HUMAN_.pdf</v>
      </c>
      <c r="AA935" t="s">
        <v>11801</v>
      </c>
      <c r="AB935" t="s">
        <v>15361</v>
      </c>
    </row>
    <row r="936" spans="1:28" x14ac:dyDescent="0.25">
      <c r="A936" t="s">
        <v>940</v>
      </c>
      <c r="B936">
        <v>0.98018197421672304</v>
      </c>
      <c r="C936">
        <v>0.86547917645626704</v>
      </c>
      <c r="D936">
        <v>0.49994620069448598</v>
      </c>
      <c r="E936">
        <v>0.18842554415579499</v>
      </c>
      <c r="F936">
        <v>0.110513135779893</v>
      </c>
      <c r="G936">
        <v>6.7711599341702997E-2</v>
      </c>
      <c r="H936">
        <v>4.8128281147525799E-2</v>
      </c>
      <c r="I936">
        <v>3.6133712898563299E-2</v>
      </c>
      <c r="J936">
        <v>4.47830607260137E-2</v>
      </c>
      <c r="K936">
        <v>2.7272180450624701E-2</v>
      </c>
      <c r="L936">
        <v>1051.1173826639499</v>
      </c>
      <c r="M936">
        <v>22.856626538719699</v>
      </c>
      <c r="N936">
        <v>46.181186033224598</v>
      </c>
      <c r="O936">
        <v>45.639738952467603</v>
      </c>
      <c r="P936">
        <v>-0.119479343003111</v>
      </c>
      <c r="Q936">
        <v>4.5720565610796397E-2</v>
      </c>
      <c r="R936">
        <v>0.99823865418968605</v>
      </c>
      <c r="S936" t="s">
        <v>4565</v>
      </c>
      <c r="T936" t="s">
        <v>7256</v>
      </c>
      <c r="U936" t="s">
        <v>7256</v>
      </c>
      <c r="V936" t="s">
        <v>7256</v>
      </c>
      <c r="W936">
        <v>13</v>
      </c>
      <c r="X936" t="s">
        <v>8192</v>
      </c>
      <c r="Y936">
        <v>0.24702921634929931</v>
      </c>
      <c r="Z936" t="str">
        <f>HYPERLINK("Melting_Curves/meltCurve_sp_P41252_SYIC_HUMAN_.pdf", "Melting_Curves/meltCurve_sp_P41252_SYIC_HUMAN_.pdf")</f>
        <v>Melting_Curves/meltCurve_sp_P41252_SYIC_HUMAN_.pdf</v>
      </c>
      <c r="AA936" t="s">
        <v>11802</v>
      </c>
      <c r="AB936" t="s">
        <v>15362</v>
      </c>
    </row>
    <row r="937" spans="1:28" x14ac:dyDescent="0.25">
      <c r="A937" t="s">
        <v>941</v>
      </c>
      <c r="B937">
        <v>0.98018197421672304</v>
      </c>
      <c r="C937">
        <v>0.89473182670403095</v>
      </c>
      <c r="D937">
        <v>0.92701526339370699</v>
      </c>
      <c r="E937">
        <v>0.76726930637258595</v>
      </c>
      <c r="F937">
        <v>0.68785268828214596</v>
      </c>
      <c r="G937">
        <v>0.56318254254123301</v>
      </c>
      <c r="H937">
        <v>0.44250418212811898</v>
      </c>
      <c r="I937">
        <v>0.45505971242680199</v>
      </c>
      <c r="J937">
        <v>0.38296637073741002</v>
      </c>
      <c r="K937">
        <v>0.63725400130794096</v>
      </c>
      <c r="L937">
        <v>755.64941025863004</v>
      </c>
      <c r="M937">
        <v>14.8352761891133</v>
      </c>
      <c r="N937">
        <v>61.936073412140701</v>
      </c>
      <c r="O937">
        <v>50.037334674494197</v>
      </c>
      <c r="P937">
        <v>-3.9723165772393702E-2</v>
      </c>
      <c r="Q937">
        <v>0.46413355520786298</v>
      </c>
      <c r="R937">
        <v>0.883766145607919</v>
      </c>
      <c r="S937" t="s">
        <v>4566</v>
      </c>
      <c r="T937" t="s">
        <v>7256</v>
      </c>
      <c r="U937" t="s">
        <v>7256</v>
      </c>
      <c r="V937" t="s">
        <v>7256</v>
      </c>
      <c r="W937">
        <v>3</v>
      </c>
      <c r="X937" t="s">
        <v>8193</v>
      </c>
      <c r="Y937">
        <v>0.67210960394604191</v>
      </c>
      <c r="Z937" t="str">
        <f>HYPERLINK("Melting_Curves/meltCurve_sp_P41567_EIF1_HUMAN_.pdf", "Melting_Curves/meltCurve_sp_P41567_EIF1_HUMAN_.pdf")</f>
        <v>Melting_Curves/meltCurve_sp_P41567_EIF1_HUMAN_.pdf</v>
      </c>
      <c r="AA937" t="s">
        <v>11803</v>
      </c>
      <c r="AB937" t="s">
        <v>15363</v>
      </c>
    </row>
    <row r="938" spans="1:28" x14ac:dyDescent="0.25">
      <c r="A938" t="s">
        <v>942</v>
      </c>
      <c r="B938">
        <v>0.98018197421672304</v>
      </c>
      <c r="C938">
        <v>1.0307743516146599</v>
      </c>
      <c r="D938">
        <v>1.0063638663636101</v>
      </c>
      <c r="E938">
        <v>0.88828300263446103</v>
      </c>
      <c r="F938">
        <v>0.47192908344914902</v>
      </c>
      <c r="G938">
        <v>0.153289816884079</v>
      </c>
      <c r="H938">
        <v>0.126642696467169</v>
      </c>
      <c r="I938">
        <v>0.117327670020417</v>
      </c>
      <c r="J938">
        <v>3.5751121161059898E-2</v>
      </c>
      <c r="K938">
        <v>4.8637327453095097E-2</v>
      </c>
      <c r="L938">
        <v>1862.6538398986099</v>
      </c>
      <c r="M938">
        <v>35.398626737443102</v>
      </c>
      <c r="N938">
        <v>52.886986607419203</v>
      </c>
      <c r="O938">
        <v>52.452299377097702</v>
      </c>
      <c r="P938">
        <v>-0.15488546576835199</v>
      </c>
      <c r="Q938">
        <v>8.19902190653653E-2</v>
      </c>
      <c r="R938">
        <v>0.99550210550184803</v>
      </c>
      <c r="S938" t="s">
        <v>4567</v>
      </c>
      <c r="T938" t="s">
        <v>7256</v>
      </c>
      <c r="U938" t="s">
        <v>7256</v>
      </c>
      <c r="V938" t="s">
        <v>7256</v>
      </c>
      <c r="W938">
        <v>2</v>
      </c>
      <c r="X938" t="s">
        <v>8194</v>
      </c>
      <c r="Y938">
        <v>0.47240972428480732</v>
      </c>
      <c r="Z938" t="str">
        <f>HYPERLINK("Melting_Curves/meltCurve_sp_P41743_KPCI_HUMAN_.pdf", "Melting_Curves/meltCurve_sp_P41743_KPCI_HUMAN_.pdf")</f>
        <v>Melting_Curves/meltCurve_sp_P41743_KPCI_HUMAN_.pdf</v>
      </c>
      <c r="AA938" t="s">
        <v>11804</v>
      </c>
      <c r="AB938" t="s">
        <v>15364</v>
      </c>
    </row>
    <row r="939" spans="1:28" x14ac:dyDescent="0.25">
      <c r="A939" t="s">
        <v>943</v>
      </c>
      <c r="B939">
        <v>0.98018197421672304</v>
      </c>
      <c r="C939">
        <v>0.94915937732975797</v>
      </c>
      <c r="D939">
        <v>0.85270358736804197</v>
      </c>
      <c r="E939">
        <v>0.63118966764588602</v>
      </c>
      <c r="F939">
        <v>0.47298095543005297</v>
      </c>
      <c r="G939">
        <v>0.20895772004482199</v>
      </c>
      <c r="H939">
        <v>0.11333385911197601</v>
      </c>
      <c r="I939">
        <v>7.2547972117415899E-2</v>
      </c>
      <c r="J939">
        <v>6.7371380057575203E-2</v>
      </c>
      <c r="K939">
        <v>4.9635069990450503E-2</v>
      </c>
      <c r="L939">
        <v>733.19296233334501</v>
      </c>
      <c r="M939">
        <v>14.1165523799077</v>
      </c>
      <c r="N939">
        <v>52.0553198210227</v>
      </c>
      <c r="O939">
        <v>50.9295758783338</v>
      </c>
      <c r="P939">
        <v>-6.8223066134538005E-2</v>
      </c>
      <c r="Q939">
        <v>1.55877559249104E-2</v>
      </c>
      <c r="R939">
        <v>0.99821075803927195</v>
      </c>
      <c r="S939" t="s">
        <v>4568</v>
      </c>
      <c r="T939" t="s">
        <v>7256</v>
      </c>
      <c r="U939" t="s">
        <v>7256</v>
      </c>
      <c r="V939" t="s">
        <v>7256</v>
      </c>
      <c r="W939">
        <v>5</v>
      </c>
      <c r="X939" t="s">
        <v>8195</v>
      </c>
      <c r="Y939">
        <v>0.4314992316983815</v>
      </c>
      <c r="Z939" t="str">
        <f>HYPERLINK("Melting_Curves/meltCurve_sp_P42025_ACTY_HUMAN_.pdf", "Melting_Curves/meltCurve_sp_P42025_ACTY_HUMAN_.pdf")</f>
        <v>Melting_Curves/meltCurve_sp_P42025_ACTY_HUMAN_.pdf</v>
      </c>
      <c r="AA939" t="s">
        <v>11805</v>
      </c>
      <c r="AB939" t="s">
        <v>15365</v>
      </c>
    </row>
    <row r="940" spans="1:28" x14ac:dyDescent="0.25">
      <c r="A940" t="s">
        <v>944</v>
      </c>
      <c r="B940">
        <v>0.98018197421672304</v>
      </c>
      <c r="C940">
        <v>0.857221740449436</v>
      </c>
      <c r="D940">
        <v>0.95689080958384998</v>
      </c>
      <c r="E940">
        <v>0.827318692669747</v>
      </c>
      <c r="F940">
        <v>0.79767224992760299</v>
      </c>
      <c r="G940">
        <v>0.65828459442124898</v>
      </c>
      <c r="H940">
        <v>0.50986091421270996</v>
      </c>
      <c r="I940">
        <v>0.57001032788377803</v>
      </c>
      <c r="J940">
        <v>0.44822745363434102</v>
      </c>
      <c r="K940">
        <v>0.53576672305786899</v>
      </c>
      <c r="L940">
        <v>510.98621491329698</v>
      </c>
      <c r="M940">
        <v>9.3142747125055703</v>
      </c>
      <c r="N940">
        <v>67.389215524026895</v>
      </c>
      <c r="O940">
        <v>52.5097694931411</v>
      </c>
      <c r="P940">
        <v>-2.6113696631152001E-2</v>
      </c>
      <c r="Q940">
        <v>0.411505244553243</v>
      </c>
      <c r="R940">
        <v>0.92343367261188403</v>
      </c>
      <c r="S940" t="s">
        <v>4569</v>
      </c>
      <c r="T940" t="s">
        <v>7256</v>
      </c>
      <c r="U940" t="s">
        <v>7256</v>
      </c>
      <c r="V940" t="s">
        <v>7256</v>
      </c>
      <c r="W940">
        <v>9</v>
      </c>
      <c r="X940" t="s">
        <v>8196</v>
      </c>
      <c r="Y940">
        <v>0.71904085164670861</v>
      </c>
      <c r="Z940" t="str">
        <f>HYPERLINK("Melting_Curves/meltCurve_sp_P42126_2_ECI1_HUMAN_.pdf", "Melting_Curves/meltCurve_sp_P42126_2_ECI1_HUMAN_.pdf")</f>
        <v>Melting_Curves/meltCurve_sp_P42126_2_ECI1_HUMAN_.pdf</v>
      </c>
      <c r="AA940" t="s">
        <v>11806</v>
      </c>
      <c r="AB940" t="s">
        <v>15366</v>
      </c>
    </row>
    <row r="941" spans="1:28" x14ac:dyDescent="0.25">
      <c r="A941" t="s">
        <v>945</v>
      </c>
      <c r="B941">
        <v>0.98018197421672304</v>
      </c>
      <c r="C941">
        <v>0.96386854171362302</v>
      </c>
      <c r="D941">
        <v>0.92347162420161</v>
      </c>
      <c r="E941">
        <v>0.78779491873838303</v>
      </c>
      <c r="F941">
        <v>0.74862107134909195</v>
      </c>
      <c r="G941">
        <v>0.53655644951755199</v>
      </c>
      <c r="H941">
        <v>0.47491214635555801</v>
      </c>
      <c r="I941">
        <v>0.480964095693932</v>
      </c>
      <c r="J941">
        <v>0.596283732412899</v>
      </c>
      <c r="K941">
        <v>0.80132495997611497</v>
      </c>
      <c r="L941">
        <v>1075.08427849601</v>
      </c>
      <c r="M941">
        <v>21.452655895883801</v>
      </c>
      <c r="O941">
        <v>49.6849088640204</v>
      </c>
      <c r="P941">
        <v>-4.5369139731135003E-2</v>
      </c>
      <c r="Q941">
        <v>0.57970593661523095</v>
      </c>
      <c r="R941">
        <v>0.75727065343613897</v>
      </c>
      <c r="S941" t="s">
        <v>4570</v>
      </c>
      <c r="T941" t="s">
        <v>7256</v>
      </c>
      <c r="U941" t="s">
        <v>7256</v>
      </c>
      <c r="V941" t="s">
        <v>7256</v>
      </c>
      <c r="W941">
        <v>11</v>
      </c>
      <c r="X941" t="s">
        <v>8197</v>
      </c>
      <c r="Y941">
        <v>0.72650410287923206</v>
      </c>
      <c r="Z941" t="str">
        <f>HYPERLINK("Melting_Curves/meltCurve_sp_P42166_LAP2A_HUMAN_.pdf", "Melting_Curves/meltCurve_sp_P42166_LAP2A_HUMAN_.pdf")</f>
        <v>Melting_Curves/meltCurve_sp_P42166_LAP2A_HUMAN_.pdf</v>
      </c>
      <c r="AA941" t="s">
        <v>11807</v>
      </c>
      <c r="AB941" t="s">
        <v>15367</v>
      </c>
    </row>
    <row r="942" spans="1:28" x14ac:dyDescent="0.25">
      <c r="A942" t="s">
        <v>946</v>
      </c>
      <c r="B942">
        <v>0.98018197421672304</v>
      </c>
      <c r="C942">
        <v>0.90879271273094597</v>
      </c>
      <c r="D942">
        <v>0.82250271040069101</v>
      </c>
      <c r="E942">
        <v>0.28478101523469901</v>
      </c>
      <c r="F942">
        <v>0.13543583538145401</v>
      </c>
      <c r="G942">
        <v>7.5834794800448399E-2</v>
      </c>
      <c r="H942">
        <v>4.88246760563242E-2</v>
      </c>
      <c r="I942">
        <v>3.9223722960643401E-2</v>
      </c>
      <c r="J942">
        <v>4.2436775441601002E-2</v>
      </c>
      <c r="K942">
        <v>2.71657066026126E-2</v>
      </c>
      <c r="L942">
        <v>1296.2456222661101</v>
      </c>
      <c r="M942">
        <v>26.891667841786798</v>
      </c>
      <c r="N942">
        <v>48.364537272716603</v>
      </c>
      <c r="O942">
        <v>47.938311437485702</v>
      </c>
      <c r="P942">
        <v>-0.134201017019001</v>
      </c>
      <c r="Q942">
        <v>4.30782601927941E-2</v>
      </c>
      <c r="R942">
        <v>0.99597334018348305</v>
      </c>
      <c r="S942" t="s">
        <v>4571</v>
      </c>
      <c r="T942" t="s">
        <v>7256</v>
      </c>
      <c r="U942" t="s">
        <v>7256</v>
      </c>
      <c r="V942" t="s">
        <v>7256</v>
      </c>
      <c r="W942">
        <v>21</v>
      </c>
      <c r="X942" t="s">
        <v>8198</v>
      </c>
      <c r="Y942">
        <v>0.31196906795805429</v>
      </c>
      <c r="Z942" t="str">
        <f>HYPERLINK("Melting_Curves/meltCurve_sp_P42224_2_STAT1_HUMAN_.pdf", "Melting_Curves/meltCurve_sp_P42224_2_STAT1_HUMAN_.pdf")</f>
        <v>Melting_Curves/meltCurve_sp_P42224_2_STAT1_HUMAN_.pdf</v>
      </c>
      <c r="AA942" t="s">
        <v>11808</v>
      </c>
      <c r="AB942" t="s">
        <v>15368</v>
      </c>
    </row>
    <row r="943" spans="1:28" x14ac:dyDescent="0.25">
      <c r="A943" t="s">
        <v>947</v>
      </c>
      <c r="B943">
        <v>0.98018197421672304</v>
      </c>
      <c r="C943">
        <v>1.11539805013923</v>
      </c>
      <c r="D943">
        <v>0.90583296082903797</v>
      </c>
      <c r="E943">
        <v>0.78624092713731597</v>
      </c>
      <c r="F943">
        <v>0.45003257361493498</v>
      </c>
      <c r="G943">
        <v>0.24055184721311801</v>
      </c>
      <c r="H943">
        <v>0.100322151157567</v>
      </c>
      <c r="I943">
        <v>7.0041393584556202E-2</v>
      </c>
      <c r="J943">
        <v>6.6571946958934702E-2</v>
      </c>
      <c r="K943">
        <v>5.3210710540127201E-2</v>
      </c>
      <c r="L943">
        <v>1097.5783076699599</v>
      </c>
      <c r="M943">
        <v>20.891250804126202</v>
      </c>
      <c r="N943">
        <v>52.829630809627098</v>
      </c>
      <c r="O943">
        <v>52.063428050199803</v>
      </c>
      <c r="P943">
        <v>-9.4849910704703597E-2</v>
      </c>
      <c r="Q943">
        <v>5.4517927848987E-2</v>
      </c>
      <c r="R943">
        <v>0.98718921498287904</v>
      </c>
      <c r="S943" t="s">
        <v>4572</v>
      </c>
      <c r="T943" t="s">
        <v>7256</v>
      </c>
      <c r="U943" t="s">
        <v>7256</v>
      </c>
      <c r="V943" t="s">
        <v>7256</v>
      </c>
      <c r="W943">
        <v>7</v>
      </c>
      <c r="X943" t="s">
        <v>8199</v>
      </c>
      <c r="Y943">
        <v>0.46173867999950402</v>
      </c>
      <c r="Z943" t="str">
        <f>HYPERLINK("Melting_Curves/meltCurve_sp_P42226_3_STAT6_HUMAN_.pdf", "Melting_Curves/meltCurve_sp_P42226_3_STAT6_HUMAN_.pdf")</f>
        <v>Melting_Curves/meltCurve_sp_P42226_3_STAT6_HUMAN_.pdf</v>
      </c>
      <c r="AA943" t="s">
        <v>11809</v>
      </c>
      <c r="AB943" t="s">
        <v>15369</v>
      </c>
    </row>
    <row r="944" spans="1:28" x14ac:dyDescent="0.25">
      <c r="A944" t="s">
        <v>948</v>
      </c>
      <c r="B944">
        <v>0.98018197421672304</v>
      </c>
      <c r="C944">
        <v>0.97134023836509098</v>
      </c>
      <c r="D944">
        <v>0.89369507403967097</v>
      </c>
      <c r="E944">
        <v>0.73920482336022897</v>
      </c>
      <c r="F944">
        <v>0.39752155112885101</v>
      </c>
      <c r="G944">
        <v>0.20814602515844799</v>
      </c>
      <c r="H944">
        <v>0.12614872674833899</v>
      </c>
      <c r="I944">
        <v>9.2613775434289294E-2</v>
      </c>
      <c r="J944">
        <v>0.115862159767869</v>
      </c>
      <c r="K944">
        <v>9.2573202651234504E-2</v>
      </c>
      <c r="L944">
        <v>1097.77349122893</v>
      </c>
      <c r="M944">
        <v>21.254386962800801</v>
      </c>
      <c r="N944">
        <v>52.147230964950403</v>
      </c>
      <c r="O944">
        <v>51.198577365602397</v>
      </c>
      <c r="P944">
        <v>-9.4254767904098993E-2</v>
      </c>
      <c r="Q944">
        <v>9.1841817740364207E-2</v>
      </c>
      <c r="R944">
        <v>0.99594377702163295</v>
      </c>
      <c r="S944" t="s">
        <v>4573</v>
      </c>
      <c r="T944" t="s">
        <v>7256</v>
      </c>
      <c r="U944" t="s">
        <v>7256</v>
      </c>
      <c r="V944" t="s">
        <v>7256</v>
      </c>
      <c r="W944">
        <v>10</v>
      </c>
      <c r="X944" t="s">
        <v>8200</v>
      </c>
      <c r="Y944">
        <v>0.45573880917090331</v>
      </c>
      <c r="Z944" t="str">
        <f>HYPERLINK("Melting_Curves/meltCurve_sp_P42285_SK2L2_HUMAN_.pdf", "Melting_Curves/meltCurve_sp_P42285_SK2L2_HUMAN_.pdf")</f>
        <v>Melting_Curves/meltCurve_sp_P42285_SK2L2_HUMAN_.pdf</v>
      </c>
      <c r="AA944" t="s">
        <v>11810</v>
      </c>
      <c r="AB944" t="s">
        <v>15370</v>
      </c>
    </row>
    <row r="945" spans="1:28" x14ac:dyDescent="0.25">
      <c r="A945" t="s">
        <v>949</v>
      </c>
      <c r="B945">
        <v>0.98018197421672304</v>
      </c>
      <c r="C945">
        <v>0.94734958115714796</v>
      </c>
      <c r="D945">
        <v>0.89703446594264402</v>
      </c>
      <c r="E945">
        <v>0.66258730732836402</v>
      </c>
      <c r="F945">
        <v>0.35442355054274499</v>
      </c>
      <c r="G945">
        <v>0.22870450715601301</v>
      </c>
      <c r="H945">
        <v>0.13336848156233699</v>
      </c>
      <c r="I945">
        <v>0.101533975016088</v>
      </c>
      <c r="J945">
        <v>8.6839449070592295E-2</v>
      </c>
      <c r="K945">
        <v>5.7976666031127798E-2</v>
      </c>
      <c r="L945">
        <v>916.69752249052897</v>
      </c>
      <c r="M945">
        <v>17.903520559974101</v>
      </c>
      <c r="N945">
        <v>51.651953181277896</v>
      </c>
      <c r="O945">
        <v>50.576107410210398</v>
      </c>
      <c r="P945">
        <v>-8.2113292492008605E-2</v>
      </c>
      <c r="Q945">
        <v>7.2191150062757406E-2</v>
      </c>
      <c r="R945">
        <v>0.99626291553677904</v>
      </c>
      <c r="S945" t="s">
        <v>4574</v>
      </c>
      <c r="T945" t="s">
        <v>7256</v>
      </c>
      <c r="U945" t="s">
        <v>7256</v>
      </c>
      <c r="V945" t="s">
        <v>7256</v>
      </c>
      <c r="W945">
        <v>20</v>
      </c>
      <c r="X945" t="s">
        <v>8201</v>
      </c>
      <c r="Y945">
        <v>0.43438356709722309</v>
      </c>
      <c r="Z945" t="str">
        <f>HYPERLINK("Melting_Curves/meltCurve_sp_P42330_AK1C3_HUMAN_.pdf", "Melting_Curves/meltCurve_sp_P42330_AK1C3_HUMAN_.pdf")</f>
        <v>Melting_Curves/meltCurve_sp_P42330_AK1C3_HUMAN_.pdf</v>
      </c>
      <c r="AA945" t="s">
        <v>11811</v>
      </c>
      <c r="AB945" t="s">
        <v>15371</v>
      </c>
    </row>
    <row r="946" spans="1:28" x14ac:dyDescent="0.25">
      <c r="A946" t="s">
        <v>950</v>
      </c>
      <c r="B946">
        <v>0.98018197421672304</v>
      </c>
      <c r="C946">
        <v>0.957664976669652</v>
      </c>
      <c r="D946">
        <v>0.89363580438761503</v>
      </c>
      <c r="E946">
        <v>0.69251095967187104</v>
      </c>
      <c r="F946">
        <v>0.45288685757726699</v>
      </c>
      <c r="G946">
        <v>0.186682910906043</v>
      </c>
      <c r="H946">
        <v>0.141679216392569</v>
      </c>
      <c r="I946">
        <v>0.10081706735533</v>
      </c>
      <c r="J946">
        <v>0.18783131622929999</v>
      </c>
      <c r="K946">
        <v>0.112416206788713</v>
      </c>
      <c r="L946">
        <v>1023.49464421672</v>
      </c>
      <c r="M946">
        <v>19.893636542807801</v>
      </c>
      <c r="N946">
        <v>52.125676416386803</v>
      </c>
      <c r="O946">
        <v>50.9369352353525</v>
      </c>
      <c r="P946">
        <v>-8.6520750934029694E-2</v>
      </c>
      <c r="Q946">
        <v>0.113896444667775</v>
      </c>
      <c r="R946">
        <v>0.99265114266938703</v>
      </c>
      <c r="S946" t="s">
        <v>4575</v>
      </c>
      <c r="T946" t="s">
        <v>7256</v>
      </c>
      <c r="U946" t="s">
        <v>7256</v>
      </c>
      <c r="V946" t="s">
        <v>7256</v>
      </c>
      <c r="W946">
        <v>2</v>
      </c>
      <c r="X946" t="s">
        <v>8202</v>
      </c>
      <c r="Y946">
        <v>0.46445051796197628</v>
      </c>
      <c r="Z946" t="str">
        <f>HYPERLINK("Melting_Curves/meltCurve_sp_P42336_PK3CA_HUMAN_.pdf", "Melting_Curves/meltCurve_sp_P42336_PK3CA_HUMAN_.pdf")</f>
        <v>Melting_Curves/meltCurve_sp_P42336_PK3CA_HUMAN_.pdf</v>
      </c>
      <c r="AA946" t="s">
        <v>11812</v>
      </c>
      <c r="AB946" t="s">
        <v>15372</v>
      </c>
    </row>
    <row r="947" spans="1:28" x14ac:dyDescent="0.25">
      <c r="A947" t="s">
        <v>951</v>
      </c>
      <c r="B947">
        <v>0.98018197421672304</v>
      </c>
      <c r="C947">
        <v>1.02607385907978</v>
      </c>
      <c r="D947">
        <v>0.91009384642452695</v>
      </c>
      <c r="E947">
        <v>0.65118152121902595</v>
      </c>
      <c r="F947">
        <v>0.36700331190715302</v>
      </c>
      <c r="G947">
        <v>0.21359821861634801</v>
      </c>
      <c r="H947">
        <v>0.10881856336582001</v>
      </c>
      <c r="I947">
        <v>7.8499235251140206E-2</v>
      </c>
      <c r="J947">
        <v>6.7848183608239798E-2</v>
      </c>
      <c r="K947">
        <v>6.9450487283739301E-2</v>
      </c>
      <c r="L947">
        <v>1013.23044136744</v>
      </c>
      <c r="M947">
        <v>19.764875819156099</v>
      </c>
      <c r="N947">
        <v>51.646734655203701</v>
      </c>
      <c r="O947">
        <v>50.7480671160261</v>
      </c>
      <c r="P947">
        <v>-9.0740896027251203E-2</v>
      </c>
      <c r="Q947">
        <v>6.8090645392059307E-2</v>
      </c>
      <c r="R947">
        <v>0.99724202471386503</v>
      </c>
      <c r="S947" t="s">
        <v>4576</v>
      </c>
      <c r="T947" t="s">
        <v>7256</v>
      </c>
      <c r="U947" t="s">
        <v>7256</v>
      </c>
      <c r="V947" t="s">
        <v>7256</v>
      </c>
      <c r="W947">
        <v>3</v>
      </c>
      <c r="X947" t="s">
        <v>8203</v>
      </c>
      <c r="Y947">
        <v>0.4312108113286387</v>
      </c>
      <c r="Z947" t="str">
        <f>HYPERLINK("Melting_Curves/meltCurve_sp_P42338_PK3CB_HUMAN_.pdf", "Melting_Curves/meltCurve_sp_P42338_PK3CB_HUMAN_.pdf")</f>
        <v>Melting_Curves/meltCurve_sp_P42338_PK3CB_HUMAN_.pdf</v>
      </c>
      <c r="AA947" t="s">
        <v>11813</v>
      </c>
      <c r="AB947" t="s">
        <v>15373</v>
      </c>
    </row>
    <row r="948" spans="1:28" x14ac:dyDescent="0.25">
      <c r="A948" t="s">
        <v>952</v>
      </c>
      <c r="B948">
        <v>0.98018197421672304</v>
      </c>
      <c r="C948">
        <v>0.895431241908626</v>
      </c>
      <c r="D948">
        <v>0.81111318028996804</v>
      </c>
      <c r="E948">
        <v>0.596009350230985</v>
      </c>
      <c r="F948">
        <v>0.40738928311873901</v>
      </c>
      <c r="G948">
        <v>0.25551492440462797</v>
      </c>
      <c r="H948">
        <v>0.12900557185352299</v>
      </c>
      <c r="I948">
        <v>0.121686588981216</v>
      </c>
      <c r="J948">
        <v>0.121428988537815</v>
      </c>
      <c r="K948">
        <v>6.6791534798687296E-2</v>
      </c>
      <c r="L948">
        <v>640.59228779475404</v>
      </c>
      <c r="M948">
        <v>12.558312001133199</v>
      </c>
      <c r="N948">
        <v>51.426082270027898</v>
      </c>
      <c r="O948">
        <v>49.767837217307303</v>
      </c>
      <c r="P948">
        <v>-6.0045120820597001E-2</v>
      </c>
      <c r="Q948">
        <v>4.83714007189949E-2</v>
      </c>
      <c r="R948">
        <v>0.99774124260550701</v>
      </c>
      <c r="S948" t="s">
        <v>4577</v>
      </c>
      <c r="T948" t="s">
        <v>7256</v>
      </c>
      <c r="U948" t="s">
        <v>7256</v>
      </c>
      <c r="V948" t="s">
        <v>7256</v>
      </c>
      <c r="W948">
        <v>3</v>
      </c>
      <c r="X948" t="s">
        <v>8204</v>
      </c>
      <c r="Y948">
        <v>0.42663602017795688</v>
      </c>
      <c r="Z948" t="str">
        <f>HYPERLINK("Melting_Curves/meltCurve_sp_P42345_MTOR_HUMAN_.pdf", "Melting_Curves/meltCurve_sp_P42345_MTOR_HUMAN_.pdf")</f>
        <v>Melting_Curves/meltCurve_sp_P42345_MTOR_HUMAN_.pdf</v>
      </c>
      <c r="AA948" t="s">
        <v>11814</v>
      </c>
      <c r="AB948" t="s">
        <v>15374</v>
      </c>
    </row>
    <row r="949" spans="1:28" x14ac:dyDescent="0.25">
      <c r="A949" t="s">
        <v>953</v>
      </c>
      <c r="B949">
        <v>0.98018197421672304</v>
      </c>
      <c r="C949">
        <v>0.95940344674009503</v>
      </c>
      <c r="D949">
        <v>0.913633782059321</v>
      </c>
      <c r="E949">
        <v>0.83257063279098997</v>
      </c>
      <c r="F949">
        <v>0.73820982157006099</v>
      </c>
      <c r="G949">
        <v>0.53390973851148005</v>
      </c>
      <c r="H949">
        <v>0.124119657445246</v>
      </c>
      <c r="I949">
        <v>9.6573566320968501E-2</v>
      </c>
      <c r="J949">
        <v>9.5699166476365505E-2</v>
      </c>
      <c r="K949">
        <v>5.4432172494570899E-2</v>
      </c>
      <c r="L949">
        <v>909.85216108219595</v>
      </c>
      <c r="M949">
        <v>16.182375493917299</v>
      </c>
      <c r="N949">
        <v>56.224882520492997</v>
      </c>
      <c r="O949">
        <v>55.387299545489</v>
      </c>
      <c r="P949">
        <v>-7.3047382456931098E-2</v>
      </c>
      <c r="Q949">
        <v>0</v>
      </c>
      <c r="R949">
        <v>0.98170021310227795</v>
      </c>
      <c r="S949" t="s">
        <v>4578</v>
      </c>
      <c r="T949" t="s">
        <v>7256</v>
      </c>
      <c r="U949" t="s">
        <v>7256</v>
      </c>
      <c r="V949" t="s">
        <v>7256</v>
      </c>
      <c r="W949">
        <v>30</v>
      </c>
      <c r="X949" t="s">
        <v>8205</v>
      </c>
      <c r="Y949">
        <v>0.55706908249345055</v>
      </c>
      <c r="Z949" t="str">
        <f>HYPERLINK("Melting_Curves/meltCurve_sp_P42357_HUTH_HUMAN_.pdf", "Melting_Curves/meltCurve_sp_P42357_HUTH_HUMAN_.pdf")</f>
        <v>Melting_Curves/meltCurve_sp_P42357_HUTH_HUMAN_.pdf</v>
      </c>
      <c r="AA949" t="s">
        <v>11815</v>
      </c>
      <c r="AB949" t="s">
        <v>15375</v>
      </c>
    </row>
    <row r="950" spans="1:28" x14ac:dyDescent="0.25">
      <c r="A950" t="s">
        <v>954</v>
      </c>
      <c r="B950">
        <v>0.98018197421672304</v>
      </c>
      <c r="C950">
        <v>0.96576756509510997</v>
      </c>
      <c r="D950">
        <v>0.91463261053276002</v>
      </c>
      <c r="E950">
        <v>0.77454226797353598</v>
      </c>
      <c r="F950">
        <v>0.63076088177543799</v>
      </c>
      <c r="G950">
        <v>0.43905105906123099</v>
      </c>
      <c r="H950">
        <v>0.36902596975935398</v>
      </c>
      <c r="I950">
        <v>0.332015684362653</v>
      </c>
      <c r="J950">
        <v>0.31438807112387002</v>
      </c>
      <c r="K950">
        <v>0.27730309310676698</v>
      </c>
      <c r="L950">
        <v>742.09977664037501</v>
      </c>
      <c r="M950">
        <v>14.065019607996399</v>
      </c>
      <c r="N950">
        <v>55.810903796486301</v>
      </c>
      <c r="O950">
        <v>51.729853709947399</v>
      </c>
      <c r="P950">
        <v>-4.9755627368958201E-2</v>
      </c>
      <c r="Q950">
        <v>0.26810855736824102</v>
      </c>
      <c r="R950">
        <v>0.99861644675127403</v>
      </c>
      <c r="S950" t="s">
        <v>4579</v>
      </c>
      <c r="T950" t="s">
        <v>7256</v>
      </c>
      <c r="U950" t="s">
        <v>7256</v>
      </c>
      <c r="V950" t="s">
        <v>7256</v>
      </c>
      <c r="W950">
        <v>17</v>
      </c>
      <c r="X950" t="s">
        <v>8206</v>
      </c>
      <c r="Y950">
        <v>0.59684704304893299</v>
      </c>
      <c r="Z950" t="str">
        <f>HYPERLINK("Melting_Curves/meltCurve_sp_P42566_EPS15_HUMAN_.pdf", "Melting_Curves/meltCurve_sp_P42566_EPS15_HUMAN_.pdf")</f>
        <v>Melting_Curves/meltCurve_sp_P42566_EPS15_HUMAN_.pdf</v>
      </c>
      <c r="AA950" t="s">
        <v>11816</v>
      </c>
      <c r="AB950" t="s">
        <v>15376</v>
      </c>
    </row>
    <row r="951" spans="1:28" x14ac:dyDescent="0.25">
      <c r="A951" t="s">
        <v>955</v>
      </c>
      <c r="B951">
        <v>0.98018197421672304</v>
      </c>
      <c r="C951">
        <v>0.883000743201102</v>
      </c>
      <c r="D951">
        <v>0.83696051981698805</v>
      </c>
      <c r="E951">
        <v>0.74827965042112499</v>
      </c>
      <c r="F951">
        <v>0.64305069676118498</v>
      </c>
      <c r="G951">
        <v>0.53106597394880894</v>
      </c>
      <c r="H951">
        <v>0.38146889757454799</v>
      </c>
      <c r="I951">
        <v>0.37199852694895003</v>
      </c>
      <c r="J951">
        <v>0.47783392701569999</v>
      </c>
      <c r="K951">
        <v>0.34564983938056798</v>
      </c>
      <c r="L951">
        <v>498.12589994846502</v>
      </c>
      <c r="M951">
        <v>9.5713026717358893</v>
      </c>
      <c r="N951">
        <v>57.959771754383702</v>
      </c>
      <c r="O951">
        <v>49.923924670981997</v>
      </c>
      <c r="P951">
        <v>-3.3005254500747802E-2</v>
      </c>
      <c r="Q951">
        <v>0.31177388817690199</v>
      </c>
      <c r="R951">
        <v>0.96318362676010205</v>
      </c>
      <c r="S951" t="s">
        <v>4580</v>
      </c>
      <c r="T951" t="s">
        <v>7256</v>
      </c>
      <c r="U951" t="s">
        <v>7256</v>
      </c>
      <c r="V951" t="s">
        <v>7256</v>
      </c>
      <c r="W951">
        <v>2</v>
      </c>
      <c r="X951" t="s">
        <v>8207</v>
      </c>
      <c r="Y951">
        <v>0.61531309814383917</v>
      </c>
      <c r="Z951" t="str">
        <f>HYPERLINK("Melting_Curves/meltCurve_sp_P42574_CASP3_HUMAN_.pdf", "Melting_Curves/meltCurve_sp_P42574_CASP3_HUMAN_.pdf")</f>
        <v>Melting_Curves/meltCurve_sp_P42574_CASP3_HUMAN_.pdf</v>
      </c>
      <c r="AA951" t="s">
        <v>11817</v>
      </c>
      <c r="AB951" t="s">
        <v>15377</v>
      </c>
    </row>
    <row r="952" spans="1:28" x14ac:dyDescent="0.25">
      <c r="A952" t="s">
        <v>956</v>
      </c>
      <c r="B952">
        <v>0.98018197421672304</v>
      </c>
      <c r="C952">
        <v>0.95270853796504296</v>
      </c>
      <c r="D952">
        <v>0.89701952886441105</v>
      </c>
      <c r="E952">
        <v>0.34404276621494301</v>
      </c>
      <c r="F952">
        <v>0.106193034076629</v>
      </c>
      <c r="G952">
        <v>6.4154132352813795E-2</v>
      </c>
      <c r="H952">
        <v>4.2452029175013999E-2</v>
      </c>
      <c r="I952">
        <v>3.2144089515185902E-2</v>
      </c>
      <c r="J952">
        <v>3.6093323173335398E-2</v>
      </c>
      <c r="K952">
        <v>2.4638537794579501E-2</v>
      </c>
      <c r="L952">
        <v>1591.07295336744</v>
      </c>
      <c r="M952">
        <v>32.566158223497602</v>
      </c>
      <c r="N952">
        <v>48.972773620591902</v>
      </c>
      <c r="O952">
        <v>48.673505863135702</v>
      </c>
      <c r="P952">
        <v>-0.161053333041908</v>
      </c>
      <c r="Q952">
        <v>3.7160545805170302E-2</v>
      </c>
      <c r="R952">
        <v>0.99852843413394299</v>
      </c>
      <c r="S952" t="s">
        <v>4581</v>
      </c>
      <c r="T952" t="s">
        <v>7256</v>
      </c>
      <c r="U952" t="s">
        <v>7256</v>
      </c>
      <c r="V952" t="s">
        <v>7256</v>
      </c>
      <c r="W952">
        <v>59</v>
      </c>
      <c r="X952" t="s">
        <v>8208</v>
      </c>
      <c r="Y952">
        <v>0.32635750741675412</v>
      </c>
      <c r="Z952" t="str">
        <f>HYPERLINK("Melting_Curves/meltCurve_sp_P42704_LPPRC_HUMAN_.pdf", "Melting_Curves/meltCurve_sp_P42704_LPPRC_HUMAN_.pdf")</f>
        <v>Melting_Curves/meltCurve_sp_P42704_LPPRC_HUMAN_.pdf</v>
      </c>
      <c r="AA952" t="s">
        <v>11818</v>
      </c>
      <c r="AB952" t="s">
        <v>15378</v>
      </c>
    </row>
    <row r="953" spans="1:28" x14ac:dyDescent="0.25">
      <c r="A953" t="s">
        <v>957</v>
      </c>
      <c r="B953">
        <v>0.98018197421672304</v>
      </c>
      <c r="C953">
        <v>0.87293841158627705</v>
      </c>
      <c r="D953">
        <v>0.88883429050459895</v>
      </c>
      <c r="E953">
        <v>0.89397759193057702</v>
      </c>
      <c r="F953">
        <v>0.68469412324573697</v>
      </c>
      <c r="G953">
        <v>0.70095729005512997</v>
      </c>
      <c r="H953">
        <v>0.54558259710301305</v>
      </c>
      <c r="I953">
        <v>0.55693094481897498</v>
      </c>
      <c r="J953">
        <v>0.31734611848539102</v>
      </c>
      <c r="K953">
        <v>6.3633115532802501E-2</v>
      </c>
      <c r="L953">
        <v>515.42360109943002</v>
      </c>
      <c r="M953">
        <v>8.42737607327782</v>
      </c>
      <c r="N953">
        <v>61.160624080955998</v>
      </c>
      <c r="O953">
        <v>58.007973158407403</v>
      </c>
      <c r="P953">
        <v>-3.6353716387174898E-2</v>
      </c>
      <c r="Q953">
        <v>0</v>
      </c>
      <c r="R953">
        <v>0.88376738983352698</v>
      </c>
      <c r="S953" t="s">
        <v>4582</v>
      </c>
      <c r="T953" t="s">
        <v>7256</v>
      </c>
      <c r="U953" t="s">
        <v>7256</v>
      </c>
      <c r="V953" t="s">
        <v>7256</v>
      </c>
      <c r="W953">
        <v>34</v>
      </c>
      <c r="X953" t="s">
        <v>8209</v>
      </c>
      <c r="Y953">
        <v>0.68158465991083905</v>
      </c>
      <c r="Z953" t="str">
        <f>HYPERLINK("Melting_Curves/meltCurve_sp_P42765_THIM_HUMAN_.pdf", "Melting_Curves/meltCurve_sp_P42765_THIM_HUMAN_.pdf")</f>
        <v>Melting_Curves/meltCurve_sp_P42765_THIM_HUMAN_.pdf</v>
      </c>
      <c r="AA953" t="s">
        <v>11819</v>
      </c>
      <c r="AB953" t="s">
        <v>15379</v>
      </c>
    </row>
    <row r="954" spans="1:28" x14ac:dyDescent="0.25">
      <c r="A954" t="s">
        <v>958</v>
      </c>
      <c r="B954">
        <v>0.98018197421672304</v>
      </c>
      <c r="C954">
        <v>0.90551928386466296</v>
      </c>
      <c r="D954">
        <v>0.85403756320510604</v>
      </c>
      <c r="E954">
        <v>0.72056767737633598</v>
      </c>
      <c r="F954">
        <v>0.61327924259951405</v>
      </c>
      <c r="G954">
        <v>0.49820058153352798</v>
      </c>
      <c r="H954">
        <v>0.36265454973816402</v>
      </c>
      <c r="I954">
        <v>0.28959469529424098</v>
      </c>
      <c r="J954">
        <v>0.41356449959595398</v>
      </c>
      <c r="K954">
        <v>0.38427311121673502</v>
      </c>
      <c r="L954">
        <v>604.93433174612699</v>
      </c>
      <c r="M954">
        <v>11.7952325422855</v>
      </c>
      <c r="N954">
        <v>56.062759256495298</v>
      </c>
      <c r="O954">
        <v>49.878801578628199</v>
      </c>
      <c r="P954">
        <v>-4.03910690679294E-2</v>
      </c>
      <c r="Q954">
        <v>0.31696502957136302</v>
      </c>
      <c r="R954">
        <v>0.97087026309121105</v>
      </c>
      <c r="S954" t="s">
        <v>4583</v>
      </c>
      <c r="T954" t="s">
        <v>7256</v>
      </c>
      <c r="U954" t="s">
        <v>7256</v>
      </c>
      <c r="V954" t="s">
        <v>7256</v>
      </c>
      <c r="W954">
        <v>4</v>
      </c>
      <c r="X954" t="s">
        <v>8210</v>
      </c>
      <c r="Y954">
        <v>0.59634491178289895</v>
      </c>
      <c r="Z954" t="str">
        <f>HYPERLINK("Melting_Curves/meltCurve_sp_P42773_CDN2C_HUMAN_.pdf", "Melting_Curves/meltCurve_sp_P42773_CDN2C_HUMAN_.pdf")</f>
        <v>Melting_Curves/meltCurve_sp_P42773_CDN2C_HUMAN_.pdf</v>
      </c>
      <c r="AA954" t="s">
        <v>11820</v>
      </c>
      <c r="AB954" t="s">
        <v>15380</v>
      </c>
    </row>
    <row r="955" spans="1:28" x14ac:dyDescent="0.25">
      <c r="A955" t="s">
        <v>959</v>
      </c>
      <c r="B955">
        <v>0.98018197421672304</v>
      </c>
      <c r="C955">
        <v>0.93515676713151996</v>
      </c>
      <c r="D955">
        <v>0.92418878672442595</v>
      </c>
      <c r="E955">
        <v>0.79994353229186199</v>
      </c>
      <c r="F955">
        <v>0.630661629923287</v>
      </c>
      <c r="G955">
        <v>0.394306093845464</v>
      </c>
      <c r="H955">
        <v>0.12698890610793601</v>
      </c>
      <c r="I955">
        <v>7.8624293893630307E-2</v>
      </c>
      <c r="J955">
        <v>8.1110551010142001E-2</v>
      </c>
      <c r="K955">
        <v>6.8691860681868805E-2</v>
      </c>
      <c r="L955">
        <v>816.50497061436204</v>
      </c>
      <c r="M955">
        <v>14.9201664866596</v>
      </c>
      <c r="N955">
        <v>54.7488536911682</v>
      </c>
      <c r="O955">
        <v>53.770070064733098</v>
      </c>
      <c r="P955">
        <v>-6.9151899158571201E-2</v>
      </c>
      <c r="Q955">
        <v>3.2501088754865399E-3</v>
      </c>
      <c r="R955">
        <v>0.99342253588985696</v>
      </c>
      <c r="S955" t="s">
        <v>4584</v>
      </c>
      <c r="T955" t="s">
        <v>7256</v>
      </c>
      <c r="U955" t="s">
        <v>7256</v>
      </c>
      <c r="V955" t="s">
        <v>7256</v>
      </c>
      <c r="W955">
        <v>7</v>
      </c>
      <c r="X955" t="s">
        <v>8211</v>
      </c>
      <c r="Y955">
        <v>0.51218784274318008</v>
      </c>
      <c r="Z955" t="str">
        <f>HYPERLINK("Melting_Curves/meltCurve_sp_P42785_PCP_HUMAN_.pdf", "Melting_Curves/meltCurve_sp_P42785_PCP_HUMAN_.pdf")</f>
        <v>Melting_Curves/meltCurve_sp_P42785_PCP_HUMAN_.pdf</v>
      </c>
      <c r="AA955" t="s">
        <v>11821</v>
      </c>
      <c r="AB955" t="s">
        <v>15381</v>
      </c>
    </row>
    <row r="956" spans="1:28" x14ac:dyDescent="0.25">
      <c r="A956" t="s">
        <v>960</v>
      </c>
      <c r="B956">
        <v>0.98018197421672304</v>
      </c>
      <c r="C956">
        <v>0.97670279726061404</v>
      </c>
      <c r="D956">
        <v>0.89822994098748299</v>
      </c>
      <c r="E956">
        <v>0.59594603432269599</v>
      </c>
      <c r="F956">
        <v>0.24087136306920301</v>
      </c>
      <c r="G956">
        <v>0.138168565274846</v>
      </c>
      <c r="H956">
        <v>9.14156199847386E-2</v>
      </c>
      <c r="I956">
        <v>7.5137900497204702E-2</v>
      </c>
      <c r="J956">
        <v>0.110274977634282</v>
      </c>
      <c r="K956">
        <v>3.5432320663650999E-2</v>
      </c>
      <c r="L956">
        <v>1274.45725076094</v>
      </c>
      <c r="M956">
        <v>25.345182323298101</v>
      </c>
      <c r="N956">
        <v>50.606115420954801</v>
      </c>
      <c r="O956">
        <v>49.974106069522797</v>
      </c>
      <c r="P956">
        <v>-0.11734816290720899</v>
      </c>
      <c r="Q956">
        <v>7.4491631300901806E-2</v>
      </c>
      <c r="R956">
        <v>0.99604283812720695</v>
      </c>
      <c r="S956" t="s">
        <v>4585</v>
      </c>
      <c r="T956" t="s">
        <v>7256</v>
      </c>
      <c r="U956" t="s">
        <v>7256</v>
      </c>
      <c r="V956" t="s">
        <v>7256</v>
      </c>
      <c r="W956">
        <v>10</v>
      </c>
      <c r="X956" t="s">
        <v>8212</v>
      </c>
      <c r="Y956">
        <v>0.39982802183398319</v>
      </c>
      <c r="Z956" t="str">
        <f>HYPERLINK("Melting_Curves/meltCurve_sp_P42858_HD_HUMAN_.pdf", "Melting_Curves/meltCurve_sp_P42858_HD_HUMAN_.pdf")</f>
        <v>Melting_Curves/meltCurve_sp_P42858_HD_HUMAN_.pdf</v>
      </c>
      <c r="AA956" t="s">
        <v>11822</v>
      </c>
      <c r="AB956" t="s">
        <v>15382</v>
      </c>
    </row>
    <row r="957" spans="1:28" x14ac:dyDescent="0.25">
      <c r="A957" t="s">
        <v>961</v>
      </c>
      <c r="B957">
        <v>0.98018197421672304</v>
      </c>
      <c r="C957">
        <v>0.96232358212529301</v>
      </c>
      <c r="D957">
        <v>0.89955042730046297</v>
      </c>
      <c r="E957">
        <v>0.72559480567337598</v>
      </c>
      <c r="F957">
        <v>0.70372143665508302</v>
      </c>
      <c r="G957">
        <v>0.56926448299677501</v>
      </c>
      <c r="H957">
        <v>0.33600317617507802</v>
      </c>
      <c r="I957">
        <v>0.20151900686421301</v>
      </c>
      <c r="J957">
        <v>6.8274581807714604E-2</v>
      </c>
      <c r="K957">
        <v>4.32964721622087E-2</v>
      </c>
      <c r="L957">
        <v>642.93147425401503</v>
      </c>
      <c r="M957">
        <v>11.3596340392559</v>
      </c>
      <c r="N957">
        <v>56.597912354840503</v>
      </c>
      <c r="O957">
        <v>54.929065285255298</v>
      </c>
      <c r="P957">
        <v>-5.1716796224494897E-2</v>
      </c>
      <c r="Q957">
        <v>0</v>
      </c>
      <c r="R957">
        <v>0.97586768624865206</v>
      </c>
      <c r="S957" t="s">
        <v>4586</v>
      </c>
      <c r="T957" t="s">
        <v>7256</v>
      </c>
      <c r="U957" t="s">
        <v>7256</v>
      </c>
      <c r="V957" t="s">
        <v>7256</v>
      </c>
      <c r="W957">
        <v>19</v>
      </c>
      <c r="X957" t="s">
        <v>8213</v>
      </c>
      <c r="Y957">
        <v>0.57167025433380969</v>
      </c>
      <c r="Z957" t="str">
        <f>HYPERLINK("Melting_Curves/meltCurve_sp_P43034_LIS1_HUMAN_.pdf", "Melting_Curves/meltCurve_sp_P43034_LIS1_HUMAN_.pdf")</f>
        <v>Melting_Curves/meltCurve_sp_P43034_LIS1_HUMAN_.pdf</v>
      </c>
      <c r="AA957" t="s">
        <v>11823</v>
      </c>
      <c r="AB957" t="s">
        <v>15383</v>
      </c>
    </row>
    <row r="958" spans="1:28" x14ac:dyDescent="0.25">
      <c r="A958" t="s">
        <v>962</v>
      </c>
      <c r="B958">
        <v>0.98018197421672304</v>
      </c>
      <c r="C958">
        <v>0.94991907302783796</v>
      </c>
      <c r="D958">
        <v>0.76902095205722798</v>
      </c>
      <c r="E958">
        <v>0.32305818321526403</v>
      </c>
      <c r="F958">
        <v>0.190288197669083</v>
      </c>
      <c r="G958">
        <v>0.12387859051078</v>
      </c>
      <c r="H958">
        <v>7.3429655382874701E-2</v>
      </c>
      <c r="I958">
        <v>5.6434247464039897E-2</v>
      </c>
      <c r="J958">
        <v>4.34912986148819E-2</v>
      </c>
      <c r="K958">
        <v>3.1118651627611401E-2</v>
      </c>
      <c r="L958">
        <v>1061.29616583866</v>
      </c>
      <c r="M958">
        <v>22.015051045308098</v>
      </c>
      <c r="N958">
        <v>48.471717429564698</v>
      </c>
      <c r="O958">
        <v>47.815275265730598</v>
      </c>
      <c r="P958">
        <v>-0.108604848846461</v>
      </c>
      <c r="Q958">
        <v>5.6490019926784603E-2</v>
      </c>
      <c r="R958">
        <v>0.99717245656776399</v>
      </c>
      <c r="S958" t="s">
        <v>4587</v>
      </c>
      <c r="T958" t="s">
        <v>7256</v>
      </c>
      <c r="U958" t="s">
        <v>7256</v>
      </c>
      <c r="V958" t="s">
        <v>7256</v>
      </c>
      <c r="W958">
        <v>22</v>
      </c>
      <c r="X958" t="s">
        <v>8214</v>
      </c>
      <c r="Y958">
        <v>0.32553397840592851</v>
      </c>
      <c r="Z958" t="str">
        <f>HYPERLINK("Melting_Curves/meltCurve_sp_P43155_2_CACP_HUMAN_.pdf", "Melting_Curves/meltCurve_sp_P43155_2_CACP_HUMAN_.pdf")</f>
        <v>Melting_Curves/meltCurve_sp_P43155_2_CACP_HUMAN_.pdf</v>
      </c>
      <c r="AA958" t="s">
        <v>11824</v>
      </c>
      <c r="AB958" t="s">
        <v>15384</v>
      </c>
    </row>
    <row r="959" spans="1:28" x14ac:dyDescent="0.25">
      <c r="A959" t="s">
        <v>963</v>
      </c>
      <c r="B959">
        <v>0.98018197421672304</v>
      </c>
      <c r="C959">
        <v>0.77276607578871803</v>
      </c>
      <c r="D959">
        <v>0.80349983433848604</v>
      </c>
      <c r="E959">
        <v>0.69594748209215396</v>
      </c>
      <c r="F959">
        <v>0.52554820330038898</v>
      </c>
      <c r="G959">
        <v>0.36025867633582698</v>
      </c>
      <c r="H959">
        <v>0.32209134835876702</v>
      </c>
      <c r="I959">
        <v>0.318900406898664</v>
      </c>
      <c r="J959">
        <v>0.38360301185047102</v>
      </c>
      <c r="K959">
        <v>0.41987629653712399</v>
      </c>
      <c r="L959">
        <v>554.93575324256994</v>
      </c>
      <c r="M959">
        <v>11.349563944280399</v>
      </c>
      <c r="N959">
        <v>53.6716061459421</v>
      </c>
      <c r="O959">
        <v>47.450745507785797</v>
      </c>
      <c r="P959">
        <v>-4.0798927676997797E-2</v>
      </c>
      <c r="Q959">
        <v>0.317908322491115</v>
      </c>
      <c r="R959">
        <v>0.92343165032635399</v>
      </c>
      <c r="S959" t="s">
        <v>4588</v>
      </c>
      <c r="T959" t="s">
        <v>7256</v>
      </c>
      <c r="U959" t="s">
        <v>7256</v>
      </c>
      <c r="V959" t="s">
        <v>7256</v>
      </c>
      <c r="W959">
        <v>5</v>
      </c>
      <c r="X959" t="s">
        <v>8215</v>
      </c>
      <c r="Y959">
        <v>0.54780188700577448</v>
      </c>
      <c r="Z959" t="str">
        <f>HYPERLINK("Melting_Curves/meltCurve_sp_P43243_MATR3_HUMAN_.pdf", "Melting_Curves/meltCurve_sp_P43243_MATR3_HUMAN_.pdf")</f>
        <v>Melting_Curves/meltCurve_sp_P43243_MATR3_HUMAN_.pdf</v>
      </c>
      <c r="AA959" t="s">
        <v>11825</v>
      </c>
      <c r="AB959" t="s">
        <v>15385</v>
      </c>
    </row>
    <row r="960" spans="1:28" x14ac:dyDescent="0.25">
      <c r="A960" t="s">
        <v>964</v>
      </c>
      <c r="B960">
        <v>0.98018197421672304</v>
      </c>
      <c r="C960">
        <v>0.67543490199496403</v>
      </c>
      <c r="D960">
        <v>0.52239591813124897</v>
      </c>
      <c r="E960">
        <v>0.289862994393152</v>
      </c>
      <c r="F960">
        <v>0.17256491625728401</v>
      </c>
      <c r="G960">
        <v>9.6511041988728105E-2</v>
      </c>
      <c r="H960">
        <v>6.6944386725533503E-2</v>
      </c>
      <c r="I960">
        <v>5.65100789616391E-2</v>
      </c>
      <c r="J960">
        <v>7.7152861968977998E-2</v>
      </c>
      <c r="K960">
        <v>6.4976776849857795E-2</v>
      </c>
      <c r="L960">
        <v>670.10132528522797</v>
      </c>
      <c r="M960">
        <v>14.6299351242365</v>
      </c>
      <c r="N960">
        <v>46.169011272231003</v>
      </c>
      <c r="O960">
        <v>44.973201312073499</v>
      </c>
      <c r="P960">
        <v>-7.6886570783680802E-2</v>
      </c>
      <c r="Q960">
        <v>5.46920830490761E-2</v>
      </c>
      <c r="R960">
        <v>0.98663520464665599</v>
      </c>
      <c r="S960" t="s">
        <v>4589</v>
      </c>
      <c r="T960" t="s">
        <v>7256</v>
      </c>
      <c r="U960" t="s">
        <v>7256</v>
      </c>
      <c r="V960" t="s">
        <v>7256</v>
      </c>
      <c r="W960">
        <v>4</v>
      </c>
      <c r="X960" t="s">
        <v>8216</v>
      </c>
      <c r="Y960">
        <v>0.267143064131658</v>
      </c>
      <c r="Z960" t="str">
        <f>HYPERLINK("Melting_Curves/meltCurve_sp_P43246_MSH2_HUMAN_.pdf", "Melting_Curves/meltCurve_sp_P43246_MSH2_HUMAN_.pdf")</f>
        <v>Melting_Curves/meltCurve_sp_P43246_MSH2_HUMAN_.pdf</v>
      </c>
      <c r="AA960" t="s">
        <v>11826</v>
      </c>
      <c r="AB960" t="s">
        <v>15386</v>
      </c>
    </row>
    <row r="961" spans="1:28" x14ac:dyDescent="0.25">
      <c r="A961" t="s">
        <v>965</v>
      </c>
      <c r="B961">
        <v>0.98018197421672304</v>
      </c>
      <c r="C961">
        <v>1.0114508576250001</v>
      </c>
      <c r="D961">
        <v>0.89825914031794296</v>
      </c>
      <c r="E961">
        <v>0.80486939862025997</v>
      </c>
      <c r="F961">
        <v>0.84795447784466005</v>
      </c>
      <c r="G961">
        <v>0.82173993115606703</v>
      </c>
      <c r="H961">
        <v>0.50393007065844198</v>
      </c>
      <c r="I961">
        <v>0.57194257645605895</v>
      </c>
      <c r="J961">
        <v>0.90897254426591101</v>
      </c>
      <c r="K961">
        <v>1.0131617706077301</v>
      </c>
      <c r="L961">
        <v>1119.26052794973</v>
      </c>
      <c r="M961">
        <v>23.818867664131702</v>
      </c>
      <c r="O961">
        <v>46.6630434550218</v>
      </c>
      <c r="P961">
        <v>-2.90807389491025E-2</v>
      </c>
      <c r="Q961">
        <v>0.77211788272448001</v>
      </c>
      <c r="R961">
        <v>0.279423994175933</v>
      </c>
      <c r="S961" t="s">
        <v>4590</v>
      </c>
      <c r="T961" t="s">
        <v>7256</v>
      </c>
      <c r="U961" t="s">
        <v>7256</v>
      </c>
      <c r="V961" t="s">
        <v>7256</v>
      </c>
      <c r="W961">
        <v>8</v>
      </c>
      <c r="X961" t="s">
        <v>8217</v>
      </c>
      <c r="Y961">
        <v>0.82748309250364982</v>
      </c>
      <c r="Z961" t="str">
        <f>HYPERLINK("Melting_Curves/meltCurve_sp_P43487_RANG_HUMAN_.pdf", "Melting_Curves/meltCurve_sp_P43487_RANG_HUMAN_.pdf")</f>
        <v>Melting_Curves/meltCurve_sp_P43487_RANG_HUMAN_.pdf</v>
      </c>
      <c r="AA961" t="s">
        <v>11827</v>
      </c>
      <c r="AB961" t="s">
        <v>15387</v>
      </c>
    </row>
    <row r="962" spans="1:28" x14ac:dyDescent="0.25">
      <c r="A962" t="s">
        <v>966</v>
      </c>
      <c r="B962">
        <v>0.98018197421672304</v>
      </c>
      <c r="C962">
        <v>0.96812242767326495</v>
      </c>
      <c r="D962">
        <v>0.96494150736408901</v>
      </c>
      <c r="E962">
        <v>0.89923689556508102</v>
      </c>
      <c r="F962">
        <v>0.79239320951624503</v>
      </c>
      <c r="G962">
        <v>0.49360919489658001</v>
      </c>
      <c r="H962">
        <v>0.146614414054165</v>
      </c>
      <c r="I962">
        <v>0.10663929938125</v>
      </c>
      <c r="J962">
        <v>8.0231690129789507E-2</v>
      </c>
      <c r="K962">
        <v>4.8333211151382498E-2</v>
      </c>
      <c r="L962">
        <v>1143.39390262188</v>
      </c>
      <c r="M962">
        <v>20.278295563387999</v>
      </c>
      <c r="N962">
        <v>56.524174459998399</v>
      </c>
      <c r="O962">
        <v>55.845357392200597</v>
      </c>
      <c r="P962">
        <v>-8.85725829878794E-2</v>
      </c>
      <c r="Q962">
        <v>2.4333168004619699E-2</v>
      </c>
      <c r="R962">
        <v>0.99538718626216105</v>
      </c>
      <c r="S962" t="s">
        <v>4591</v>
      </c>
      <c r="T962" t="s">
        <v>7256</v>
      </c>
      <c r="U962" t="s">
        <v>7256</v>
      </c>
      <c r="V962" t="s">
        <v>7256</v>
      </c>
      <c r="W962">
        <v>23</v>
      </c>
      <c r="X962" t="s">
        <v>8218</v>
      </c>
      <c r="Y962">
        <v>0.56934645118299765</v>
      </c>
      <c r="Z962" t="str">
        <f>HYPERLINK("Melting_Curves/meltCurve_sp_P43490_NAMPT_HUMAN_.pdf", "Melting_Curves/meltCurve_sp_P43490_NAMPT_HUMAN_.pdf")</f>
        <v>Melting_Curves/meltCurve_sp_P43490_NAMPT_HUMAN_.pdf</v>
      </c>
      <c r="AA962" t="s">
        <v>11828</v>
      </c>
      <c r="AB962" t="s">
        <v>15388</v>
      </c>
    </row>
    <row r="963" spans="1:28" x14ac:dyDescent="0.25">
      <c r="A963" t="s">
        <v>967</v>
      </c>
      <c r="B963">
        <v>0.98018197421672304</v>
      </c>
      <c r="C963">
        <v>0.92112689131109105</v>
      </c>
      <c r="D963">
        <v>0.84184754591557798</v>
      </c>
      <c r="E963">
        <v>0.75292027022547003</v>
      </c>
      <c r="F963">
        <v>0.64378803816603003</v>
      </c>
      <c r="G963">
        <v>0.54432006919131104</v>
      </c>
      <c r="H963">
        <v>0.43086893266105503</v>
      </c>
      <c r="I963">
        <v>0.41246731863785602</v>
      </c>
      <c r="J963">
        <v>0.39904841217728299</v>
      </c>
      <c r="K963">
        <v>0.296885261749959</v>
      </c>
      <c r="L963">
        <v>439.61045409896002</v>
      </c>
      <c r="M963">
        <v>8.0757375260953204</v>
      </c>
      <c r="N963">
        <v>58.633757279003198</v>
      </c>
      <c r="O963">
        <v>51.402797218657597</v>
      </c>
      <c r="P963">
        <v>-3.0687454711470299E-2</v>
      </c>
      <c r="Q963">
        <v>0.21953847415515501</v>
      </c>
      <c r="R963">
        <v>0.99245356072258295</v>
      </c>
      <c r="S963" t="s">
        <v>4592</v>
      </c>
      <c r="T963" t="s">
        <v>7256</v>
      </c>
      <c r="U963" t="s">
        <v>7256</v>
      </c>
      <c r="V963" t="s">
        <v>7256</v>
      </c>
      <c r="W963">
        <v>5</v>
      </c>
      <c r="X963" t="s">
        <v>8219</v>
      </c>
      <c r="Y963">
        <v>0.61931965832851277</v>
      </c>
      <c r="Z963" t="str">
        <f>HYPERLINK("Melting_Curves/meltCurve_sp_P43652_AFAM_HUMAN_.pdf", "Melting_Curves/meltCurve_sp_P43652_AFAM_HUMAN_.pdf")</f>
        <v>Melting_Curves/meltCurve_sp_P43652_AFAM_HUMAN_.pdf</v>
      </c>
      <c r="AA963" t="s">
        <v>11829</v>
      </c>
      <c r="AB963" t="s">
        <v>15389</v>
      </c>
    </row>
    <row r="964" spans="1:28" x14ac:dyDescent="0.25">
      <c r="A964" t="s">
        <v>968</v>
      </c>
      <c r="B964">
        <v>0.98018197421672304</v>
      </c>
      <c r="C964">
        <v>0.85080542110299395</v>
      </c>
      <c r="D964">
        <v>0.61303610824463095</v>
      </c>
      <c r="E964">
        <v>0.290598024645638</v>
      </c>
      <c r="F964">
        <v>0.13980431828892201</v>
      </c>
      <c r="G964">
        <v>8.4617962061493704E-2</v>
      </c>
      <c r="H964">
        <v>6.2731069903548098E-2</v>
      </c>
      <c r="I964">
        <v>5.5767437108887E-2</v>
      </c>
      <c r="J964">
        <v>6.11352922817485E-2</v>
      </c>
      <c r="K964">
        <v>6.3165256306372403E-2</v>
      </c>
      <c r="L964">
        <v>880.551711527208</v>
      </c>
      <c r="M964">
        <v>18.7704811130167</v>
      </c>
      <c r="N964">
        <v>47.195976937063101</v>
      </c>
      <c r="O964">
        <v>46.388793312268199</v>
      </c>
      <c r="P964">
        <v>-9.5752064443791196E-2</v>
      </c>
      <c r="Q964">
        <v>5.34846831201779E-2</v>
      </c>
      <c r="R964">
        <v>0.99938603078671395</v>
      </c>
      <c r="S964" t="s">
        <v>4593</v>
      </c>
      <c r="T964" t="s">
        <v>7256</v>
      </c>
      <c r="U964" t="s">
        <v>7256</v>
      </c>
      <c r="V964" t="s">
        <v>7256</v>
      </c>
      <c r="W964">
        <v>15</v>
      </c>
      <c r="X964" t="s">
        <v>8220</v>
      </c>
      <c r="Y964">
        <v>0.28754718347392239</v>
      </c>
      <c r="Z964" t="str">
        <f>HYPERLINK("Melting_Curves/meltCurve_sp_P43686_PRS6B_HUMAN_.pdf", "Melting_Curves/meltCurve_sp_P43686_PRS6B_HUMAN_.pdf")</f>
        <v>Melting_Curves/meltCurve_sp_P43686_PRS6B_HUMAN_.pdf</v>
      </c>
      <c r="AA964" t="s">
        <v>11830</v>
      </c>
      <c r="AB964" t="s">
        <v>15390</v>
      </c>
    </row>
    <row r="965" spans="1:28" x14ac:dyDescent="0.25">
      <c r="A965" t="s">
        <v>969</v>
      </c>
      <c r="B965">
        <v>0.98018197421672304</v>
      </c>
      <c r="C965">
        <v>0.88202287705570803</v>
      </c>
      <c r="D965">
        <v>0.53852783409337601</v>
      </c>
      <c r="E965">
        <v>0.20997557572183201</v>
      </c>
      <c r="F965">
        <v>0.12328613499360901</v>
      </c>
      <c r="G965">
        <v>8.4587704700020999E-2</v>
      </c>
      <c r="H965">
        <v>6.5573033555605995E-2</v>
      </c>
      <c r="I965">
        <v>5.9255844242504102E-2</v>
      </c>
      <c r="J965">
        <v>6.2914204245088895E-2</v>
      </c>
      <c r="K965">
        <v>3.6142866308866602E-2</v>
      </c>
      <c r="L965">
        <v>1056.85604665044</v>
      </c>
      <c r="M965">
        <v>22.866698062935601</v>
      </c>
      <c r="N965">
        <v>46.482243617915202</v>
      </c>
      <c r="O965">
        <v>45.869025636922203</v>
      </c>
      <c r="P965">
        <v>-0.117040220913616</v>
      </c>
      <c r="Q965">
        <v>6.0919696830577602E-2</v>
      </c>
      <c r="R965">
        <v>0.99852521361509805</v>
      </c>
      <c r="S965" t="s">
        <v>4594</v>
      </c>
      <c r="T965" t="s">
        <v>7256</v>
      </c>
      <c r="U965" t="s">
        <v>7256</v>
      </c>
      <c r="V965" t="s">
        <v>7256</v>
      </c>
      <c r="W965">
        <v>9</v>
      </c>
      <c r="X965" t="s">
        <v>8221</v>
      </c>
      <c r="Y965">
        <v>0.26609565472122843</v>
      </c>
      <c r="Z965" t="str">
        <f>HYPERLINK("Melting_Curves/meltCurve_sp_P43897_EFTS_HUMAN_.pdf", "Melting_Curves/meltCurve_sp_P43897_EFTS_HUMAN_.pdf")</f>
        <v>Melting_Curves/meltCurve_sp_P43897_EFTS_HUMAN_.pdf</v>
      </c>
      <c r="AA965" t="s">
        <v>11831</v>
      </c>
      <c r="AB965" t="s">
        <v>15391</v>
      </c>
    </row>
    <row r="966" spans="1:28" x14ac:dyDescent="0.25">
      <c r="A966" t="s">
        <v>970</v>
      </c>
      <c r="B966">
        <v>0.98018197421672304</v>
      </c>
      <c r="C966">
        <v>1.00809579063037</v>
      </c>
      <c r="D966">
        <v>0.954119838850505</v>
      </c>
      <c r="E966">
        <v>0.82087652563173297</v>
      </c>
      <c r="F966">
        <v>0.707761380580329</v>
      </c>
      <c r="G966">
        <v>0.34430641403621298</v>
      </c>
      <c r="H966">
        <v>9.0194791814885406E-2</v>
      </c>
      <c r="I966">
        <v>5.84904922455367E-2</v>
      </c>
      <c r="J966">
        <v>8.8550007988455207E-2</v>
      </c>
      <c r="K966">
        <v>4.3917850216509499E-2</v>
      </c>
      <c r="L966">
        <v>1080.27747137965</v>
      </c>
      <c r="M966">
        <v>19.715626002119201</v>
      </c>
      <c r="N966">
        <v>54.922406771052103</v>
      </c>
      <c r="O966">
        <v>54.2385889307008</v>
      </c>
      <c r="P966">
        <v>-8.88144951535174E-2</v>
      </c>
      <c r="Q966">
        <v>2.2702661941650298E-2</v>
      </c>
      <c r="R966">
        <v>0.99399224250130802</v>
      </c>
      <c r="S966" t="s">
        <v>4595</v>
      </c>
      <c r="T966" t="s">
        <v>7256</v>
      </c>
      <c r="U966" t="s">
        <v>7256</v>
      </c>
      <c r="V966" t="s">
        <v>7256</v>
      </c>
      <c r="W966">
        <v>5</v>
      </c>
      <c r="X966" t="s">
        <v>8222</v>
      </c>
      <c r="Y966">
        <v>0.51797251051194892</v>
      </c>
      <c r="Z966" t="str">
        <f>HYPERLINK("Melting_Curves/meltCurve_sp_P45381_ACY2_HUMAN_.pdf", "Melting_Curves/meltCurve_sp_P45381_ACY2_HUMAN_.pdf")</f>
        <v>Melting_Curves/meltCurve_sp_P45381_ACY2_HUMAN_.pdf</v>
      </c>
      <c r="AA966" t="s">
        <v>11832</v>
      </c>
      <c r="AB966" t="s">
        <v>15392</v>
      </c>
    </row>
    <row r="967" spans="1:28" x14ac:dyDescent="0.25">
      <c r="A967" t="s">
        <v>971</v>
      </c>
      <c r="B967">
        <v>0.98018197421672304</v>
      </c>
      <c r="C967">
        <v>0.87254259598746997</v>
      </c>
      <c r="D967">
        <v>0.85151897761975504</v>
      </c>
      <c r="E967">
        <v>0.52482969057624496</v>
      </c>
      <c r="F967">
        <v>0.31004659810812701</v>
      </c>
      <c r="G967">
        <v>0.187131937377157</v>
      </c>
      <c r="H967">
        <v>9.9966093557158894E-2</v>
      </c>
      <c r="I967">
        <v>6.16244947960113E-2</v>
      </c>
      <c r="J967">
        <v>4.9192821277598199E-2</v>
      </c>
      <c r="K967">
        <v>3.4920324867515298E-2</v>
      </c>
      <c r="L967">
        <v>751.09601813991799</v>
      </c>
      <c r="M967">
        <v>14.951767337342901</v>
      </c>
      <c r="N967">
        <v>50.424257155817202</v>
      </c>
      <c r="O967">
        <v>49.361675983710398</v>
      </c>
      <c r="P967">
        <v>-7.3662562925415398E-2</v>
      </c>
      <c r="Q967">
        <v>2.7342782414563602E-2</v>
      </c>
      <c r="R967">
        <v>0.99490332686977201</v>
      </c>
      <c r="S967" t="s">
        <v>4596</v>
      </c>
      <c r="T967" t="s">
        <v>7256</v>
      </c>
      <c r="U967" t="s">
        <v>7256</v>
      </c>
      <c r="V967" t="s">
        <v>7256</v>
      </c>
      <c r="W967">
        <v>24</v>
      </c>
      <c r="X967" t="s">
        <v>8223</v>
      </c>
      <c r="Y967">
        <v>0.38231844457065067</v>
      </c>
      <c r="Z967" t="str">
        <f>HYPERLINK("Melting_Curves/meltCurve_sp_P45954_ACDSB_HUMAN_.pdf", "Melting_Curves/meltCurve_sp_P45954_ACDSB_HUMAN_.pdf")</f>
        <v>Melting_Curves/meltCurve_sp_P45954_ACDSB_HUMAN_.pdf</v>
      </c>
      <c r="AA967" t="s">
        <v>11833</v>
      </c>
      <c r="AB967" t="s">
        <v>15393</v>
      </c>
    </row>
    <row r="968" spans="1:28" x14ac:dyDescent="0.25">
      <c r="A968" t="s">
        <v>972</v>
      </c>
      <c r="B968">
        <v>0.98018197421672304</v>
      </c>
      <c r="C968">
        <v>0.93884252763516796</v>
      </c>
      <c r="D968">
        <v>0.89308811484905004</v>
      </c>
      <c r="E968">
        <v>0.79654063187528101</v>
      </c>
      <c r="F968">
        <v>0.61629929630969005</v>
      </c>
      <c r="G968">
        <v>0.25154372508685502</v>
      </c>
      <c r="H968">
        <v>8.6778379203430595E-2</v>
      </c>
      <c r="I968">
        <v>6.1656517473680103E-2</v>
      </c>
      <c r="J968">
        <v>7.5614394399917906E-2</v>
      </c>
      <c r="K968">
        <v>4.7154477172561202E-2</v>
      </c>
      <c r="L968">
        <v>986.29700504483299</v>
      </c>
      <c r="M968">
        <v>18.358013460929801</v>
      </c>
      <c r="N968">
        <v>53.8550696529256</v>
      </c>
      <c r="O968">
        <v>53.100356929719901</v>
      </c>
      <c r="P968">
        <v>-8.45701775102288E-2</v>
      </c>
      <c r="Q968">
        <v>2.1571204134389298E-2</v>
      </c>
      <c r="R968">
        <v>0.99205068692006204</v>
      </c>
      <c r="S968" t="s">
        <v>4597</v>
      </c>
      <c r="T968" t="s">
        <v>7256</v>
      </c>
      <c r="U968" t="s">
        <v>7256</v>
      </c>
      <c r="V968" t="s">
        <v>7256</v>
      </c>
      <c r="W968">
        <v>18</v>
      </c>
      <c r="X968" t="s">
        <v>8224</v>
      </c>
      <c r="Y968">
        <v>0.48452531036778479</v>
      </c>
      <c r="Z968" t="str">
        <f>HYPERLINK("Melting_Curves/meltCurve_sp_P45974_2_UBP5_HUMAN_.pdf", "Melting_Curves/meltCurve_sp_P45974_2_UBP5_HUMAN_.pdf")</f>
        <v>Melting_Curves/meltCurve_sp_P45974_2_UBP5_HUMAN_.pdf</v>
      </c>
      <c r="AA968" t="s">
        <v>11834</v>
      </c>
      <c r="AB968" t="s">
        <v>15394</v>
      </c>
    </row>
    <row r="969" spans="1:28" x14ac:dyDescent="0.25">
      <c r="A969" t="s">
        <v>973</v>
      </c>
      <c r="B969">
        <v>0.98018197421672304</v>
      </c>
      <c r="C969">
        <v>0.81078502493568005</v>
      </c>
      <c r="D969">
        <v>0.79196174210790404</v>
      </c>
      <c r="E969">
        <v>0.65518585551162101</v>
      </c>
      <c r="F969">
        <v>0.52575040818643404</v>
      </c>
      <c r="G969">
        <v>0.36180250897963601</v>
      </c>
      <c r="H969">
        <v>0.218691461559407</v>
      </c>
      <c r="I969">
        <v>0</v>
      </c>
      <c r="J969">
        <v>0.111721646064441</v>
      </c>
      <c r="K969">
        <v>7.1515294623525197E-2</v>
      </c>
      <c r="L969">
        <v>533.62408657188405</v>
      </c>
      <c r="M969">
        <v>10.1275123738383</v>
      </c>
      <c r="N969">
        <v>52.690536269907597</v>
      </c>
      <c r="O969">
        <v>50.759974633749998</v>
      </c>
      <c r="P969">
        <v>-4.9902548438093698E-2</v>
      </c>
      <c r="Q969">
        <v>0</v>
      </c>
      <c r="R969">
        <v>0.96754653667567903</v>
      </c>
      <c r="S969" t="s">
        <v>4598</v>
      </c>
      <c r="T969" t="s">
        <v>7256</v>
      </c>
      <c r="U969" t="s">
        <v>7256</v>
      </c>
      <c r="V969" t="s">
        <v>7256</v>
      </c>
      <c r="W969">
        <v>4</v>
      </c>
      <c r="X969" t="s">
        <v>8225</v>
      </c>
      <c r="Y969">
        <v>0.4579798227101799</v>
      </c>
      <c r="Z969" t="str">
        <f>HYPERLINK("Melting_Curves/meltCurve_sp_P45984_2_MK09_HUMAN_.pdf", "Melting_Curves/meltCurve_sp_P45984_2_MK09_HUMAN_.pdf")</f>
        <v>Melting_Curves/meltCurve_sp_P45984_2_MK09_HUMAN_.pdf</v>
      </c>
      <c r="AA969" t="s">
        <v>11835</v>
      </c>
      <c r="AB969" t="s">
        <v>15395</v>
      </c>
    </row>
    <row r="970" spans="1:28" x14ac:dyDescent="0.25">
      <c r="A970" t="s">
        <v>974</v>
      </c>
      <c r="B970">
        <v>0.98018197421672304</v>
      </c>
      <c r="C970">
        <v>0.83706174842747405</v>
      </c>
      <c r="D970">
        <v>0.59806796639700499</v>
      </c>
      <c r="E970">
        <v>0.31872224171567798</v>
      </c>
      <c r="F970">
        <v>0.24073107792898299</v>
      </c>
      <c r="G970">
        <v>0.14493230488926501</v>
      </c>
      <c r="H970">
        <v>0.113926247099105</v>
      </c>
      <c r="I970">
        <v>0.100455902716007</v>
      </c>
      <c r="J970">
        <v>0.10805147921526401</v>
      </c>
      <c r="K970">
        <v>9.9490081208101905E-2</v>
      </c>
      <c r="L970">
        <v>782.00512988282799</v>
      </c>
      <c r="M970">
        <v>16.7279048936715</v>
      </c>
      <c r="N970">
        <v>47.386596026782001</v>
      </c>
      <c r="O970">
        <v>46.095780343895498</v>
      </c>
      <c r="P970">
        <v>-8.1580650703349702E-2</v>
      </c>
      <c r="Q970">
        <v>0.10083757386558199</v>
      </c>
      <c r="R970">
        <v>0.99772475535410499</v>
      </c>
      <c r="S970" t="s">
        <v>4599</v>
      </c>
      <c r="T970" t="s">
        <v>7256</v>
      </c>
      <c r="U970" t="s">
        <v>7256</v>
      </c>
      <c r="V970" t="s">
        <v>7256</v>
      </c>
      <c r="W970">
        <v>3</v>
      </c>
      <c r="X970" t="s">
        <v>8226</v>
      </c>
      <c r="Y970">
        <v>0.32282017946939578</v>
      </c>
      <c r="Z970" t="str">
        <f>HYPERLINK("Melting_Curves/meltCurve_sp_P45985_MP2K4_HUMAN_.pdf", "Melting_Curves/meltCurve_sp_P45985_MP2K4_HUMAN_.pdf")</f>
        <v>Melting_Curves/meltCurve_sp_P45985_MP2K4_HUMAN_.pdf</v>
      </c>
      <c r="AA970" t="s">
        <v>11836</v>
      </c>
      <c r="AB970" t="s">
        <v>15396</v>
      </c>
    </row>
    <row r="971" spans="1:28" x14ac:dyDescent="0.25">
      <c r="A971" t="s">
        <v>975</v>
      </c>
      <c r="B971">
        <v>0.98018197421672304</v>
      </c>
      <c r="C971">
        <v>1.0836850395361499</v>
      </c>
      <c r="D971">
        <v>0.89786502618161301</v>
      </c>
      <c r="E971">
        <v>0.79212604484300897</v>
      </c>
      <c r="F971">
        <v>0.52575038241545202</v>
      </c>
      <c r="G971">
        <v>0.36585677824475998</v>
      </c>
      <c r="H971">
        <v>0.34762545571557102</v>
      </c>
      <c r="I971">
        <v>0.388159226783519</v>
      </c>
      <c r="J971">
        <v>0.43747428629551399</v>
      </c>
      <c r="K971">
        <v>0.61286929230992704</v>
      </c>
      <c r="L971">
        <v>1834.71030657139</v>
      </c>
      <c r="M971">
        <v>36.237390187113</v>
      </c>
      <c r="N971">
        <v>53.5211581823865</v>
      </c>
      <c r="O971">
        <v>50.4768647326094</v>
      </c>
      <c r="P971">
        <v>-0.102412466619038</v>
      </c>
      <c r="Q971">
        <v>0.42938008041060799</v>
      </c>
      <c r="R971">
        <v>0.90733838238323605</v>
      </c>
      <c r="S971" t="s">
        <v>4600</v>
      </c>
      <c r="T971" t="s">
        <v>7256</v>
      </c>
      <c r="U971" t="s">
        <v>7256</v>
      </c>
      <c r="V971" t="s">
        <v>7256</v>
      </c>
      <c r="W971">
        <v>1</v>
      </c>
      <c r="X971" t="s">
        <v>8227</v>
      </c>
      <c r="Y971">
        <v>0.63401295089645826</v>
      </c>
      <c r="Z971" t="str">
        <f>HYPERLINK("Melting_Curves/meltCurve_sp_P46013_2_KI67_HUMAN_.pdf", "Melting_Curves/meltCurve_sp_P46013_2_KI67_HUMAN_.pdf")</f>
        <v>Melting_Curves/meltCurve_sp_P46013_2_KI67_HUMAN_.pdf</v>
      </c>
      <c r="AA971" t="s">
        <v>11837</v>
      </c>
      <c r="AB971" t="s">
        <v>15397</v>
      </c>
    </row>
    <row r="972" spans="1:28" x14ac:dyDescent="0.25">
      <c r="A972" t="s">
        <v>976</v>
      </c>
      <c r="B972">
        <v>0.98018197421672304</v>
      </c>
      <c r="C972">
        <v>0.87091372496336406</v>
      </c>
      <c r="D972">
        <v>0.72701236878514897</v>
      </c>
      <c r="E972">
        <v>0.33749519338393402</v>
      </c>
      <c r="F972">
        <v>0.199666456687458</v>
      </c>
      <c r="G972">
        <v>0.129392438855395</v>
      </c>
      <c r="H972">
        <v>7.6559484307977405E-2</v>
      </c>
      <c r="I972">
        <v>6.3149516105304102E-2</v>
      </c>
      <c r="J972">
        <v>6.3512725536993803E-2</v>
      </c>
      <c r="K972">
        <v>4.0780861052682998E-2</v>
      </c>
      <c r="L972">
        <v>861.38784535899197</v>
      </c>
      <c r="M972">
        <v>17.966262071303799</v>
      </c>
      <c r="N972">
        <v>48.255376487689198</v>
      </c>
      <c r="O972">
        <v>47.362618634683599</v>
      </c>
      <c r="P972">
        <v>-8.9659240548412497E-2</v>
      </c>
      <c r="Q972">
        <v>5.4609527171649401E-2</v>
      </c>
      <c r="R972">
        <v>0.99757631687302795</v>
      </c>
      <c r="S972" t="s">
        <v>4601</v>
      </c>
      <c r="T972" t="s">
        <v>7256</v>
      </c>
      <c r="U972" t="s">
        <v>7256</v>
      </c>
      <c r="V972" t="s">
        <v>7256</v>
      </c>
      <c r="W972">
        <v>14</v>
      </c>
      <c r="X972" t="s">
        <v>8228</v>
      </c>
      <c r="Y972">
        <v>0.32184066591464439</v>
      </c>
      <c r="Z972" t="str">
        <f>HYPERLINK("Melting_Curves/meltCurve_sp_P46019_KPB2_HUMAN_.pdf", "Melting_Curves/meltCurve_sp_P46019_KPB2_HUMAN_.pdf")</f>
        <v>Melting_Curves/meltCurve_sp_P46019_KPB2_HUMAN_.pdf</v>
      </c>
      <c r="AA972" t="s">
        <v>11838</v>
      </c>
      <c r="AB972" t="s">
        <v>15398</v>
      </c>
    </row>
    <row r="973" spans="1:28" x14ac:dyDescent="0.25">
      <c r="A973" t="s">
        <v>977</v>
      </c>
      <c r="B973">
        <v>0.98018197421672304</v>
      </c>
      <c r="C973">
        <v>0.96515367969380805</v>
      </c>
      <c r="D973">
        <v>0.91759899129414602</v>
      </c>
      <c r="E973">
        <v>0.76792787520898598</v>
      </c>
      <c r="F973">
        <v>0.38200318320733401</v>
      </c>
      <c r="G973">
        <v>0.12809461641881201</v>
      </c>
      <c r="H973">
        <v>6.6699193783405303E-2</v>
      </c>
      <c r="I973">
        <v>4.9989690370555701E-2</v>
      </c>
      <c r="J973">
        <v>5.7217522329426403E-2</v>
      </c>
      <c r="K973">
        <v>4.3398015627175802E-2</v>
      </c>
      <c r="L973">
        <v>1372.3114496933399</v>
      </c>
      <c r="M973">
        <v>26.4442339897107</v>
      </c>
      <c r="N973">
        <v>52.086591600450703</v>
      </c>
      <c r="O973">
        <v>51.600504343481802</v>
      </c>
      <c r="P973">
        <v>-0.122170205430652</v>
      </c>
      <c r="Q973">
        <v>4.6449761204819799E-2</v>
      </c>
      <c r="R973">
        <v>0.99698639098431396</v>
      </c>
      <c r="S973" t="s">
        <v>4602</v>
      </c>
      <c r="T973" t="s">
        <v>7256</v>
      </c>
      <c r="U973" t="s">
        <v>7256</v>
      </c>
      <c r="V973" t="s">
        <v>7256</v>
      </c>
      <c r="W973">
        <v>14</v>
      </c>
      <c r="X973" t="s">
        <v>8229</v>
      </c>
      <c r="Y973">
        <v>0.43231596872562628</v>
      </c>
      <c r="Z973" t="str">
        <f>HYPERLINK("Melting_Curves/meltCurve_sp_P46060_RAGP1_HUMAN_.pdf", "Melting_Curves/meltCurve_sp_P46060_RAGP1_HUMAN_.pdf")</f>
        <v>Melting_Curves/meltCurve_sp_P46060_RAGP1_HUMAN_.pdf</v>
      </c>
      <c r="AA973" t="s">
        <v>11839</v>
      </c>
      <c r="AB973" t="s">
        <v>15399</v>
      </c>
    </row>
    <row r="974" spans="1:28" x14ac:dyDescent="0.25">
      <c r="A974" t="s">
        <v>978</v>
      </c>
      <c r="B974">
        <v>0.98018197421672304</v>
      </c>
      <c r="C974">
        <v>0.897916713086228</v>
      </c>
      <c r="D974">
        <v>0.83542173032991596</v>
      </c>
      <c r="E974">
        <v>0.55852071780742896</v>
      </c>
      <c r="F974">
        <v>0.21567417797063401</v>
      </c>
      <c r="G974">
        <v>0.130436650292062</v>
      </c>
      <c r="H974">
        <v>7.6476491842338498E-2</v>
      </c>
      <c r="I974">
        <v>5.9893306690449198E-2</v>
      </c>
      <c r="J974">
        <v>5.8180711972947302E-2</v>
      </c>
      <c r="K974">
        <v>3.0536371253153401E-2</v>
      </c>
      <c r="L974">
        <v>944.35111015230495</v>
      </c>
      <c r="M974">
        <v>18.938694177415002</v>
      </c>
      <c r="N974">
        <v>50.078551134270597</v>
      </c>
      <c r="O974">
        <v>49.317608039794102</v>
      </c>
      <c r="P974">
        <v>-9.2259421944473105E-2</v>
      </c>
      <c r="Q974">
        <v>3.9040241793449199E-2</v>
      </c>
      <c r="R974">
        <v>0.99247315477589904</v>
      </c>
      <c r="S974" t="s">
        <v>4603</v>
      </c>
      <c r="T974" t="s">
        <v>7256</v>
      </c>
      <c r="U974" t="s">
        <v>7256</v>
      </c>
      <c r="V974" t="s">
        <v>7256</v>
      </c>
      <c r="W974">
        <v>8</v>
      </c>
      <c r="X974" t="s">
        <v>8230</v>
      </c>
      <c r="Y974">
        <v>0.36987734686309959</v>
      </c>
      <c r="Z974" t="str">
        <f>HYPERLINK("Melting_Curves/meltCurve_sp_P46063_RECQ1_HUMAN_.pdf", "Melting_Curves/meltCurve_sp_P46063_RECQ1_HUMAN_.pdf")</f>
        <v>Melting_Curves/meltCurve_sp_P46063_RECQ1_HUMAN_.pdf</v>
      </c>
      <c r="AA974" t="s">
        <v>11840</v>
      </c>
      <c r="AB974" t="s">
        <v>15400</v>
      </c>
    </row>
    <row r="975" spans="1:28" x14ac:dyDescent="0.25">
      <c r="A975" t="s">
        <v>979</v>
      </c>
      <c r="B975">
        <v>0.98018197421672304</v>
      </c>
      <c r="C975">
        <v>1.0349740515378001</v>
      </c>
      <c r="D975">
        <v>0.94083654613908796</v>
      </c>
      <c r="E975">
        <v>0.80958647787060101</v>
      </c>
      <c r="F975">
        <v>0.79468793054948705</v>
      </c>
      <c r="G975">
        <v>0.77681200256147598</v>
      </c>
      <c r="H975">
        <v>0.62594493969964404</v>
      </c>
      <c r="I975">
        <v>0.66789522057484696</v>
      </c>
      <c r="J975">
        <v>0.82969906622692602</v>
      </c>
      <c r="K975">
        <v>0.85694627383132604</v>
      </c>
      <c r="L975">
        <v>1410.3962640576401</v>
      </c>
      <c r="M975">
        <v>29.318019108725199</v>
      </c>
      <c r="O975">
        <v>47.884656321954502</v>
      </c>
      <c r="P975">
        <v>-3.75792320852915E-2</v>
      </c>
      <c r="Q975">
        <v>0.75449149318089304</v>
      </c>
      <c r="R975">
        <v>0.70962615829459597</v>
      </c>
      <c r="S975" t="s">
        <v>4604</v>
      </c>
      <c r="T975" t="s">
        <v>7256</v>
      </c>
      <c r="U975" t="s">
        <v>7256</v>
      </c>
      <c r="V975" t="s">
        <v>7256</v>
      </c>
      <c r="W975">
        <v>4</v>
      </c>
      <c r="X975" t="s">
        <v>8231</v>
      </c>
      <c r="Y975">
        <v>0.82238624541102157</v>
      </c>
      <c r="Z975" t="str">
        <f>HYPERLINK("Melting_Curves/meltCurve_sp_P46087_2_NOP2_HUMAN_.pdf", "Melting_Curves/meltCurve_sp_P46087_2_NOP2_HUMAN_.pdf")</f>
        <v>Melting_Curves/meltCurve_sp_P46087_2_NOP2_HUMAN_.pdf</v>
      </c>
      <c r="AA975" t="s">
        <v>11841</v>
      </c>
      <c r="AB975" t="s">
        <v>15401</v>
      </c>
    </row>
    <row r="976" spans="1:28" x14ac:dyDescent="0.25">
      <c r="A976" t="s">
        <v>980</v>
      </c>
      <c r="B976">
        <v>0.98018197421672304</v>
      </c>
      <c r="C976">
        <v>0.85550717364071904</v>
      </c>
      <c r="D976">
        <v>0.82495857280040596</v>
      </c>
      <c r="E976">
        <v>0.68828154756271198</v>
      </c>
      <c r="F976">
        <v>0.38263237338766098</v>
      </c>
      <c r="G976">
        <v>0.34187101918082702</v>
      </c>
      <c r="H976">
        <v>0.16500716391074099</v>
      </c>
      <c r="I976">
        <v>7.3251306623578594E-2</v>
      </c>
      <c r="J976">
        <v>0</v>
      </c>
      <c r="K976">
        <v>0</v>
      </c>
      <c r="L976">
        <v>625.06690001305901</v>
      </c>
      <c r="M976">
        <v>11.983908057767399</v>
      </c>
      <c r="N976">
        <v>52.158830176877998</v>
      </c>
      <c r="O976">
        <v>50.770128417019698</v>
      </c>
      <c r="P976">
        <v>-5.9024924847169598E-2</v>
      </c>
      <c r="Q976">
        <v>0</v>
      </c>
      <c r="R976">
        <v>0.97866684367748402</v>
      </c>
      <c r="S976" t="s">
        <v>4605</v>
      </c>
      <c r="T976" t="s">
        <v>7256</v>
      </c>
      <c r="U976" t="s">
        <v>7256</v>
      </c>
      <c r="V976" t="s">
        <v>7256</v>
      </c>
      <c r="W976">
        <v>1</v>
      </c>
      <c r="X976" t="s">
        <v>8232</v>
      </c>
      <c r="Y976">
        <v>0.43562170640138409</v>
      </c>
      <c r="Z976" t="str">
        <f>HYPERLINK("Melting_Curves/meltCurve_sp_P46100_2_ATRX_HUMAN_.pdf", "Melting_Curves/meltCurve_sp_P46100_2_ATRX_HUMAN_.pdf")</f>
        <v>Melting_Curves/meltCurve_sp_P46100_2_ATRX_HUMAN_.pdf</v>
      </c>
      <c r="AA976" t="s">
        <v>11842</v>
      </c>
      <c r="AB976" t="s">
        <v>15402</v>
      </c>
    </row>
    <row r="977" spans="1:28" x14ac:dyDescent="0.25">
      <c r="A977" t="s">
        <v>981</v>
      </c>
      <c r="B977">
        <v>0.98018197421672304</v>
      </c>
      <c r="C977">
        <v>0.97169057834700201</v>
      </c>
      <c r="D977">
        <v>0.91270415561798302</v>
      </c>
      <c r="E977">
        <v>0.72697713012913701</v>
      </c>
      <c r="F977">
        <v>0.70487880501324596</v>
      </c>
      <c r="G977">
        <v>0.35627410323423903</v>
      </c>
      <c r="H977">
        <v>0.14267124327168601</v>
      </c>
      <c r="I977">
        <v>0.115301968795921</v>
      </c>
      <c r="J977">
        <v>0.111796317445594</v>
      </c>
      <c r="K977">
        <v>0.111110718227866</v>
      </c>
      <c r="L977">
        <v>805.57760111145399</v>
      </c>
      <c r="M977">
        <v>14.8146646171989</v>
      </c>
      <c r="N977">
        <v>54.693936051487903</v>
      </c>
      <c r="O977">
        <v>53.415085707827402</v>
      </c>
      <c r="P977">
        <v>-6.6492826645105196E-2</v>
      </c>
      <c r="Q977">
        <v>4.11275750786095E-2</v>
      </c>
      <c r="R977">
        <v>0.98507182128593895</v>
      </c>
      <c r="S977" t="s">
        <v>4606</v>
      </c>
      <c r="T977" t="s">
        <v>7256</v>
      </c>
      <c r="U977" t="s">
        <v>7256</v>
      </c>
      <c r="V977" t="s">
        <v>7256</v>
      </c>
      <c r="W977">
        <v>10</v>
      </c>
      <c r="X977" t="s">
        <v>8233</v>
      </c>
      <c r="Y977">
        <v>0.5201911490882426</v>
      </c>
      <c r="Z977" t="str">
        <f>HYPERLINK("Melting_Curves/meltCurve_sp_P46108_CRK_HUMAN_.pdf", "Melting_Curves/meltCurve_sp_P46108_CRK_HUMAN_.pdf")</f>
        <v>Melting_Curves/meltCurve_sp_P46108_CRK_HUMAN_.pdf</v>
      </c>
      <c r="AA977" t="s">
        <v>11843</v>
      </c>
      <c r="AB977" t="s">
        <v>15403</v>
      </c>
    </row>
    <row r="978" spans="1:28" x14ac:dyDescent="0.25">
      <c r="A978" t="s">
        <v>982</v>
      </c>
      <c r="B978">
        <v>0.98018197421672304</v>
      </c>
      <c r="C978">
        <v>0.95513994049739004</v>
      </c>
      <c r="D978">
        <v>0.86820541993733302</v>
      </c>
      <c r="E978">
        <v>0.701413558738752</v>
      </c>
      <c r="F978">
        <v>0.589989949637717</v>
      </c>
      <c r="G978">
        <v>0.301704054372745</v>
      </c>
      <c r="H978">
        <v>0.18260521012700101</v>
      </c>
      <c r="I978">
        <v>0.15563475981035901</v>
      </c>
      <c r="J978">
        <v>0.181676497333882</v>
      </c>
      <c r="K978">
        <v>0.142577969268078</v>
      </c>
      <c r="L978">
        <v>742.25935543757998</v>
      </c>
      <c r="M978">
        <v>14.0982029052599</v>
      </c>
      <c r="N978">
        <v>53.538488535625099</v>
      </c>
      <c r="O978">
        <v>51.623880849307596</v>
      </c>
      <c r="P978">
        <v>-6.1154685991485103E-2</v>
      </c>
      <c r="Q978">
        <v>0.104386346444337</v>
      </c>
      <c r="R978">
        <v>0.99241451157908001</v>
      </c>
      <c r="S978" t="s">
        <v>4607</v>
      </c>
      <c r="T978" t="s">
        <v>7256</v>
      </c>
      <c r="U978" t="s">
        <v>7256</v>
      </c>
      <c r="V978" t="s">
        <v>7256</v>
      </c>
      <c r="W978">
        <v>7</v>
      </c>
      <c r="X978" t="s">
        <v>8234</v>
      </c>
      <c r="Y978">
        <v>0.50334210601759954</v>
      </c>
      <c r="Z978" t="str">
        <f>HYPERLINK("Melting_Curves/meltCurve_sp_P46109_CRKL_HUMAN_.pdf", "Melting_Curves/meltCurve_sp_P46109_CRKL_HUMAN_.pdf")</f>
        <v>Melting_Curves/meltCurve_sp_P46109_CRKL_HUMAN_.pdf</v>
      </c>
      <c r="AA978" t="s">
        <v>11844</v>
      </c>
      <c r="AB978" t="s">
        <v>15404</v>
      </c>
    </row>
    <row r="979" spans="1:28" x14ac:dyDescent="0.25">
      <c r="A979" t="s">
        <v>983</v>
      </c>
      <c r="B979">
        <v>0.98018197421672304</v>
      </c>
      <c r="C979">
        <v>0.90244791581522998</v>
      </c>
      <c r="D979">
        <v>0.71095863936953496</v>
      </c>
      <c r="E979">
        <v>0.38861293773683497</v>
      </c>
      <c r="F979">
        <v>0.17138232637850501</v>
      </c>
      <c r="G979">
        <v>9.9596596742120097E-2</v>
      </c>
      <c r="H979">
        <v>6.6059665753007396E-2</v>
      </c>
      <c r="I979">
        <v>5.7219488817072998E-2</v>
      </c>
      <c r="J979">
        <v>8.3656378788918906E-2</v>
      </c>
      <c r="K979">
        <v>7.4917376724846094E-2</v>
      </c>
      <c r="L979">
        <v>908.20583033441005</v>
      </c>
      <c r="M979">
        <v>18.902750627336001</v>
      </c>
      <c r="N979">
        <v>48.369624416194199</v>
      </c>
      <c r="O979">
        <v>47.518190522307201</v>
      </c>
      <c r="P979">
        <v>-9.3550088674549794E-2</v>
      </c>
      <c r="Q979">
        <v>5.9364386451911499E-2</v>
      </c>
      <c r="R979">
        <v>0.99823238779029699</v>
      </c>
      <c r="S979" t="s">
        <v>4608</v>
      </c>
      <c r="T979" t="s">
        <v>7256</v>
      </c>
      <c r="U979" t="s">
        <v>7256</v>
      </c>
      <c r="V979" t="s">
        <v>7256</v>
      </c>
      <c r="W979">
        <v>4</v>
      </c>
      <c r="X979" t="s">
        <v>8235</v>
      </c>
      <c r="Y979">
        <v>0.32669330587475037</v>
      </c>
      <c r="Z979" t="str">
        <f>HYPERLINK("Melting_Curves/meltCurve_sp_P46199_IF2M_HUMAN_.pdf", "Melting_Curves/meltCurve_sp_P46199_IF2M_HUMAN_.pdf")</f>
        <v>Melting_Curves/meltCurve_sp_P46199_IF2M_HUMAN_.pdf</v>
      </c>
      <c r="AA979" t="s">
        <v>11845</v>
      </c>
      <c r="AB979" t="s">
        <v>15405</v>
      </c>
    </row>
    <row r="980" spans="1:28" x14ac:dyDescent="0.25">
      <c r="A980" t="s">
        <v>984</v>
      </c>
      <c r="B980">
        <v>0.98018197421672304</v>
      </c>
      <c r="C980">
        <v>0.84811561069062202</v>
      </c>
      <c r="D980">
        <v>0.93248687122996499</v>
      </c>
      <c r="E980">
        <v>0.83007584441505899</v>
      </c>
      <c r="F980">
        <v>0.72395734874484396</v>
      </c>
      <c r="G980">
        <v>0.61801211170974701</v>
      </c>
      <c r="H980">
        <v>0.431141489845835</v>
      </c>
      <c r="I980">
        <v>0.44433862455230699</v>
      </c>
      <c r="J980">
        <v>0.36857584150096201</v>
      </c>
      <c r="K980">
        <v>0.52197759305276104</v>
      </c>
      <c r="L980">
        <v>607.62103372202796</v>
      </c>
      <c r="M980">
        <v>11.353534649395501</v>
      </c>
      <c r="N980">
        <v>61.078422747511802</v>
      </c>
      <c r="O980">
        <v>51.938573308275402</v>
      </c>
      <c r="P980">
        <v>-3.4036935333189702E-2</v>
      </c>
      <c r="Q980">
        <v>0.37735617146957401</v>
      </c>
      <c r="R980">
        <v>0.91896043088365398</v>
      </c>
      <c r="S980" t="s">
        <v>4609</v>
      </c>
      <c r="T980" t="s">
        <v>7256</v>
      </c>
      <c r="U980" t="s">
        <v>7256</v>
      </c>
      <c r="V980" t="s">
        <v>7256</v>
      </c>
      <c r="W980">
        <v>3</v>
      </c>
      <c r="X980" t="s">
        <v>8236</v>
      </c>
      <c r="Y980">
        <v>0.67586485301045085</v>
      </c>
      <c r="Z980" t="str">
        <f>HYPERLINK("Melting_Curves/meltCurve_sp_P46527_CDN1B_HUMAN_.pdf", "Melting_Curves/meltCurve_sp_P46527_CDN1B_HUMAN_.pdf")</f>
        <v>Melting_Curves/meltCurve_sp_P46527_CDN1B_HUMAN_.pdf</v>
      </c>
      <c r="AA980" t="s">
        <v>11846</v>
      </c>
      <c r="AB980" t="s">
        <v>15406</v>
      </c>
    </row>
    <row r="981" spans="1:28" x14ac:dyDescent="0.25">
      <c r="A981" t="s">
        <v>985</v>
      </c>
      <c r="B981">
        <v>0.98018197421672304</v>
      </c>
      <c r="C981">
        <v>0.95639932551443796</v>
      </c>
      <c r="D981">
        <v>0.89376159120137599</v>
      </c>
      <c r="E981">
        <v>0.80826545288735796</v>
      </c>
      <c r="F981">
        <v>0.69499231478694101</v>
      </c>
      <c r="G981">
        <v>0.50145431325980205</v>
      </c>
      <c r="H981">
        <v>0.30103280200962801</v>
      </c>
      <c r="I981">
        <v>0.16290687830249301</v>
      </c>
      <c r="J981">
        <v>6.7978698086509498E-2</v>
      </c>
      <c r="K981">
        <v>5.4599329112987698E-2</v>
      </c>
      <c r="L981">
        <v>706.59404459965697</v>
      </c>
      <c r="M981">
        <v>12.545665687539399</v>
      </c>
      <c r="N981">
        <v>56.321765785387797</v>
      </c>
      <c r="O981">
        <v>54.9482220477095</v>
      </c>
      <c r="P981">
        <v>-5.7091069086654997E-2</v>
      </c>
      <c r="Q981">
        <v>0</v>
      </c>
      <c r="R981">
        <v>0.992394662474402</v>
      </c>
      <c r="S981" t="s">
        <v>4610</v>
      </c>
      <c r="T981" t="s">
        <v>7256</v>
      </c>
      <c r="U981" t="s">
        <v>7256</v>
      </c>
      <c r="V981" t="s">
        <v>7256</v>
      </c>
      <c r="W981">
        <v>3</v>
      </c>
      <c r="X981" t="s">
        <v>8237</v>
      </c>
      <c r="Y981">
        <v>0.56308259225478208</v>
      </c>
      <c r="Z981" t="str">
        <f>HYPERLINK("Melting_Curves/meltCurve_sp_P46736_2_BRCC3_HUMAN_.pdf", "Melting_Curves/meltCurve_sp_P46736_2_BRCC3_HUMAN_.pdf")</f>
        <v>Melting_Curves/meltCurve_sp_P46736_2_BRCC3_HUMAN_.pdf</v>
      </c>
      <c r="AA981" t="s">
        <v>11847</v>
      </c>
      <c r="AB981" t="s">
        <v>15407</v>
      </c>
    </row>
    <row r="982" spans="1:28" x14ac:dyDescent="0.25">
      <c r="A982" t="s">
        <v>986</v>
      </c>
      <c r="B982">
        <v>0.98018197421672304</v>
      </c>
      <c r="C982">
        <v>0.90336069481885095</v>
      </c>
      <c r="D982">
        <v>0.83774889849217304</v>
      </c>
      <c r="E982">
        <v>0.56867861479488602</v>
      </c>
      <c r="F982">
        <v>0.34832093400490999</v>
      </c>
      <c r="G982">
        <v>0.16422732392245201</v>
      </c>
      <c r="H982">
        <v>0.16635483415431501</v>
      </c>
      <c r="I982">
        <v>5.7578587167593197E-2</v>
      </c>
      <c r="J982">
        <v>0.53782884143046605</v>
      </c>
      <c r="K982">
        <v>0.100543907050893</v>
      </c>
      <c r="L982">
        <v>1018.3737712304001</v>
      </c>
      <c r="M982">
        <v>20.689750980787402</v>
      </c>
      <c r="N982">
        <v>50.431444478839701</v>
      </c>
      <c r="O982">
        <v>48.768265876507897</v>
      </c>
      <c r="P982">
        <v>-8.5310273121692898E-2</v>
      </c>
      <c r="Q982">
        <v>0.195676000893685</v>
      </c>
      <c r="R982">
        <v>0.85689936974654701</v>
      </c>
      <c r="S982" t="s">
        <v>4611</v>
      </c>
      <c r="T982" t="s">
        <v>7256</v>
      </c>
      <c r="U982" t="s">
        <v>7256</v>
      </c>
      <c r="V982" t="s">
        <v>7256</v>
      </c>
      <c r="W982">
        <v>4</v>
      </c>
      <c r="X982" t="s">
        <v>8238</v>
      </c>
      <c r="Y982">
        <v>0.45340443223693921</v>
      </c>
      <c r="Z982" t="str">
        <f>HYPERLINK("Melting_Curves/meltCurve_sp_P46777_RL5_HUMAN_.pdf", "Melting_Curves/meltCurve_sp_P46777_RL5_HUMAN_.pdf")</f>
        <v>Melting_Curves/meltCurve_sp_P46777_RL5_HUMAN_.pdf</v>
      </c>
      <c r="AA982" t="s">
        <v>11848</v>
      </c>
      <c r="AB982" t="s">
        <v>15408</v>
      </c>
    </row>
    <row r="983" spans="1:28" x14ac:dyDescent="0.25">
      <c r="A983" t="s">
        <v>987</v>
      </c>
      <c r="B983">
        <v>0.98018197421672304</v>
      </c>
      <c r="C983">
        <v>0.94867457873621797</v>
      </c>
      <c r="D983">
        <v>0.73881013833401599</v>
      </c>
      <c r="E983">
        <v>0.340499975202604</v>
      </c>
      <c r="F983">
        <v>0.17121592278408501</v>
      </c>
      <c r="G983">
        <v>0.103884070926612</v>
      </c>
      <c r="H983">
        <v>5.7812257282147998E-2</v>
      </c>
      <c r="I983">
        <v>4.42573129416515E-2</v>
      </c>
      <c r="J983">
        <v>6.1765021937443397E-2</v>
      </c>
      <c r="K983">
        <v>3.5338274904585902E-2</v>
      </c>
      <c r="L983">
        <v>1021.02051759458</v>
      </c>
      <c r="M983">
        <v>21.210344182439101</v>
      </c>
      <c r="N983">
        <v>48.375999141328997</v>
      </c>
      <c r="O983">
        <v>47.7160856171257</v>
      </c>
      <c r="P983">
        <v>-0.105621979364588</v>
      </c>
      <c r="Q983">
        <v>4.9569894767148501E-2</v>
      </c>
      <c r="R983">
        <v>0.99912324481896797</v>
      </c>
      <c r="S983" t="s">
        <v>4612</v>
      </c>
      <c r="T983" t="s">
        <v>7256</v>
      </c>
      <c r="U983" t="s">
        <v>7256</v>
      </c>
      <c r="V983" t="s">
        <v>7256</v>
      </c>
      <c r="W983">
        <v>10</v>
      </c>
      <c r="X983" t="s">
        <v>8239</v>
      </c>
      <c r="Y983">
        <v>0.3192829004651625</v>
      </c>
      <c r="Z983" t="str">
        <f>HYPERLINK("Melting_Curves/meltCurve_sp_P46781_RS9_HUMAN_.pdf", "Melting_Curves/meltCurve_sp_P46781_RS9_HUMAN_.pdf")</f>
        <v>Melting_Curves/meltCurve_sp_P46781_RS9_HUMAN_.pdf</v>
      </c>
      <c r="AA983" t="s">
        <v>11849</v>
      </c>
      <c r="AB983" t="s">
        <v>15409</v>
      </c>
    </row>
    <row r="984" spans="1:28" x14ac:dyDescent="0.25">
      <c r="A984" t="s">
        <v>988</v>
      </c>
      <c r="B984">
        <v>0.98018197421672304</v>
      </c>
      <c r="C984">
        <v>0.95068155349968297</v>
      </c>
      <c r="D984">
        <v>0.747099388129007</v>
      </c>
      <c r="E984">
        <v>0.68712027032667</v>
      </c>
      <c r="F984">
        <v>0.67354861832852997</v>
      </c>
      <c r="G984">
        <v>0.656416312655701</v>
      </c>
      <c r="H984">
        <v>0.469579786640965</v>
      </c>
      <c r="I984">
        <v>0.54705022751898502</v>
      </c>
      <c r="J984">
        <v>0.65785876083905803</v>
      </c>
      <c r="K984">
        <v>0.82687286868612198</v>
      </c>
      <c r="L984">
        <v>1391.6876285129199</v>
      </c>
      <c r="M984">
        <v>30.9247475548786</v>
      </c>
      <c r="O984">
        <v>44.815468462092603</v>
      </c>
      <c r="P984">
        <v>-6.1871766371496897E-2</v>
      </c>
      <c r="Q984">
        <v>0.64134923741275895</v>
      </c>
      <c r="R984">
        <v>0.68028760157763402</v>
      </c>
      <c r="S984" t="s">
        <v>4613</v>
      </c>
      <c r="T984" t="s">
        <v>7256</v>
      </c>
      <c r="U984" t="s">
        <v>7256</v>
      </c>
      <c r="V984" t="s">
        <v>7256</v>
      </c>
      <c r="W984">
        <v>3</v>
      </c>
      <c r="X984" t="s">
        <v>8240</v>
      </c>
      <c r="Y984">
        <v>0.70329995201723927</v>
      </c>
      <c r="Z984" t="str">
        <f>HYPERLINK("Melting_Curves/meltCurve_sp_P46783_RS10_HUMAN_.pdf", "Melting_Curves/meltCurve_sp_P46783_RS10_HUMAN_.pdf")</f>
        <v>Melting_Curves/meltCurve_sp_P46783_RS10_HUMAN_.pdf</v>
      </c>
      <c r="AA984" t="s">
        <v>11850</v>
      </c>
      <c r="AB984" t="s">
        <v>15410</v>
      </c>
    </row>
    <row r="985" spans="1:28" x14ac:dyDescent="0.25">
      <c r="A985" t="s">
        <v>989</v>
      </c>
      <c r="B985">
        <v>0.98018197421672304</v>
      </c>
      <c r="C985">
        <v>1.0308809158455201</v>
      </c>
      <c r="D985">
        <v>0.90220283921186695</v>
      </c>
      <c r="E985">
        <v>0.77255389284388498</v>
      </c>
      <c r="F985">
        <v>0.634795237199828</v>
      </c>
      <c r="G985">
        <v>0.48852935574276102</v>
      </c>
      <c r="H985">
        <v>0.36150166120879401</v>
      </c>
      <c r="I985">
        <v>0.34450739112598</v>
      </c>
      <c r="J985">
        <v>0.20094682595166199</v>
      </c>
      <c r="K985">
        <v>8.4485374888517206E-2</v>
      </c>
      <c r="L985">
        <v>528.52316339141703</v>
      </c>
      <c r="M985">
        <v>9.2734650620848598</v>
      </c>
      <c r="N985">
        <v>56.993065980771199</v>
      </c>
      <c r="O985">
        <v>54.530880274620898</v>
      </c>
      <c r="P985">
        <v>-4.2542304363793401E-2</v>
      </c>
      <c r="Q985">
        <v>0</v>
      </c>
      <c r="R985">
        <v>0.98220056228147801</v>
      </c>
      <c r="S985" t="s">
        <v>4614</v>
      </c>
      <c r="T985" t="s">
        <v>7256</v>
      </c>
      <c r="U985" t="s">
        <v>7256</v>
      </c>
      <c r="V985" t="s">
        <v>7256</v>
      </c>
      <c r="W985">
        <v>9</v>
      </c>
      <c r="X985" t="s">
        <v>8241</v>
      </c>
      <c r="Y985">
        <v>0.58130905783117726</v>
      </c>
      <c r="Z985" t="str">
        <f>HYPERLINK("Melting_Curves/meltCurve_sp_P46926_GNPI1_HUMAN_.pdf", "Melting_Curves/meltCurve_sp_P46926_GNPI1_HUMAN_.pdf")</f>
        <v>Melting_Curves/meltCurve_sp_P46926_GNPI1_HUMAN_.pdf</v>
      </c>
      <c r="AA985" t="s">
        <v>11851</v>
      </c>
      <c r="AB985" t="s">
        <v>15411</v>
      </c>
    </row>
    <row r="986" spans="1:28" x14ac:dyDescent="0.25">
      <c r="A986" t="s">
        <v>990</v>
      </c>
      <c r="B986">
        <v>0.98018197421672304</v>
      </c>
      <c r="C986">
        <v>1.14055815766378</v>
      </c>
      <c r="D986">
        <v>0.84287751530606703</v>
      </c>
      <c r="E986">
        <v>0.67688115772204605</v>
      </c>
      <c r="F986">
        <v>0.40326828876600401</v>
      </c>
      <c r="G986">
        <v>0.25339219416139702</v>
      </c>
      <c r="H986">
        <v>0.109236787657329</v>
      </c>
      <c r="I986">
        <v>8.4643809354250504E-2</v>
      </c>
      <c r="J986">
        <v>3.3420071753443602E-2</v>
      </c>
      <c r="K986">
        <v>3.8768090631633903E-2</v>
      </c>
      <c r="L986">
        <v>870.04301574042302</v>
      </c>
      <c r="M986">
        <v>16.758449217438798</v>
      </c>
      <c r="N986">
        <v>52.1375725692928</v>
      </c>
      <c r="O986">
        <v>51.194330982855</v>
      </c>
      <c r="P986">
        <v>-7.9038046576236795E-2</v>
      </c>
      <c r="Q986">
        <v>3.4269742175534398E-2</v>
      </c>
      <c r="R986">
        <v>0.97787745859358799</v>
      </c>
      <c r="S986" t="s">
        <v>4615</v>
      </c>
      <c r="T986" t="s">
        <v>7256</v>
      </c>
      <c r="U986" t="s">
        <v>7256</v>
      </c>
      <c r="V986" t="s">
        <v>7256</v>
      </c>
      <c r="W986">
        <v>1</v>
      </c>
      <c r="X986" t="s">
        <v>8242</v>
      </c>
      <c r="Y986">
        <v>0.43602370500407339</v>
      </c>
      <c r="Z986" t="str">
        <f>HYPERLINK("Melting_Curves/meltCurve_sp_P46934_4_NEDD4_HUMAN_.pdf", "Melting_Curves/meltCurve_sp_P46934_4_NEDD4_HUMAN_.pdf")</f>
        <v>Melting_Curves/meltCurve_sp_P46934_4_NEDD4_HUMAN_.pdf</v>
      </c>
      <c r="AA986" t="s">
        <v>11852</v>
      </c>
      <c r="AB986" t="s">
        <v>15412</v>
      </c>
    </row>
    <row r="987" spans="1:28" x14ac:dyDescent="0.25">
      <c r="A987" t="s">
        <v>991</v>
      </c>
      <c r="B987">
        <v>0.98018197421672304</v>
      </c>
      <c r="C987">
        <v>0.98348424689537395</v>
      </c>
      <c r="D987">
        <v>0.97469331548181803</v>
      </c>
      <c r="E987">
        <v>0.86167481743518803</v>
      </c>
      <c r="F987">
        <v>0.78922560310008505</v>
      </c>
      <c r="G987">
        <v>0.56704113849606996</v>
      </c>
      <c r="H987">
        <v>0.57983288167017499</v>
      </c>
      <c r="I987">
        <v>0.59916873909142698</v>
      </c>
      <c r="J987">
        <v>0.82571646208903804</v>
      </c>
      <c r="K987">
        <v>0.90635858573501205</v>
      </c>
      <c r="L987">
        <v>1738.1271946357599</v>
      </c>
      <c r="M987">
        <v>34.495583048377704</v>
      </c>
      <c r="O987">
        <v>50.218512105221301</v>
      </c>
      <c r="P987">
        <v>-5.13224613062086E-2</v>
      </c>
      <c r="Q987">
        <v>0.70114107248750501</v>
      </c>
      <c r="R987">
        <v>0.58817597958097101</v>
      </c>
      <c r="S987" t="s">
        <v>4616</v>
      </c>
      <c r="T987" t="s">
        <v>7256</v>
      </c>
      <c r="U987" t="s">
        <v>7256</v>
      </c>
      <c r="V987" t="s">
        <v>7256</v>
      </c>
      <c r="W987">
        <v>6</v>
      </c>
      <c r="X987" t="s">
        <v>8243</v>
      </c>
      <c r="Y987">
        <v>0.80601899323914039</v>
      </c>
      <c r="Z987" t="str">
        <f>HYPERLINK("Melting_Curves/meltCurve_sp_P46937_YAP1_HUMAN_.pdf", "Melting_Curves/meltCurve_sp_P46937_YAP1_HUMAN_.pdf")</f>
        <v>Melting_Curves/meltCurve_sp_P46937_YAP1_HUMAN_.pdf</v>
      </c>
      <c r="AA987" t="s">
        <v>11853</v>
      </c>
      <c r="AB987" t="s">
        <v>15413</v>
      </c>
    </row>
    <row r="988" spans="1:28" x14ac:dyDescent="0.25">
      <c r="A988" t="s">
        <v>992</v>
      </c>
      <c r="B988">
        <v>0.98018197421672304</v>
      </c>
      <c r="C988">
        <v>0.92496909286024798</v>
      </c>
      <c r="D988">
        <v>0.88459249062816503</v>
      </c>
      <c r="E988">
        <v>0.67315246242141602</v>
      </c>
      <c r="F988">
        <v>0.34047663236519499</v>
      </c>
      <c r="G988">
        <v>0.20937288843485799</v>
      </c>
      <c r="H988">
        <v>0.161136112537723</v>
      </c>
      <c r="I988">
        <v>0.131624518059901</v>
      </c>
      <c r="J988">
        <v>0.148154179917905</v>
      </c>
      <c r="K988">
        <v>0.16258221779913801</v>
      </c>
      <c r="L988">
        <v>1095.17661204415</v>
      </c>
      <c r="M988">
        <v>21.6285522004627</v>
      </c>
      <c r="N988">
        <v>51.409233183293097</v>
      </c>
      <c r="O988">
        <v>50.208784549884498</v>
      </c>
      <c r="P988">
        <v>-9.2737585607437806E-2</v>
      </c>
      <c r="Q988">
        <v>0.13889192196518799</v>
      </c>
      <c r="R988">
        <v>0.99274736715702905</v>
      </c>
      <c r="S988" t="s">
        <v>4617</v>
      </c>
      <c r="T988" t="s">
        <v>7256</v>
      </c>
      <c r="U988" t="s">
        <v>7256</v>
      </c>
      <c r="V988" t="s">
        <v>7256</v>
      </c>
      <c r="W988">
        <v>24</v>
      </c>
      <c r="X988" t="s">
        <v>8244</v>
      </c>
      <c r="Y988">
        <v>0.45446976936008088</v>
      </c>
      <c r="Z988" t="str">
        <f>HYPERLINK("Melting_Curves/meltCurve_sp_P46939_UTRO_HUMAN_.pdf", "Melting_Curves/meltCurve_sp_P46939_UTRO_HUMAN_.pdf")</f>
        <v>Melting_Curves/meltCurve_sp_P46939_UTRO_HUMAN_.pdf</v>
      </c>
      <c r="AA988" t="s">
        <v>11854</v>
      </c>
      <c r="AB988" t="s">
        <v>15414</v>
      </c>
    </row>
    <row r="989" spans="1:28" x14ac:dyDescent="0.25">
      <c r="A989" t="s">
        <v>993</v>
      </c>
      <c r="B989">
        <v>0.98018197421672304</v>
      </c>
      <c r="C989">
        <v>0.98195150199280801</v>
      </c>
      <c r="D989">
        <v>0.91811394682604697</v>
      </c>
      <c r="E989">
        <v>0.73142479258911897</v>
      </c>
      <c r="F989">
        <v>0.35335280433514998</v>
      </c>
      <c r="G989">
        <v>0.16856154582261801</v>
      </c>
      <c r="H989">
        <v>9.1943546994121897E-2</v>
      </c>
      <c r="I989">
        <v>6.9885963211470101E-2</v>
      </c>
      <c r="J989">
        <v>7.6002033214426001E-2</v>
      </c>
      <c r="K989">
        <v>4.5114960345442802E-2</v>
      </c>
      <c r="L989">
        <v>1243.75948098207</v>
      </c>
      <c r="M989">
        <v>24.121610053345702</v>
      </c>
      <c r="N989">
        <v>51.8533513681949</v>
      </c>
      <c r="O989">
        <v>51.211582654622198</v>
      </c>
      <c r="P989">
        <v>-0.11029492562078699</v>
      </c>
      <c r="Q989">
        <v>6.3364320720555894E-2</v>
      </c>
      <c r="R989">
        <v>0.99709419908339103</v>
      </c>
      <c r="S989" t="s">
        <v>4618</v>
      </c>
      <c r="T989" t="s">
        <v>7256</v>
      </c>
      <c r="U989" t="s">
        <v>7256</v>
      </c>
      <c r="V989" t="s">
        <v>7256</v>
      </c>
      <c r="W989">
        <v>15</v>
      </c>
      <c r="X989" t="s">
        <v>8245</v>
      </c>
      <c r="Y989">
        <v>0.433468377946784</v>
      </c>
      <c r="Z989" t="str">
        <f>HYPERLINK("Melting_Curves/meltCurve_sp_P46940_IQGA1_HUMAN_.pdf", "Melting_Curves/meltCurve_sp_P46940_IQGA1_HUMAN_.pdf")</f>
        <v>Melting_Curves/meltCurve_sp_P46940_IQGA1_HUMAN_.pdf</v>
      </c>
      <c r="AA989" t="s">
        <v>11855</v>
      </c>
      <c r="AB989" t="s">
        <v>15415</v>
      </c>
    </row>
    <row r="990" spans="1:28" x14ac:dyDescent="0.25">
      <c r="A990" t="s">
        <v>994</v>
      </c>
      <c r="B990">
        <v>0.98018197421672304</v>
      </c>
      <c r="C990">
        <v>1.0284270482320701</v>
      </c>
      <c r="D990">
        <v>0.98764969028101401</v>
      </c>
      <c r="E990">
        <v>0.85319054759921498</v>
      </c>
      <c r="F990">
        <v>0.77871397959779298</v>
      </c>
      <c r="G990">
        <v>0.35401911176913597</v>
      </c>
      <c r="H990">
        <v>7.9100291409144902E-2</v>
      </c>
      <c r="I990">
        <v>5.2683246159503198E-2</v>
      </c>
      <c r="J990">
        <v>4.4068562629299701E-2</v>
      </c>
      <c r="K990">
        <v>3.43937775752007E-2</v>
      </c>
      <c r="L990">
        <v>1289.9532796999499</v>
      </c>
      <c r="M990">
        <v>23.296723896163702</v>
      </c>
      <c r="N990">
        <v>55.434815256922903</v>
      </c>
      <c r="O990">
        <v>54.967462470773299</v>
      </c>
      <c r="P990">
        <v>-0.10454793031036599</v>
      </c>
      <c r="Q990">
        <v>1.3315261761116699E-2</v>
      </c>
      <c r="R990">
        <v>0.99459518269222902</v>
      </c>
      <c r="S990" t="s">
        <v>4619</v>
      </c>
      <c r="T990" t="s">
        <v>7256</v>
      </c>
      <c r="U990" t="s">
        <v>7256</v>
      </c>
      <c r="V990" t="s">
        <v>7256</v>
      </c>
      <c r="W990">
        <v>18</v>
      </c>
      <c r="X990" t="s">
        <v>8246</v>
      </c>
      <c r="Y990">
        <v>0.52910691451400438</v>
      </c>
      <c r="Z990" t="str">
        <f>HYPERLINK("Melting_Curves/meltCurve_sp_P46952_3HAO_HUMAN_.pdf", "Melting_Curves/meltCurve_sp_P46952_3HAO_HUMAN_.pdf")</f>
        <v>Melting_Curves/meltCurve_sp_P46952_3HAO_HUMAN_.pdf</v>
      </c>
      <c r="AA990" t="s">
        <v>11856</v>
      </c>
      <c r="AB990" t="s">
        <v>15416</v>
      </c>
    </row>
    <row r="991" spans="1:28" x14ac:dyDescent="0.25">
      <c r="A991" t="s">
        <v>995</v>
      </c>
      <c r="B991">
        <v>0.98018197421672304</v>
      </c>
      <c r="C991">
        <v>0.95422079168273</v>
      </c>
      <c r="D991">
        <v>0.80418700006826205</v>
      </c>
      <c r="E991">
        <v>0.73555837027239002</v>
      </c>
      <c r="F991">
        <v>0.61411181533055503</v>
      </c>
      <c r="G991">
        <v>0.40447808238402999</v>
      </c>
      <c r="H991">
        <v>0.25301199689250498</v>
      </c>
      <c r="I991">
        <v>0.20399810994996101</v>
      </c>
      <c r="J991">
        <v>0.14145619997559999</v>
      </c>
      <c r="K991">
        <v>0.108101230757089</v>
      </c>
      <c r="L991">
        <v>532.57533550329003</v>
      </c>
      <c r="M991">
        <v>9.7122435242868903</v>
      </c>
      <c r="N991">
        <v>54.835459373458498</v>
      </c>
      <c r="O991">
        <v>52.662172392552698</v>
      </c>
      <c r="P991">
        <v>-4.6131426238584301E-2</v>
      </c>
      <c r="Q991">
        <v>0</v>
      </c>
      <c r="R991">
        <v>0.99436718586878203</v>
      </c>
      <c r="S991" t="s">
        <v>4620</v>
      </c>
      <c r="T991" t="s">
        <v>7256</v>
      </c>
      <c r="U991" t="s">
        <v>7256</v>
      </c>
      <c r="V991" t="s">
        <v>7256</v>
      </c>
      <c r="W991">
        <v>4</v>
      </c>
      <c r="X991" t="s">
        <v>8247</v>
      </c>
      <c r="Y991">
        <v>0.52145744966245244</v>
      </c>
      <c r="Z991" t="str">
        <f>HYPERLINK("Melting_Curves/meltCurve_sp_P46976_2_GLYG_HUMAN_.pdf", "Melting_Curves/meltCurve_sp_P46976_2_GLYG_HUMAN_.pdf")</f>
        <v>Melting_Curves/meltCurve_sp_P46976_2_GLYG_HUMAN_.pdf</v>
      </c>
      <c r="AA991" t="s">
        <v>11857</v>
      </c>
      <c r="AB991" t="s">
        <v>15417</v>
      </c>
    </row>
    <row r="992" spans="1:28" x14ac:dyDescent="0.25">
      <c r="A992" t="s">
        <v>996</v>
      </c>
      <c r="B992">
        <v>0.98018197421672304</v>
      </c>
      <c r="C992">
        <v>1.0886217590901499</v>
      </c>
      <c r="D992">
        <v>0.91959983085130204</v>
      </c>
      <c r="E992">
        <v>0.80922796065448099</v>
      </c>
      <c r="F992">
        <v>0.82762324122103004</v>
      </c>
      <c r="G992">
        <v>0.74663388273130904</v>
      </c>
      <c r="H992">
        <v>0.54212379451084303</v>
      </c>
      <c r="I992">
        <v>0.60061683793776799</v>
      </c>
      <c r="J992">
        <v>0.78773721321068202</v>
      </c>
      <c r="K992">
        <v>0.77334773202365703</v>
      </c>
      <c r="L992">
        <v>981.42156133672302</v>
      </c>
      <c r="M992">
        <v>19.617081496858098</v>
      </c>
      <c r="O992">
        <v>49.517769096618899</v>
      </c>
      <c r="P992">
        <v>-3.095318462682E-2</v>
      </c>
      <c r="Q992">
        <v>0.68748089237449606</v>
      </c>
      <c r="R992">
        <v>0.72314837718892899</v>
      </c>
      <c r="S992" t="s">
        <v>4621</v>
      </c>
      <c r="T992" t="s">
        <v>7256</v>
      </c>
      <c r="U992" t="s">
        <v>7256</v>
      </c>
      <c r="V992" t="s">
        <v>7256</v>
      </c>
      <c r="W992">
        <v>1</v>
      </c>
      <c r="X992" t="s">
        <v>8248</v>
      </c>
      <c r="Y992">
        <v>0.79647209630026883</v>
      </c>
      <c r="Z992" t="str">
        <f>HYPERLINK("Melting_Curves/meltCurve_sp_P47224_MSS4_HUMAN_.pdf", "Melting_Curves/meltCurve_sp_P47224_MSS4_HUMAN_.pdf")</f>
        <v>Melting_Curves/meltCurve_sp_P47224_MSS4_HUMAN_.pdf</v>
      </c>
      <c r="AA992" t="s">
        <v>11858</v>
      </c>
      <c r="AB992" t="s">
        <v>15418</v>
      </c>
    </row>
    <row r="993" spans="1:28" x14ac:dyDescent="0.25">
      <c r="A993" t="s">
        <v>997</v>
      </c>
      <c r="B993">
        <v>0.98018197421672304</v>
      </c>
      <c r="C993">
        <v>0.98272929372672002</v>
      </c>
      <c r="D993">
        <v>0.91895449359830395</v>
      </c>
      <c r="E993">
        <v>0.80122749906363799</v>
      </c>
      <c r="F993">
        <v>0.66540354671731305</v>
      </c>
      <c r="G993">
        <v>0.352944282860645</v>
      </c>
      <c r="H993">
        <v>0.109697603557707</v>
      </c>
      <c r="I993">
        <v>4.2677631141446001E-2</v>
      </c>
      <c r="J993">
        <v>4.4848192460407998E-2</v>
      </c>
      <c r="K993">
        <v>3.0181421518452298E-2</v>
      </c>
      <c r="L993">
        <v>940.91392874803296</v>
      </c>
      <c r="M993">
        <v>17.208443887478001</v>
      </c>
      <c r="N993">
        <v>54.677459181593299</v>
      </c>
      <c r="O993">
        <v>53.955104063140098</v>
      </c>
      <c r="P993">
        <v>-7.9739710481756099E-2</v>
      </c>
      <c r="Q993">
        <v>0</v>
      </c>
      <c r="R993">
        <v>0.99543420045414999</v>
      </c>
      <c r="S993" t="s">
        <v>4622</v>
      </c>
      <c r="T993" t="s">
        <v>7256</v>
      </c>
      <c r="U993" t="s">
        <v>7256</v>
      </c>
      <c r="V993" t="s">
        <v>7256</v>
      </c>
      <c r="W993">
        <v>9</v>
      </c>
      <c r="X993" t="s">
        <v>8249</v>
      </c>
      <c r="Y993">
        <v>0.50589964550363986</v>
      </c>
      <c r="Z993" t="str">
        <f>HYPERLINK("Melting_Curves/meltCurve_sp_P47755_CAZA2_HUMAN_.pdf", "Melting_Curves/meltCurve_sp_P47755_CAZA2_HUMAN_.pdf")</f>
        <v>Melting_Curves/meltCurve_sp_P47755_CAZA2_HUMAN_.pdf</v>
      </c>
      <c r="AA993" t="s">
        <v>11859</v>
      </c>
      <c r="AB993" t="s">
        <v>15419</v>
      </c>
    </row>
    <row r="994" spans="1:28" x14ac:dyDescent="0.25">
      <c r="A994" t="s">
        <v>998</v>
      </c>
      <c r="B994">
        <v>0.98018197421672304</v>
      </c>
      <c r="C994">
        <v>1.03205470236191</v>
      </c>
      <c r="D994">
        <v>1.00194947584086</v>
      </c>
      <c r="E994">
        <v>0.84979820938323203</v>
      </c>
      <c r="F994">
        <v>0.911814515098886</v>
      </c>
      <c r="G994">
        <v>0.731529165988132</v>
      </c>
      <c r="H994">
        <v>0.44938360732916799</v>
      </c>
      <c r="I994">
        <v>0.45759254737862698</v>
      </c>
      <c r="J994">
        <v>0.354037134855614</v>
      </c>
      <c r="K994">
        <v>0.54589431051014203</v>
      </c>
      <c r="L994">
        <v>1331.60311271768</v>
      </c>
      <c r="M994">
        <v>23.574954058837001</v>
      </c>
      <c r="N994">
        <v>61.443738482555901</v>
      </c>
      <c r="O994">
        <v>56.082094657500001</v>
      </c>
      <c r="P994">
        <v>-6.0382005605869399E-2</v>
      </c>
      <c r="Q994">
        <v>0.42544246245887801</v>
      </c>
      <c r="R994">
        <v>0.92761144021404596</v>
      </c>
      <c r="S994" t="s">
        <v>4623</v>
      </c>
      <c r="T994" t="s">
        <v>7256</v>
      </c>
      <c r="U994" t="s">
        <v>7256</v>
      </c>
      <c r="V994" t="s">
        <v>7256</v>
      </c>
      <c r="W994">
        <v>4</v>
      </c>
      <c r="X994" t="s">
        <v>8250</v>
      </c>
      <c r="Y994">
        <v>0.74687977438024478</v>
      </c>
      <c r="Z994" t="str">
        <f>HYPERLINK("Melting_Curves/meltCurve_sp_P47813_IF1AX_HUMAN_.pdf", "Melting_Curves/meltCurve_sp_P47813_IF1AX_HUMAN_.pdf")</f>
        <v>Melting_Curves/meltCurve_sp_P47813_IF1AX_HUMAN_.pdf</v>
      </c>
      <c r="AA994" t="s">
        <v>11860</v>
      </c>
      <c r="AB994" t="s">
        <v>15420</v>
      </c>
    </row>
    <row r="995" spans="1:28" x14ac:dyDescent="0.25">
      <c r="A995" t="s">
        <v>999</v>
      </c>
      <c r="B995">
        <v>0.98018197421672304</v>
      </c>
      <c r="C995">
        <v>0.89210050550406494</v>
      </c>
      <c r="D995">
        <v>0.57093823874690897</v>
      </c>
      <c r="E995">
        <v>0.26178843839334398</v>
      </c>
      <c r="F995">
        <v>0.112454511791597</v>
      </c>
      <c r="G995">
        <v>7.5138731095470507E-2</v>
      </c>
      <c r="H995">
        <v>4.3889633364330299E-2</v>
      </c>
      <c r="I995">
        <v>3.2640168851413798E-2</v>
      </c>
      <c r="J995">
        <v>3.6992511272036899E-2</v>
      </c>
      <c r="K995">
        <v>2.3163216262863301E-2</v>
      </c>
      <c r="L995">
        <v>942.46807824612404</v>
      </c>
      <c r="M995">
        <v>20.146603666779399</v>
      </c>
      <c r="N995">
        <v>46.947659560122801</v>
      </c>
      <c r="O995">
        <v>46.3269046383638</v>
      </c>
      <c r="P995">
        <v>-0.10496014992533199</v>
      </c>
      <c r="Q995">
        <v>3.4611455981537503E-2</v>
      </c>
      <c r="R995">
        <v>0.99804230192302001</v>
      </c>
      <c r="S995" t="s">
        <v>4624</v>
      </c>
      <c r="T995" t="s">
        <v>7256</v>
      </c>
      <c r="U995" t="s">
        <v>7256</v>
      </c>
      <c r="V995" t="s">
        <v>7256</v>
      </c>
      <c r="W995">
        <v>23</v>
      </c>
      <c r="X995" t="s">
        <v>8251</v>
      </c>
      <c r="Y995">
        <v>0.26684157590688878</v>
      </c>
      <c r="Z995" t="str">
        <f>HYPERLINK("Melting_Curves/meltCurve_sp_P47897_SYQ_HUMAN_.pdf", "Melting_Curves/meltCurve_sp_P47897_SYQ_HUMAN_.pdf")</f>
        <v>Melting_Curves/meltCurve_sp_P47897_SYQ_HUMAN_.pdf</v>
      </c>
      <c r="AA995" t="s">
        <v>11861</v>
      </c>
      <c r="AB995" t="s">
        <v>15421</v>
      </c>
    </row>
    <row r="996" spans="1:28" x14ac:dyDescent="0.25">
      <c r="A996" t="s">
        <v>1000</v>
      </c>
      <c r="B996">
        <v>0.98018197421672304</v>
      </c>
      <c r="C996">
        <v>0.92987865890773302</v>
      </c>
      <c r="D996">
        <v>0.74576019831155305</v>
      </c>
      <c r="E996">
        <v>0.54012645291175099</v>
      </c>
      <c r="F996">
        <v>0.333925969301338</v>
      </c>
      <c r="G996">
        <v>0.25223027138889498</v>
      </c>
      <c r="H996">
        <v>0.22982917419905899</v>
      </c>
      <c r="I996">
        <v>0.212804383685995</v>
      </c>
      <c r="J996">
        <v>0.26142992308503599</v>
      </c>
      <c r="K996">
        <v>0.21925879300224799</v>
      </c>
      <c r="L996">
        <v>835.42650931903802</v>
      </c>
      <c r="M996">
        <v>17.273848724408399</v>
      </c>
      <c r="N996">
        <v>50.001152081393897</v>
      </c>
      <c r="O996">
        <v>47.729467390145103</v>
      </c>
      <c r="P996">
        <v>-7.0937038390846502E-2</v>
      </c>
      <c r="Q996">
        <v>0.21601979221430501</v>
      </c>
      <c r="R996">
        <v>0.99413246938848898</v>
      </c>
      <c r="S996" t="s">
        <v>4625</v>
      </c>
      <c r="T996" t="s">
        <v>7256</v>
      </c>
      <c r="U996" t="s">
        <v>7256</v>
      </c>
      <c r="V996" t="s">
        <v>7256</v>
      </c>
      <c r="W996">
        <v>2</v>
      </c>
      <c r="X996" t="s">
        <v>8252</v>
      </c>
      <c r="Y996">
        <v>0.44956430203170772</v>
      </c>
      <c r="Z996" t="str">
        <f>HYPERLINK("Melting_Curves/meltCurve_sp_P47985_UCRI_HUMAN_.pdf", "Melting_Curves/meltCurve_sp_P47985_UCRI_HUMAN_.pdf")</f>
        <v>Melting_Curves/meltCurve_sp_P47985_UCRI_HUMAN_.pdf</v>
      </c>
      <c r="AA996" t="s">
        <v>11862</v>
      </c>
      <c r="AB996" t="s">
        <v>15422</v>
      </c>
    </row>
    <row r="997" spans="1:28" x14ac:dyDescent="0.25">
      <c r="A997" t="s">
        <v>1001</v>
      </c>
      <c r="B997">
        <v>0.98018197421672304</v>
      </c>
      <c r="C997">
        <v>0.84788386587403197</v>
      </c>
      <c r="D997">
        <v>0.89949127824127495</v>
      </c>
      <c r="E997">
        <v>0.74330783931695599</v>
      </c>
      <c r="F997">
        <v>0.64315921068325599</v>
      </c>
      <c r="G997">
        <v>0.44333198920849298</v>
      </c>
      <c r="H997">
        <v>0.31390591442330401</v>
      </c>
      <c r="I997">
        <v>0.25730144819925499</v>
      </c>
      <c r="J997">
        <v>0.187357533928942</v>
      </c>
      <c r="K997">
        <v>0.13050628616330301</v>
      </c>
      <c r="L997">
        <v>493.202861880581</v>
      </c>
      <c r="M997">
        <v>8.8247245057447596</v>
      </c>
      <c r="N997">
        <v>55.888754548800001</v>
      </c>
      <c r="O997">
        <v>53.241907422534901</v>
      </c>
      <c r="P997">
        <v>-4.1469344593921299E-2</v>
      </c>
      <c r="Q997">
        <v>0</v>
      </c>
      <c r="R997">
        <v>0.98904934945356104</v>
      </c>
      <c r="S997" t="s">
        <v>4626</v>
      </c>
      <c r="T997" t="s">
        <v>7256</v>
      </c>
      <c r="U997" t="s">
        <v>7256</v>
      </c>
      <c r="V997" t="s">
        <v>7256</v>
      </c>
      <c r="W997">
        <v>57</v>
      </c>
      <c r="X997" t="s">
        <v>8253</v>
      </c>
      <c r="Y997">
        <v>0.55100960322640291</v>
      </c>
      <c r="Z997" t="str">
        <f>HYPERLINK("Melting_Curves/meltCurve_sp_P47989_XDH_HUMAN_.pdf", "Melting_Curves/meltCurve_sp_P47989_XDH_HUMAN_.pdf")</f>
        <v>Melting_Curves/meltCurve_sp_P47989_XDH_HUMAN_.pdf</v>
      </c>
      <c r="AA997" t="s">
        <v>11863</v>
      </c>
      <c r="AB997" t="s">
        <v>15423</v>
      </c>
    </row>
    <row r="998" spans="1:28" x14ac:dyDescent="0.25">
      <c r="A998" t="s">
        <v>1002</v>
      </c>
      <c r="B998">
        <v>0.98018197421672304</v>
      </c>
      <c r="C998">
        <v>0.92257795605183301</v>
      </c>
      <c r="D998">
        <v>0.86080076418963902</v>
      </c>
      <c r="E998">
        <v>0.69585383319384098</v>
      </c>
      <c r="F998">
        <v>0.65627492181675295</v>
      </c>
      <c r="G998">
        <v>0.47287857659208299</v>
      </c>
      <c r="H998">
        <v>0.31178584257444097</v>
      </c>
      <c r="I998">
        <v>0.25920634487733302</v>
      </c>
      <c r="J998">
        <v>0.19300878111646899</v>
      </c>
      <c r="K998">
        <v>0.213630155195353</v>
      </c>
      <c r="L998">
        <v>494.577756792858</v>
      </c>
      <c r="M998">
        <v>8.9773978803261905</v>
      </c>
      <c r="N998">
        <v>55.868441695754498</v>
      </c>
      <c r="O998">
        <v>52.563767867299603</v>
      </c>
      <c r="P998">
        <v>-4.0221291616020199E-2</v>
      </c>
      <c r="Q998">
        <v>5.8687720619542798E-2</v>
      </c>
      <c r="R998">
        <v>0.99283120354490995</v>
      </c>
      <c r="S998" t="s">
        <v>4627</v>
      </c>
      <c r="T998" t="s">
        <v>7256</v>
      </c>
      <c r="U998" t="s">
        <v>7256</v>
      </c>
      <c r="V998" t="s">
        <v>7256</v>
      </c>
      <c r="W998">
        <v>10</v>
      </c>
      <c r="X998" t="s">
        <v>8254</v>
      </c>
      <c r="Y998">
        <v>0.55688624595608494</v>
      </c>
      <c r="Z998" t="str">
        <f>HYPERLINK("Melting_Curves/meltCurve_sp_P48059_LIMS1_HUMAN_.pdf", "Melting_Curves/meltCurve_sp_P48059_LIMS1_HUMAN_.pdf")</f>
        <v>Melting_Curves/meltCurve_sp_P48059_LIMS1_HUMAN_.pdf</v>
      </c>
      <c r="AA998" t="s">
        <v>11864</v>
      </c>
      <c r="AB998" t="s">
        <v>15424</v>
      </c>
    </row>
    <row r="999" spans="1:28" x14ac:dyDescent="0.25">
      <c r="A999" t="s">
        <v>1003</v>
      </c>
      <c r="B999">
        <v>0.98018197421672304</v>
      </c>
      <c r="C999">
        <v>0.93341943126929605</v>
      </c>
      <c r="D999">
        <v>0.89939412565747001</v>
      </c>
      <c r="E999">
        <v>0.74130462593767199</v>
      </c>
      <c r="F999">
        <v>0.39306823717552902</v>
      </c>
      <c r="G999">
        <v>0.143001023007955</v>
      </c>
      <c r="H999">
        <v>9.24444634744572E-2</v>
      </c>
      <c r="I999">
        <v>7.6601580546319603E-2</v>
      </c>
      <c r="J999">
        <v>0.113145207337119</v>
      </c>
      <c r="K999">
        <v>6.0380536208893797E-2</v>
      </c>
      <c r="L999">
        <v>1228.2492824554899</v>
      </c>
      <c r="M999">
        <v>23.772902852234498</v>
      </c>
      <c r="N999">
        <v>52.005131259270499</v>
      </c>
      <c r="O999">
        <v>51.304513239245402</v>
      </c>
      <c r="P999">
        <v>-0.10752489845094</v>
      </c>
      <c r="Q999">
        <v>7.1813478878734793E-2</v>
      </c>
      <c r="R999">
        <v>0.99320389208570004</v>
      </c>
      <c r="S999" t="s">
        <v>4628</v>
      </c>
      <c r="T999" t="s">
        <v>7256</v>
      </c>
      <c r="U999" t="s">
        <v>7256</v>
      </c>
      <c r="V999" t="s">
        <v>7256</v>
      </c>
      <c r="W999">
        <v>17</v>
      </c>
      <c r="X999" t="s">
        <v>8255</v>
      </c>
      <c r="Y999">
        <v>0.442058350869454</v>
      </c>
      <c r="Z999" t="str">
        <f>HYPERLINK("Melting_Curves/meltCurve_sp_P48147_PPCE_HUMAN_.pdf", "Melting_Curves/meltCurve_sp_P48147_PPCE_HUMAN_.pdf")</f>
        <v>Melting_Curves/meltCurve_sp_P48147_PPCE_HUMAN_.pdf</v>
      </c>
      <c r="AA999" t="s">
        <v>11865</v>
      </c>
      <c r="AB999" t="s">
        <v>15425</v>
      </c>
    </row>
    <row r="1000" spans="1:28" x14ac:dyDescent="0.25">
      <c r="A1000" t="s">
        <v>1004</v>
      </c>
      <c r="B1000">
        <v>0.98018197421672304</v>
      </c>
      <c r="C1000">
        <v>0.99046984097697499</v>
      </c>
      <c r="D1000">
        <v>0.92019194929794601</v>
      </c>
      <c r="E1000">
        <v>0.85655672193677901</v>
      </c>
      <c r="F1000">
        <v>0.74365756903679003</v>
      </c>
      <c r="G1000">
        <v>0.46731998815621101</v>
      </c>
      <c r="H1000">
        <v>0.14309784139317699</v>
      </c>
      <c r="I1000">
        <v>9.8023149632134501E-2</v>
      </c>
      <c r="J1000">
        <v>9.3062683368694402E-2</v>
      </c>
      <c r="K1000">
        <v>6.01892209213679E-2</v>
      </c>
      <c r="L1000">
        <v>967.87059289256604</v>
      </c>
      <c r="M1000">
        <v>17.3095923412533</v>
      </c>
      <c r="N1000">
        <v>56.012044842632399</v>
      </c>
      <c r="O1000">
        <v>55.184974946662003</v>
      </c>
      <c r="P1000">
        <v>-7.7265687198271898E-2</v>
      </c>
      <c r="Q1000">
        <v>1.47287702930995E-2</v>
      </c>
      <c r="R1000">
        <v>0.99235571383071597</v>
      </c>
      <c r="S1000" t="s">
        <v>4629</v>
      </c>
      <c r="T1000" t="s">
        <v>7256</v>
      </c>
      <c r="U1000" t="s">
        <v>7256</v>
      </c>
      <c r="V1000" t="s">
        <v>7256</v>
      </c>
      <c r="W1000">
        <v>9</v>
      </c>
      <c r="X1000" t="s">
        <v>8256</v>
      </c>
      <c r="Y1000">
        <v>0.55269048370203566</v>
      </c>
      <c r="Z1000" t="str">
        <f>HYPERLINK("Melting_Curves/meltCurve_sp_P48163_MAOX_HUMAN_.pdf", "Melting_Curves/meltCurve_sp_P48163_MAOX_HUMAN_.pdf")</f>
        <v>Melting_Curves/meltCurve_sp_P48163_MAOX_HUMAN_.pdf</v>
      </c>
      <c r="AA1000" t="s">
        <v>11866</v>
      </c>
      <c r="AB1000" t="s">
        <v>15426</v>
      </c>
    </row>
    <row r="1001" spans="1:28" x14ac:dyDescent="0.25">
      <c r="A1001" t="s">
        <v>1005</v>
      </c>
      <c r="B1001">
        <v>0.98018197421672304</v>
      </c>
      <c r="C1001">
        <v>0.92116216105487103</v>
      </c>
      <c r="D1001">
        <v>0.78971245162867998</v>
      </c>
      <c r="E1001">
        <v>0.43209725703273399</v>
      </c>
      <c r="F1001">
        <v>0.24305487239121901</v>
      </c>
      <c r="G1001">
        <v>0.14478256055031499</v>
      </c>
      <c r="H1001">
        <v>8.7227110447192793E-2</v>
      </c>
      <c r="I1001">
        <v>8.3225926873160105E-2</v>
      </c>
      <c r="J1001">
        <v>6.7094652599927904E-2</v>
      </c>
      <c r="K1001">
        <v>6.0112555349308198E-2</v>
      </c>
      <c r="L1001">
        <v>894.54827975989599</v>
      </c>
      <c r="M1001">
        <v>18.2916122699827</v>
      </c>
      <c r="N1001">
        <v>49.2782297672601</v>
      </c>
      <c r="O1001">
        <v>48.331559516343297</v>
      </c>
      <c r="P1001">
        <v>-8.8496605505080095E-2</v>
      </c>
      <c r="Q1001">
        <v>6.4712140931431503E-2</v>
      </c>
      <c r="R1001">
        <v>0.99937868334128999</v>
      </c>
      <c r="S1001" t="s">
        <v>4630</v>
      </c>
      <c r="T1001" t="s">
        <v>7256</v>
      </c>
      <c r="U1001" t="s">
        <v>7256</v>
      </c>
      <c r="V1001" t="s">
        <v>7256</v>
      </c>
      <c r="W1001">
        <v>3</v>
      </c>
      <c r="X1001" t="s">
        <v>8257</v>
      </c>
      <c r="Y1001">
        <v>0.35804625672384027</v>
      </c>
      <c r="Z1001" t="str">
        <f>HYPERLINK("Melting_Curves/meltCurve_sp_P48200_IREB2_HUMAN_.pdf", "Melting_Curves/meltCurve_sp_P48200_IREB2_HUMAN_.pdf")</f>
        <v>Melting_Curves/meltCurve_sp_P48200_IREB2_HUMAN_.pdf</v>
      </c>
      <c r="AA1001" t="s">
        <v>11867</v>
      </c>
      <c r="AB1001" t="s">
        <v>15427</v>
      </c>
    </row>
    <row r="1002" spans="1:28" x14ac:dyDescent="0.25">
      <c r="A1002" t="s">
        <v>1006</v>
      </c>
      <c r="B1002">
        <v>0.98018197421672304</v>
      </c>
      <c r="C1002">
        <v>0.930794305779436</v>
      </c>
      <c r="D1002">
        <v>0.91149530694424596</v>
      </c>
      <c r="E1002">
        <v>0.71371504153767096</v>
      </c>
      <c r="F1002">
        <v>0.50015685715164304</v>
      </c>
      <c r="G1002">
        <v>0.27013472301580299</v>
      </c>
      <c r="H1002">
        <v>0.102116308670315</v>
      </c>
      <c r="I1002">
        <v>7.1530281034840201E-2</v>
      </c>
      <c r="J1002">
        <v>7.2565662463352304E-2</v>
      </c>
      <c r="K1002">
        <v>6.7497654580509395E-2</v>
      </c>
      <c r="L1002">
        <v>819.66544965041396</v>
      </c>
      <c r="M1002">
        <v>15.539893526376799</v>
      </c>
      <c r="N1002">
        <v>52.934540629040598</v>
      </c>
      <c r="O1002">
        <v>51.895583375409302</v>
      </c>
      <c r="P1002">
        <v>-7.2850894819189105E-2</v>
      </c>
      <c r="Q1002">
        <v>2.6941291041957999E-2</v>
      </c>
      <c r="R1002">
        <v>0.99723239895368498</v>
      </c>
      <c r="S1002" t="s">
        <v>4631</v>
      </c>
      <c r="T1002" t="s">
        <v>7256</v>
      </c>
      <c r="U1002" t="s">
        <v>7256</v>
      </c>
      <c r="V1002" t="s">
        <v>7256</v>
      </c>
      <c r="W1002">
        <v>28</v>
      </c>
      <c r="X1002" t="s">
        <v>8258</v>
      </c>
      <c r="Y1002">
        <v>0.46046001640897333</v>
      </c>
      <c r="Z1002" t="str">
        <f>HYPERLINK("Melting_Curves/meltCurve_sp_P48444_COPD_HUMAN_.pdf", "Melting_Curves/meltCurve_sp_P48444_COPD_HUMAN_.pdf")</f>
        <v>Melting_Curves/meltCurve_sp_P48444_COPD_HUMAN_.pdf</v>
      </c>
      <c r="AA1002" t="s">
        <v>11868</v>
      </c>
      <c r="AB1002" t="s">
        <v>15428</v>
      </c>
    </row>
    <row r="1003" spans="1:28" x14ac:dyDescent="0.25">
      <c r="A1003" t="s">
        <v>1007</v>
      </c>
      <c r="B1003">
        <v>0.98018197421672304</v>
      </c>
      <c r="C1003">
        <v>0.88863532653483102</v>
      </c>
      <c r="D1003">
        <v>0.72148339460361699</v>
      </c>
      <c r="E1003">
        <v>0.37915391365496798</v>
      </c>
      <c r="F1003">
        <v>0.19170140330424801</v>
      </c>
      <c r="G1003">
        <v>0.116359365493768</v>
      </c>
      <c r="H1003">
        <v>7.8988016910430101E-2</v>
      </c>
      <c r="I1003">
        <v>5.3994394408473201E-2</v>
      </c>
      <c r="J1003">
        <v>5.70185139761923E-2</v>
      </c>
      <c r="K1003">
        <v>3.9387373171533298E-2</v>
      </c>
      <c r="L1003">
        <v>848.62484132927</v>
      </c>
      <c r="M1003">
        <v>17.607147171083401</v>
      </c>
      <c r="N1003">
        <v>48.4637515511033</v>
      </c>
      <c r="O1003">
        <v>47.588915450074701</v>
      </c>
      <c r="P1003">
        <v>-8.8240830677074097E-2</v>
      </c>
      <c r="Q1003">
        <v>4.6055700677197803E-2</v>
      </c>
      <c r="R1003">
        <v>0.99926869071779401</v>
      </c>
      <c r="S1003" t="s">
        <v>4632</v>
      </c>
      <c r="T1003" t="s">
        <v>7256</v>
      </c>
      <c r="U1003" t="s">
        <v>7256</v>
      </c>
      <c r="V1003" t="s">
        <v>7256</v>
      </c>
      <c r="W1003">
        <v>11</v>
      </c>
      <c r="X1003" t="s">
        <v>8259</v>
      </c>
      <c r="Y1003">
        <v>0.32434244289307451</v>
      </c>
      <c r="Z1003" t="str">
        <f>HYPERLINK("Melting_Curves/meltCurve_sp_P48449_3_ERG7_HUMAN_.pdf", "Melting_Curves/meltCurve_sp_P48449_3_ERG7_HUMAN_.pdf")</f>
        <v>Melting_Curves/meltCurve_sp_P48449_3_ERG7_HUMAN_.pdf</v>
      </c>
      <c r="AA1003" t="s">
        <v>11869</v>
      </c>
      <c r="AB1003" t="s">
        <v>15429</v>
      </c>
    </row>
    <row r="1004" spans="1:28" x14ac:dyDescent="0.25">
      <c r="A1004" t="s">
        <v>1008</v>
      </c>
      <c r="B1004">
        <v>0.98018197421672304</v>
      </c>
      <c r="C1004">
        <v>0.93540887260509797</v>
      </c>
      <c r="D1004">
        <v>0.94110215465023395</v>
      </c>
      <c r="E1004">
        <v>0.546230902373528</v>
      </c>
      <c r="F1004">
        <v>0.19800836238973801</v>
      </c>
      <c r="G1004">
        <v>0.10241198797405</v>
      </c>
      <c r="H1004">
        <v>5.4468232521534397E-2</v>
      </c>
      <c r="I1004">
        <v>4.0486823250946102E-2</v>
      </c>
      <c r="J1004">
        <v>5.1176548251674503E-2</v>
      </c>
      <c r="K1004">
        <v>4.17585170349919E-2</v>
      </c>
      <c r="L1004">
        <v>1447.8219921187299</v>
      </c>
      <c r="M1004">
        <v>28.886770818651598</v>
      </c>
      <c r="N1004">
        <v>50.299138111846801</v>
      </c>
      <c r="O1004">
        <v>49.882228823105002</v>
      </c>
      <c r="P1004">
        <v>-0.13772115900104601</v>
      </c>
      <c r="Q1004">
        <v>4.8728975853036198E-2</v>
      </c>
      <c r="R1004">
        <v>0.99696117075619695</v>
      </c>
      <c r="S1004" t="s">
        <v>4633</v>
      </c>
      <c r="T1004" t="s">
        <v>7256</v>
      </c>
      <c r="U1004" t="s">
        <v>7256</v>
      </c>
      <c r="V1004" t="s">
        <v>7256</v>
      </c>
      <c r="W1004">
        <v>22</v>
      </c>
      <c r="X1004" t="s">
        <v>8260</v>
      </c>
      <c r="Y1004">
        <v>0.37600641898073323</v>
      </c>
      <c r="Z1004" t="str">
        <f>HYPERLINK("Melting_Curves/meltCurve_sp_P48506_GSH1_HUMAN_.pdf", "Melting_Curves/meltCurve_sp_P48506_GSH1_HUMAN_.pdf")</f>
        <v>Melting_Curves/meltCurve_sp_P48506_GSH1_HUMAN_.pdf</v>
      </c>
      <c r="AA1004" t="s">
        <v>11870</v>
      </c>
      <c r="AB1004" t="s">
        <v>15430</v>
      </c>
    </row>
    <row r="1005" spans="1:28" x14ac:dyDescent="0.25">
      <c r="A1005" t="s">
        <v>1009</v>
      </c>
      <c r="B1005">
        <v>0.98018197421672304</v>
      </c>
      <c r="C1005">
        <v>0.96546552638492</v>
      </c>
      <c r="D1005">
        <v>0.93059925972494195</v>
      </c>
      <c r="E1005">
        <v>0.70943774896489598</v>
      </c>
      <c r="F1005">
        <v>0.37952385846591002</v>
      </c>
      <c r="G1005">
        <v>0.156906601523638</v>
      </c>
      <c r="H1005">
        <v>8.4745528141516605E-2</v>
      </c>
      <c r="I1005">
        <v>6.9767441861716101E-2</v>
      </c>
      <c r="J1005">
        <v>5.27036504178428E-2</v>
      </c>
      <c r="K1005">
        <v>6.7008290064016401E-2</v>
      </c>
      <c r="L1005">
        <v>1178.5914931570801</v>
      </c>
      <c r="M1005">
        <v>22.838676425252</v>
      </c>
      <c r="N1005">
        <v>51.8794618426016</v>
      </c>
      <c r="O1005">
        <v>51.214315191660702</v>
      </c>
      <c r="P1005">
        <v>-0.105145280778871</v>
      </c>
      <c r="Q1005">
        <v>5.6891094146451798E-2</v>
      </c>
      <c r="R1005">
        <v>0.99886381848630401</v>
      </c>
      <c r="S1005" t="s">
        <v>4634</v>
      </c>
      <c r="T1005" t="s">
        <v>7256</v>
      </c>
      <c r="U1005" t="s">
        <v>7256</v>
      </c>
      <c r="V1005" t="s">
        <v>7256</v>
      </c>
      <c r="W1005">
        <v>8</v>
      </c>
      <c r="X1005" t="s">
        <v>8261</v>
      </c>
      <c r="Y1005">
        <v>0.43192325691182892</v>
      </c>
      <c r="Z1005" t="str">
        <f>HYPERLINK("Melting_Curves/meltCurve_sp_P48507_GSH0_HUMAN_.pdf", "Melting_Curves/meltCurve_sp_P48507_GSH0_HUMAN_.pdf")</f>
        <v>Melting_Curves/meltCurve_sp_P48507_GSH0_HUMAN_.pdf</v>
      </c>
      <c r="AA1005" t="s">
        <v>11871</v>
      </c>
      <c r="AB1005" t="s">
        <v>15431</v>
      </c>
    </row>
    <row r="1006" spans="1:28" x14ac:dyDescent="0.25">
      <c r="A1006" t="s">
        <v>1010</v>
      </c>
      <c r="B1006">
        <v>0.98018197421672304</v>
      </c>
      <c r="C1006">
        <v>0.83713089020834797</v>
      </c>
      <c r="D1006">
        <v>0.93270850473915301</v>
      </c>
      <c r="E1006">
        <v>0.64697581889877998</v>
      </c>
      <c r="F1006">
        <v>0.38588960569265501</v>
      </c>
      <c r="G1006">
        <v>0.120655146969103</v>
      </c>
      <c r="H1006">
        <v>6.0665883930333002E-2</v>
      </c>
      <c r="I1006">
        <v>9.3202218619136495E-2</v>
      </c>
      <c r="J1006">
        <v>0.110018622037255</v>
      </c>
      <c r="K1006">
        <v>3.78205799304559E-2</v>
      </c>
      <c r="L1006">
        <v>1031.9821266575</v>
      </c>
      <c r="M1006">
        <v>20.158949132470099</v>
      </c>
      <c r="N1006">
        <v>51.481991734232899</v>
      </c>
      <c r="O1006">
        <v>50.6964875825444</v>
      </c>
      <c r="P1006">
        <v>-9.4082042396113105E-2</v>
      </c>
      <c r="Q1006">
        <v>5.3625509461781302E-2</v>
      </c>
      <c r="R1006">
        <v>0.97994278455990202</v>
      </c>
      <c r="S1006" t="s">
        <v>4635</v>
      </c>
      <c r="T1006" t="s">
        <v>7256</v>
      </c>
      <c r="U1006" t="s">
        <v>7256</v>
      </c>
      <c r="V1006" t="s">
        <v>7256</v>
      </c>
      <c r="W1006">
        <v>1</v>
      </c>
      <c r="X1006" t="s">
        <v>8262</v>
      </c>
      <c r="Y1006">
        <v>0.41963341630704781</v>
      </c>
      <c r="Z1006" t="str">
        <f>HYPERLINK("Melting_Curves/meltCurve_sp_P48553_TPC10_HUMAN_.pdf", "Melting_Curves/meltCurve_sp_P48553_TPC10_HUMAN_.pdf")</f>
        <v>Melting_Curves/meltCurve_sp_P48553_TPC10_HUMAN_.pdf</v>
      </c>
      <c r="AA1006" t="s">
        <v>11872</v>
      </c>
      <c r="AB1006" t="s">
        <v>15432</v>
      </c>
    </row>
    <row r="1007" spans="1:28" x14ac:dyDescent="0.25">
      <c r="A1007" t="s">
        <v>1011</v>
      </c>
      <c r="B1007">
        <v>0.98018197421672304</v>
      </c>
      <c r="C1007">
        <v>0.96825335124312895</v>
      </c>
      <c r="D1007">
        <v>0.881949211633968</v>
      </c>
      <c r="E1007">
        <v>0.756910070509065</v>
      </c>
      <c r="F1007">
        <v>0.66027317374361705</v>
      </c>
      <c r="G1007">
        <v>0.48990524906268801</v>
      </c>
      <c r="H1007">
        <v>0.42272696400057003</v>
      </c>
      <c r="I1007">
        <v>0.471253087534871</v>
      </c>
      <c r="J1007">
        <v>0.56759840369144898</v>
      </c>
      <c r="K1007">
        <v>0.71658205443026302</v>
      </c>
      <c r="L1007">
        <v>1016.14930930756</v>
      </c>
      <c r="M1007">
        <v>20.611019074488201</v>
      </c>
      <c r="O1007">
        <v>48.844207512870902</v>
      </c>
      <c r="P1007">
        <v>-4.9195671432631399E-2</v>
      </c>
      <c r="Q1007">
        <v>0.53367583753416703</v>
      </c>
      <c r="R1007">
        <v>0.83850156359427896</v>
      </c>
      <c r="S1007" t="s">
        <v>4636</v>
      </c>
      <c r="T1007" t="s">
        <v>7256</v>
      </c>
      <c r="U1007" t="s">
        <v>7256</v>
      </c>
      <c r="V1007" t="s">
        <v>7256</v>
      </c>
      <c r="W1007">
        <v>9</v>
      </c>
      <c r="X1007" t="s">
        <v>8263</v>
      </c>
      <c r="Y1007">
        <v>0.68438913971933979</v>
      </c>
      <c r="Z1007" t="str">
        <f>HYPERLINK("Melting_Curves/meltCurve_sp_P48634_PRC2A_HUMAN_.pdf", "Melting_Curves/meltCurve_sp_P48634_PRC2A_HUMAN_.pdf")</f>
        <v>Melting_Curves/meltCurve_sp_P48634_PRC2A_HUMAN_.pdf</v>
      </c>
      <c r="AA1007" t="s">
        <v>11873</v>
      </c>
      <c r="AB1007" t="s">
        <v>15433</v>
      </c>
    </row>
    <row r="1008" spans="1:28" x14ac:dyDescent="0.25">
      <c r="A1008" t="s">
        <v>1012</v>
      </c>
      <c r="B1008">
        <v>0.98018197421672304</v>
      </c>
      <c r="C1008">
        <v>0.85212455628082295</v>
      </c>
      <c r="D1008">
        <v>0.92787263178495905</v>
      </c>
      <c r="E1008">
        <v>0.84600546325283199</v>
      </c>
      <c r="F1008">
        <v>0.77856737509929697</v>
      </c>
      <c r="G1008">
        <v>0.61249002730139102</v>
      </c>
      <c r="H1008">
        <v>0.37008456469022599</v>
      </c>
      <c r="I1008">
        <v>0.12690481582895799</v>
      </c>
      <c r="J1008">
        <v>5.2667482307229598E-2</v>
      </c>
      <c r="K1008">
        <v>4.50052456888963E-2</v>
      </c>
      <c r="L1008">
        <v>864.478264285347</v>
      </c>
      <c r="M1008">
        <v>14.9569983319399</v>
      </c>
      <c r="N1008">
        <v>57.797577253101302</v>
      </c>
      <c r="O1008">
        <v>56.793926610631999</v>
      </c>
      <c r="P1008">
        <v>-6.5845628063762804E-2</v>
      </c>
      <c r="Q1008">
        <v>0</v>
      </c>
      <c r="R1008">
        <v>0.96636443068061495</v>
      </c>
      <c r="S1008" t="s">
        <v>4637</v>
      </c>
      <c r="T1008" t="s">
        <v>7256</v>
      </c>
      <c r="U1008" t="s">
        <v>7256</v>
      </c>
      <c r="V1008" t="s">
        <v>7256</v>
      </c>
      <c r="W1008">
        <v>23</v>
      </c>
      <c r="X1008" t="s">
        <v>8264</v>
      </c>
      <c r="Y1008">
        <v>0.60722004476549263</v>
      </c>
      <c r="Z1008" t="str">
        <f>HYPERLINK("Melting_Curves/meltCurve_sp_P48637_GSHB_HUMAN_.pdf", "Melting_Curves/meltCurve_sp_P48637_GSHB_HUMAN_.pdf")</f>
        <v>Melting_Curves/meltCurve_sp_P48637_GSHB_HUMAN_.pdf</v>
      </c>
      <c r="AA1008" t="s">
        <v>11874</v>
      </c>
      <c r="AB1008" t="s">
        <v>15434</v>
      </c>
    </row>
    <row r="1009" spans="1:28" x14ac:dyDescent="0.25">
      <c r="A1009" t="s">
        <v>1013</v>
      </c>
      <c r="B1009">
        <v>0.98018197421672304</v>
      </c>
      <c r="C1009">
        <v>1.0135576111695701</v>
      </c>
      <c r="D1009">
        <v>0.95366626287025802</v>
      </c>
      <c r="E1009">
        <v>0.826659528799633</v>
      </c>
      <c r="F1009">
        <v>0.61769703264324805</v>
      </c>
      <c r="G1009">
        <v>0.20291835951972301</v>
      </c>
      <c r="H1009">
        <v>7.2801196771051804E-2</v>
      </c>
      <c r="I1009">
        <v>5.4612841723789898E-2</v>
      </c>
      <c r="J1009">
        <v>5.7041719821723097E-2</v>
      </c>
      <c r="K1009">
        <v>4.4959782143659102E-2</v>
      </c>
      <c r="L1009">
        <v>1280.58502104422</v>
      </c>
      <c r="M1009">
        <v>23.878852781414899</v>
      </c>
      <c r="N1009">
        <v>53.791553085790703</v>
      </c>
      <c r="O1009">
        <v>53.2565487355863</v>
      </c>
      <c r="P1009">
        <v>-0.108179863455884</v>
      </c>
      <c r="Q1009">
        <v>3.4929678421501999E-2</v>
      </c>
      <c r="R1009">
        <v>0.99754953820109205</v>
      </c>
      <c r="S1009" t="s">
        <v>4638</v>
      </c>
      <c r="T1009" t="s">
        <v>7256</v>
      </c>
      <c r="U1009" t="s">
        <v>7256</v>
      </c>
      <c r="V1009" t="s">
        <v>7256</v>
      </c>
      <c r="W1009">
        <v>24</v>
      </c>
      <c r="X1009" t="s">
        <v>8265</v>
      </c>
      <c r="Y1009">
        <v>0.48304045536954537</v>
      </c>
      <c r="Z1009" t="str">
        <f>HYPERLINK("Melting_Curves/meltCurve_sp_P48643_TCPE_HUMAN_.pdf", "Melting_Curves/meltCurve_sp_P48643_TCPE_HUMAN_.pdf")</f>
        <v>Melting_Curves/meltCurve_sp_P48643_TCPE_HUMAN_.pdf</v>
      </c>
      <c r="AA1009" t="s">
        <v>11875</v>
      </c>
      <c r="AB1009" t="s">
        <v>15435</v>
      </c>
    </row>
    <row r="1010" spans="1:28" x14ac:dyDescent="0.25">
      <c r="A1010" t="s">
        <v>1014</v>
      </c>
      <c r="B1010">
        <v>0.98018197421672304</v>
      </c>
      <c r="C1010">
        <v>0.74523939442475096</v>
      </c>
      <c r="D1010">
        <v>0.66245570876570903</v>
      </c>
      <c r="E1010">
        <v>0.43108220251025497</v>
      </c>
      <c r="F1010">
        <v>0.27141010498981799</v>
      </c>
      <c r="G1010">
        <v>0</v>
      </c>
      <c r="H1010">
        <v>0.53886568545657898</v>
      </c>
      <c r="I1010">
        <v>0</v>
      </c>
      <c r="J1010">
        <v>12.317688976897401</v>
      </c>
      <c r="K1010">
        <v>2.1568135886116502</v>
      </c>
      <c r="L1010">
        <v>4564.7907722600803</v>
      </c>
      <c r="M1010">
        <v>71.547515945024699</v>
      </c>
      <c r="O1010">
        <v>63.751040395371199</v>
      </c>
      <c r="P1010">
        <v>0.14028698829279701</v>
      </c>
      <c r="Q1010">
        <v>1.5</v>
      </c>
      <c r="R1010">
        <v>3.4989285788344003E-2</v>
      </c>
      <c r="S1010" t="s">
        <v>4639</v>
      </c>
      <c r="T1010" t="s">
        <v>7256</v>
      </c>
      <c r="U1010" t="s">
        <v>7256</v>
      </c>
      <c r="V1010" t="s">
        <v>7256</v>
      </c>
      <c r="W1010">
        <v>28</v>
      </c>
      <c r="X1010" t="s">
        <v>8266</v>
      </c>
      <c r="Y1010">
        <v>1.102666965628506</v>
      </c>
      <c r="Z1010" t="str">
        <f>HYPERLINK("Melting_Curves/meltCurve_sp_P48668_K2C6C_HUMAN_.pdf", "Melting_Curves/meltCurve_sp_P48668_K2C6C_HUMAN_.pdf")</f>
        <v>Melting_Curves/meltCurve_sp_P48668_K2C6C_HUMAN_.pdf</v>
      </c>
      <c r="AA1010" t="s">
        <v>11876</v>
      </c>
      <c r="AB1010" t="s">
        <v>15436</v>
      </c>
    </row>
    <row r="1011" spans="1:28" x14ac:dyDescent="0.25">
      <c r="A1011" t="s">
        <v>1015</v>
      </c>
      <c r="B1011">
        <v>0.98018197421672304</v>
      </c>
      <c r="C1011">
        <v>1.0006855532735</v>
      </c>
      <c r="D1011">
        <v>0.95465817759972704</v>
      </c>
      <c r="E1011">
        <v>0.61011080945422502</v>
      </c>
      <c r="F1011">
        <v>0.22769407269761199</v>
      </c>
      <c r="G1011">
        <v>8.6333897621835798E-2</v>
      </c>
      <c r="H1011">
        <v>4.8705909873110603E-2</v>
      </c>
      <c r="I1011">
        <v>3.6573067778578598E-2</v>
      </c>
      <c r="J1011">
        <v>5.0598582304426501E-2</v>
      </c>
      <c r="K1011">
        <v>2.5473085865003599E-2</v>
      </c>
      <c r="L1011">
        <v>1538.4834116166101</v>
      </c>
      <c r="M1011">
        <v>30.403362949516399</v>
      </c>
      <c r="N1011">
        <v>50.744888223273698</v>
      </c>
      <c r="O1011">
        <v>50.384999607421697</v>
      </c>
      <c r="P1011">
        <v>-0.144684635530341</v>
      </c>
      <c r="Q1011">
        <v>4.0909931017321398E-2</v>
      </c>
      <c r="R1011">
        <v>0.99938142826026299</v>
      </c>
      <c r="S1011" t="s">
        <v>4640</v>
      </c>
      <c r="T1011" t="s">
        <v>7256</v>
      </c>
      <c r="U1011" t="s">
        <v>7256</v>
      </c>
      <c r="V1011" t="s">
        <v>7256</v>
      </c>
      <c r="W1011">
        <v>16</v>
      </c>
      <c r="X1011" t="s">
        <v>8267</v>
      </c>
      <c r="Y1011">
        <v>0.38569755720169602</v>
      </c>
      <c r="Z1011" t="str">
        <f>HYPERLINK("Melting_Curves/meltCurve_sp_P48728_GCST_HUMAN_.pdf", "Melting_Curves/meltCurve_sp_P48728_GCST_HUMAN_.pdf")</f>
        <v>Melting_Curves/meltCurve_sp_P48728_GCST_HUMAN_.pdf</v>
      </c>
      <c r="AA1011" t="s">
        <v>11877</v>
      </c>
      <c r="AB1011" t="s">
        <v>15437</v>
      </c>
    </row>
    <row r="1012" spans="1:28" x14ac:dyDescent="0.25">
      <c r="A1012" t="s">
        <v>1016</v>
      </c>
      <c r="B1012">
        <v>0.98018197421672304</v>
      </c>
      <c r="C1012">
        <v>0.80221189368111501</v>
      </c>
      <c r="D1012">
        <v>0.37807759046154499</v>
      </c>
      <c r="E1012">
        <v>0.104772047185607</v>
      </c>
      <c r="F1012">
        <v>4.7272108334202201E-2</v>
      </c>
      <c r="G1012">
        <v>3.5132968441159103E-2</v>
      </c>
      <c r="H1012">
        <v>2.39774085632063E-2</v>
      </c>
      <c r="I1012">
        <v>1.9977581805923201E-2</v>
      </c>
      <c r="J1012">
        <v>2.0012247710388599E-2</v>
      </c>
      <c r="K1012">
        <v>1.3443330207051201E-2</v>
      </c>
      <c r="L1012">
        <v>1199.4427427995399</v>
      </c>
      <c r="M1012">
        <v>26.604946667656801</v>
      </c>
      <c r="N1012">
        <v>45.167902220483299</v>
      </c>
      <c r="O1012">
        <v>44.831044737910702</v>
      </c>
      <c r="P1012">
        <v>-0.14476431735606099</v>
      </c>
      <c r="Q1012">
        <v>2.4261425344361001E-2</v>
      </c>
      <c r="R1012">
        <v>0.99944641991680006</v>
      </c>
      <c r="S1012" t="s">
        <v>4641</v>
      </c>
      <c r="T1012" t="s">
        <v>7256</v>
      </c>
      <c r="U1012" t="s">
        <v>7256</v>
      </c>
      <c r="V1012" t="s">
        <v>7256</v>
      </c>
      <c r="W1012">
        <v>30</v>
      </c>
      <c r="X1012" t="s">
        <v>8268</v>
      </c>
      <c r="Y1012">
        <v>0.19790373742575029</v>
      </c>
      <c r="Z1012" t="str">
        <f>HYPERLINK("Melting_Curves/meltCurve_sp_P48735_IDHP_HUMAN_.pdf", "Melting_Curves/meltCurve_sp_P48735_IDHP_HUMAN_.pdf")</f>
        <v>Melting_Curves/meltCurve_sp_P48735_IDHP_HUMAN_.pdf</v>
      </c>
      <c r="AA1012" t="s">
        <v>11878</v>
      </c>
      <c r="AB1012" t="s">
        <v>15438</v>
      </c>
    </row>
    <row r="1013" spans="1:28" x14ac:dyDescent="0.25">
      <c r="A1013" t="s">
        <v>1017</v>
      </c>
      <c r="B1013">
        <v>0.98018197421672304</v>
      </c>
      <c r="C1013">
        <v>0.96240640570209202</v>
      </c>
      <c r="D1013">
        <v>0.92612147613580698</v>
      </c>
      <c r="E1013">
        <v>0.80353907728666096</v>
      </c>
      <c r="F1013">
        <v>0.72732453648384499</v>
      </c>
      <c r="G1013">
        <v>0.43536252728944103</v>
      </c>
      <c r="H1013">
        <v>0.102965532811696</v>
      </c>
      <c r="I1013">
        <v>6.7965118422565599E-2</v>
      </c>
      <c r="J1013">
        <v>6.3219751653700196E-2</v>
      </c>
      <c r="K1013">
        <v>4.50374237840147E-2</v>
      </c>
      <c r="L1013">
        <v>944.59866057375405</v>
      </c>
      <c r="M1013">
        <v>17.034398255018399</v>
      </c>
      <c r="N1013">
        <v>55.452408961324899</v>
      </c>
      <c r="O1013">
        <v>54.705122461702402</v>
      </c>
      <c r="P1013">
        <v>-7.7851222447495094E-2</v>
      </c>
      <c r="Q1013">
        <v>0</v>
      </c>
      <c r="R1013">
        <v>0.98854825775635102</v>
      </c>
      <c r="S1013" t="s">
        <v>4642</v>
      </c>
      <c r="T1013" t="s">
        <v>7256</v>
      </c>
      <c r="U1013" t="s">
        <v>7256</v>
      </c>
      <c r="V1013" t="s">
        <v>7256</v>
      </c>
      <c r="W1013">
        <v>21</v>
      </c>
      <c r="X1013" t="s">
        <v>8269</v>
      </c>
      <c r="Y1013">
        <v>0.53131417103123391</v>
      </c>
      <c r="Z1013" t="str">
        <f>HYPERLINK("Melting_Curves/meltCurve_sp_P48739_PIPNB_HUMAN_.pdf", "Melting_Curves/meltCurve_sp_P48739_PIPNB_HUMAN_.pdf")</f>
        <v>Melting_Curves/meltCurve_sp_P48739_PIPNB_HUMAN_.pdf</v>
      </c>
      <c r="AA1013" t="s">
        <v>11879</v>
      </c>
      <c r="AB1013" t="s">
        <v>15439</v>
      </c>
    </row>
    <row r="1014" spans="1:28" x14ac:dyDescent="0.25">
      <c r="A1014" t="s">
        <v>1018</v>
      </c>
      <c r="B1014">
        <v>0.98018197421672304</v>
      </c>
      <c r="C1014">
        <v>1.02426451337433</v>
      </c>
      <c r="D1014">
        <v>0.96300878364104803</v>
      </c>
      <c r="E1014">
        <v>0.84287067243085201</v>
      </c>
      <c r="F1014">
        <v>0.94562864256656898</v>
      </c>
      <c r="G1014">
        <v>0.82554565346236697</v>
      </c>
      <c r="H1014">
        <v>0.59321257626161705</v>
      </c>
      <c r="I1014">
        <v>0.617748517510047</v>
      </c>
      <c r="J1014">
        <v>0.74144296152084499</v>
      </c>
      <c r="K1014">
        <v>0.818303329399936</v>
      </c>
      <c r="L1014">
        <v>984.446888387277</v>
      </c>
      <c r="M1014">
        <v>18.349293199459801</v>
      </c>
      <c r="O1014">
        <v>53.025349821437402</v>
      </c>
      <c r="P1014">
        <v>-2.6306222267285798E-2</v>
      </c>
      <c r="Q1014">
        <v>0.69593745445191102</v>
      </c>
      <c r="R1014">
        <v>0.69334980280242098</v>
      </c>
      <c r="S1014" t="s">
        <v>4643</v>
      </c>
      <c r="T1014" t="s">
        <v>7256</v>
      </c>
      <c r="U1014" t="s">
        <v>7256</v>
      </c>
      <c r="V1014" t="s">
        <v>7256</v>
      </c>
      <c r="W1014">
        <v>2</v>
      </c>
      <c r="X1014" t="s">
        <v>8270</v>
      </c>
      <c r="Y1014">
        <v>0.83905627761018786</v>
      </c>
      <c r="Z1014" t="str">
        <f>HYPERLINK("Melting_Curves/meltCurve_sp_P49006_MRP_HUMAN_.pdf", "Melting_Curves/meltCurve_sp_P49006_MRP_HUMAN_.pdf")</f>
        <v>Melting_Curves/meltCurve_sp_P49006_MRP_HUMAN_.pdf</v>
      </c>
      <c r="AA1014" t="s">
        <v>11880</v>
      </c>
      <c r="AB1014" t="s">
        <v>15440</v>
      </c>
    </row>
    <row r="1015" spans="1:28" x14ac:dyDescent="0.25">
      <c r="A1015" t="s">
        <v>1019</v>
      </c>
      <c r="B1015">
        <v>0.98018197421672304</v>
      </c>
      <c r="C1015">
        <v>0.77851018174547204</v>
      </c>
      <c r="D1015">
        <v>0.76689036133043098</v>
      </c>
      <c r="E1015">
        <v>0.54034357945054801</v>
      </c>
      <c r="F1015">
        <v>0.39170085330250798</v>
      </c>
      <c r="G1015">
        <v>0.21597232934017499</v>
      </c>
      <c r="H1015">
        <v>0.28901630386559102</v>
      </c>
      <c r="I1015">
        <v>0.21967935651777201</v>
      </c>
      <c r="J1015">
        <v>0.34917623756909999</v>
      </c>
      <c r="K1015">
        <v>0.33009472539557499</v>
      </c>
      <c r="L1015">
        <v>699.14668951655801</v>
      </c>
      <c r="M1015">
        <v>14.7273628069913</v>
      </c>
      <c r="N1015">
        <v>50.031747841195703</v>
      </c>
      <c r="O1015">
        <v>46.623141980623402</v>
      </c>
      <c r="P1015">
        <v>-5.8081407361615399E-2</v>
      </c>
      <c r="Q1015">
        <v>0.26459525919119897</v>
      </c>
      <c r="R1015">
        <v>0.94170072150471495</v>
      </c>
      <c r="S1015" t="s">
        <v>4644</v>
      </c>
      <c r="T1015" t="s">
        <v>7256</v>
      </c>
      <c r="U1015" t="s">
        <v>7256</v>
      </c>
      <c r="V1015" t="s">
        <v>7256</v>
      </c>
      <c r="W1015">
        <v>2</v>
      </c>
      <c r="X1015" t="s">
        <v>8271</v>
      </c>
      <c r="Y1015">
        <v>0.46794516320067731</v>
      </c>
      <c r="Z1015" t="str">
        <f>HYPERLINK("Melting_Curves/meltCurve_sp_P49137_MAPK2_HUMAN_.pdf", "Melting_Curves/meltCurve_sp_P49137_MAPK2_HUMAN_.pdf")</f>
        <v>Melting_Curves/meltCurve_sp_P49137_MAPK2_HUMAN_.pdf</v>
      </c>
      <c r="AA1015" t="s">
        <v>11881</v>
      </c>
      <c r="AB1015" t="s">
        <v>15441</v>
      </c>
    </row>
    <row r="1016" spans="1:28" x14ac:dyDescent="0.25">
      <c r="A1016" t="s">
        <v>1020</v>
      </c>
      <c r="B1016">
        <v>0.98018197421672304</v>
      </c>
      <c r="C1016">
        <v>0.84700784693754705</v>
      </c>
      <c r="D1016">
        <v>0.90271250909216105</v>
      </c>
      <c r="E1016">
        <v>0.746320961454495</v>
      </c>
      <c r="F1016">
        <v>0.47918237720127599</v>
      </c>
      <c r="G1016">
        <v>0.180239613764689</v>
      </c>
      <c r="H1016">
        <v>5.1675433274061801E-2</v>
      </c>
      <c r="I1016">
        <v>3.1350913976830798E-2</v>
      </c>
      <c r="J1016">
        <v>3.3306973738524197E-2</v>
      </c>
      <c r="K1016">
        <v>2.3200992403231799E-2</v>
      </c>
      <c r="L1016">
        <v>939.62591296491701</v>
      </c>
      <c r="M1016">
        <v>17.8647664628757</v>
      </c>
      <c r="N1016">
        <v>52.5965972757106</v>
      </c>
      <c r="O1016">
        <v>51.950834794482802</v>
      </c>
      <c r="P1016">
        <v>-8.5973953020843097E-2</v>
      </c>
      <c r="Q1016">
        <v>0</v>
      </c>
      <c r="R1016">
        <v>0.98530363865741</v>
      </c>
      <c r="S1016" t="s">
        <v>4645</v>
      </c>
      <c r="T1016" t="s">
        <v>7256</v>
      </c>
      <c r="U1016" t="s">
        <v>7256</v>
      </c>
      <c r="V1016" t="s">
        <v>7256</v>
      </c>
      <c r="W1016">
        <v>28</v>
      </c>
      <c r="X1016" t="s">
        <v>8272</v>
      </c>
      <c r="Y1016">
        <v>0.43658367988218111</v>
      </c>
      <c r="Z1016" t="str">
        <f>HYPERLINK("Melting_Curves/meltCurve_sp_P49189_AL9A1_HUMAN_.pdf", "Melting_Curves/meltCurve_sp_P49189_AL9A1_HUMAN_.pdf")</f>
        <v>Melting_Curves/meltCurve_sp_P49189_AL9A1_HUMAN_.pdf</v>
      </c>
      <c r="AA1016" t="s">
        <v>11882</v>
      </c>
      <c r="AB1016" t="s">
        <v>15442</v>
      </c>
    </row>
    <row r="1017" spans="1:28" x14ac:dyDescent="0.25">
      <c r="A1017" t="s">
        <v>1021</v>
      </c>
      <c r="B1017">
        <v>0.98018197421672304</v>
      </c>
      <c r="C1017">
        <v>0.805430198655122</v>
      </c>
      <c r="D1017">
        <v>0.92361086441009599</v>
      </c>
      <c r="E1017">
        <v>0.71915082829261701</v>
      </c>
      <c r="F1017">
        <v>0.64605761055648403</v>
      </c>
      <c r="G1017">
        <v>0.58115516925343602</v>
      </c>
      <c r="H1017">
        <v>0.43837320541415697</v>
      </c>
      <c r="I1017">
        <v>0.45606454854545098</v>
      </c>
      <c r="J1017">
        <v>0.43181648595217997</v>
      </c>
      <c r="K1017">
        <v>0.44230182874850799</v>
      </c>
      <c r="L1017">
        <v>457.40300621707001</v>
      </c>
      <c r="M1017">
        <v>8.8252045063876192</v>
      </c>
      <c r="N1017">
        <v>60.358273425256598</v>
      </c>
      <c r="O1017">
        <v>49.374826877383299</v>
      </c>
      <c r="P1017">
        <v>-2.87848318330233E-2</v>
      </c>
      <c r="Q1017">
        <v>0.356327514221984</v>
      </c>
      <c r="R1017">
        <v>0.941355858742005</v>
      </c>
      <c r="S1017" t="s">
        <v>4646</v>
      </c>
      <c r="T1017" t="s">
        <v>7256</v>
      </c>
      <c r="U1017" t="s">
        <v>7256</v>
      </c>
      <c r="V1017" t="s">
        <v>7256</v>
      </c>
      <c r="W1017">
        <v>2</v>
      </c>
      <c r="X1017" t="s">
        <v>8273</v>
      </c>
      <c r="Y1017">
        <v>0.63843732240334294</v>
      </c>
      <c r="Z1017" t="str">
        <f>HYPERLINK("Melting_Curves/meltCurve_sp_P49247_RPIA_HUMAN_.pdf", "Melting_Curves/meltCurve_sp_P49247_RPIA_HUMAN_.pdf")</f>
        <v>Melting_Curves/meltCurve_sp_P49247_RPIA_HUMAN_.pdf</v>
      </c>
      <c r="AA1017" t="s">
        <v>11883</v>
      </c>
      <c r="AB1017" t="s">
        <v>15443</v>
      </c>
    </row>
    <row r="1018" spans="1:28" x14ac:dyDescent="0.25">
      <c r="A1018" t="s">
        <v>1022</v>
      </c>
      <c r="B1018">
        <v>0.98018197421672304</v>
      </c>
      <c r="C1018">
        <v>1.07723559714947</v>
      </c>
      <c r="D1018">
        <v>0.97455160086782</v>
      </c>
      <c r="E1018">
        <v>0.87538927461651606</v>
      </c>
      <c r="F1018">
        <v>0.86726307140743497</v>
      </c>
      <c r="G1018">
        <v>0.66098152357762296</v>
      </c>
      <c r="H1018">
        <v>0.56301064337246098</v>
      </c>
      <c r="I1018">
        <v>0.63997207798261602</v>
      </c>
      <c r="J1018">
        <v>0.73045762063295605</v>
      </c>
      <c r="K1018">
        <v>0.89470141342419196</v>
      </c>
      <c r="L1018">
        <v>1457.4255750991699</v>
      </c>
      <c r="M1018">
        <v>28.1617836606504</v>
      </c>
      <c r="O1018">
        <v>51.493033813716302</v>
      </c>
      <c r="P1018">
        <v>-4.1034304372011297E-2</v>
      </c>
      <c r="Q1018">
        <v>0.699882111828798</v>
      </c>
      <c r="R1018">
        <v>0.69411841938652497</v>
      </c>
      <c r="S1018" t="s">
        <v>4647</v>
      </c>
      <c r="T1018" t="s">
        <v>7256</v>
      </c>
      <c r="U1018" t="s">
        <v>7256</v>
      </c>
      <c r="V1018" t="s">
        <v>7256</v>
      </c>
      <c r="W1018">
        <v>8</v>
      </c>
      <c r="X1018" t="s">
        <v>8274</v>
      </c>
      <c r="Y1018">
        <v>0.81961221834842446</v>
      </c>
      <c r="Z1018" t="str">
        <f>HYPERLINK("Melting_Curves/meltCurve_sp_P49321_NASP_HUMAN_.pdf", "Melting_Curves/meltCurve_sp_P49321_NASP_HUMAN_.pdf")</f>
        <v>Melting_Curves/meltCurve_sp_P49321_NASP_HUMAN_.pdf</v>
      </c>
      <c r="AA1018" t="s">
        <v>11884</v>
      </c>
      <c r="AB1018" t="s">
        <v>15444</v>
      </c>
    </row>
    <row r="1019" spans="1:28" x14ac:dyDescent="0.25">
      <c r="A1019" t="s">
        <v>1023</v>
      </c>
      <c r="B1019">
        <v>0.98018197421672304</v>
      </c>
      <c r="C1019">
        <v>0.82432199851777999</v>
      </c>
      <c r="D1019">
        <v>0.58948243679983703</v>
      </c>
      <c r="E1019">
        <v>0.233237722428428</v>
      </c>
      <c r="F1019">
        <v>0.105116008762484</v>
      </c>
      <c r="G1019">
        <v>6.8897149780708905E-2</v>
      </c>
      <c r="H1019">
        <v>5.1526027754602001E-2</v>
      </c>
      <c r="I1019">
        <v>3.9145595761267998E-2</v>
      </c>
      <c r="J1019">
        <v>2.6875871568137099E-2</v>
      </c>
      <c r="K1019">
        <v>2.5846458543657899E-2</v>
      </c>
      <c r="L1019">
        <v>898.14255698693603</v>
      </c>
      <c r="M1019">
        <v>19.272895495222802</v>
      </c>
      <c r="N1019">
        <v>46.755604158379697</v>
      </c>
      <c r="O1019">
        <v>46.108315504896296</v>
      </c>
      <c r="P1019">
        <v>-0.101282541999845</v>
      </c>
      <c r="Q1019">
        <v>3.0806461888436901E-2</v>
      </c>
      <c r="R1019">
        <v>0.99878960587642096</v>
      </c>
      <c r="S1019" t="s">
        <v>4648</v>
      </c>
      <c r="T1019" t="s">
        <v>7256</v>
      </c>
      <c r="U1019" t="s">
        <v>7256</v>
      </c>
      <c r="V1019" t="s">
        <v>7256</v>
      </c>
      <c r="W1019">
        <v>3</v>
      </c>
      <c r="X1019" t="s">
        <v>8275</v>
      </c>
      <c r="Y1019">
        <v>0.25976936245448617</v>
      </c>
      <c r="Z1019" t="str">
        <f>HYPERLINK("Melting_Curves/meltCurve_sp_P49326_FMO5_HUMAN_.pdf", "Melting_Curves/meltCurve_sp_P49326_FMO5_HUMAN_.pdf")</f>
        <v>Melting_Curves/meltCurve_sp_P49326_FMO5_HUMAN_.pdf</v>
      </c>
      <c r="AA1019" t="s">
        <v>11885</v>
      </c>
      <c r="AB1019" t="s">
        <v>15445</v>
      </c>
    </row>
    <row r="1020" spans="1:28" x14ac:dyDescent="0.25">
      <c r="A1020" t="s">
        <v>1024</v>
      </c>
      <c r="B1020">
        <v>0.98018197421672304</v>
      </c>
      <c r="C1020">
        <v>0.93915130450534701</v>
      </c>
      <c r="D1020">
        <v>0.90206058546689805</v>
      </c>
      <c r="E1020">
        <v>0.62258173654193605</v>
      </c>
      <c r="F1020">
        <v>0.135753838535039</v>
      </c>
      <c r="G1020">
        <v>8.2295190064925694E-2</v>
      </c>
      <c r="H1020">
        <v>4.75493512525536E-2</v>
      </c>
      <c r="I1020">
        <v>3.6950839443125799E-2</v>
      </c>
      <c r="J1020">
        <v>4.2642476476805399E-2</v>
      </c>
      <c r="K1020">
        <v>3.29818863302224E-2</v>
      </c>
      <c r="L1020">
        <v>1992.1104038706401</v>
      </c>
      <c r="M1020">
        <v>39.496764776241399</v>
      </c>
      <c r="N1020">
        <v>50.550138904757901</v>
      </c>
      <c r="O1020">
        <v>50.308539640957001</v>
      </c>
      <c r="P1020">
        <v>-0.187990718469811</v>
      </c>
      <c r="Q1020">
        <v>4.2198423281303597E-2</v>
      </c>
      <c r="R1020">
        <v>0.99240789620876602</v>
      </c>
      <c r="S1020" t="s">
        <v>4649</v>
      </c>
      <c r="T1020" t="s">
        <v>7256</v>
      </c>
      <c r="U1020" t="s">
        <v>7256</v>
      </c>
      <c r="V1020" t="s">
        <v>7256</v>
      </c>
      <c r="W1020">
        <v>93</v>
      </c>
      <c r="X1020" t="s">
        <v>8276</v>
      </c>
      <c r="Y1020">
        <v>0.37885347504289962</v>
      </c>
      <c r="Z1020" t="str">
        <f>HYPERLINK("Melting_Curves/meltCurve_sp_P49327_FAS_HUMAN_.pdf", "Melting_Curves/meltCurve_sp_P49327_FAS_HUMAN_.pdf")</f>
        <v>Melting_Curves/meltCurve_sp_P49327_FAS_HUMAN_.pdf</v>
      </c>
      <c r="AA1020" t="s">
        <v>11886</v>
      </c>
      <c r="AB1020" t="s">
        <v>15446</v>
      </c>
    </row>
    <row r="1021" spans="1:28" x14ac:dyDescent="0.25">
      <c r="A1021" t="s">
        <v>1025</v>
      </c>
      <c r="B1021">
        <v>0.98018197421672304</v>
      </c>
      <c r="C1021">
        <v>0.92655996829507203</v>
      </c>
      <c r="D1021">
        <v>0.85161282164032903</v>
      </c>
      <c r="E1021">
        <v>0.69252236130362399</v>
      </c>
      <c r="F1021">
        <v>0.50391825624311803</v>
      </c>
      <c r="G1021">
        <v>0.213378287268123</v>
      </c>
      <c r="H1021">
        <v>7.22144656929678E-2</v>
      </c>
      <c r="I1021">
        <v>5.76931271553245E-2</v>
      </c>
      <c r="J1021">
        <v>6.1787233497765798E-2</v>
      </c>
      <c r="K1021">
        <v>3.1536428366921603E-2</v>
      </c>
      <c r="L1021">
        <v>776.37925364966202</v>
      </c>
      <c r="M1021">
        <v>14.7879259484275</v>
      </c>
      <c r="N1021">
        <v>52.500904947973602</v>
      </c>
      <c r="O1021">
        <v>51.568861836586699</v>
      </c>
      <c r="P1021">
        <v>-7.16978478476962E-2</v>
      </c>
      <c r="Q1021">
        <v>0</v>
      </c>
      <c r="R1021">
        <v>0.99458052189916502</v>
      </c>
      <c r="S1021" t="s">
        <v>4650</v>
      </c>
      <c r="T1021" t="s">
        <v>7256</v>
      </c>
      <c r="U1021" t="s">
        <v>7256</v>
      </c>
      <c r="V1021" t="s">
        <v>7256</v>
      </c>
      <c r="W1021">
        <v>3</v>
      </c>
      <c r="X1021" t="s">
        <v>8277</v>
      </c>
      <c r="Y1021">
        <v>0.43910820751530483</v>
      </c>
      <c r="Z1021" t="str">
        <f>HYPERLINK("Melting_Curves/meltCurve_sp_P49354_FNTA_HUMAN_.pdf", "Melting_Curves/meltCurve_sp_P49354_FNTA_HUMAN_.pdf")</f>
        <v>Melting_Curves/meltCurve_sp_P49354_FNTA_HUMAN_.pdf</v>
      </c>
      <c r="AA1021" t="s">
        <v>11887</v>
      </c>
      <c r="AB1021" t="s">
        <v>15447</v>
      </c>
    </row>
    <row r="1022" spans="1:28" x14ac:dyDescent="0.25">
      <c r="A1022" t="s">
        <v>1026</v>
      </c>
      <c r="B1022">
        <v>0.98018197421672304</v>
      </c>
      <c r="C1022">
        <v>0.97307653436500396</v>
      </c>
      <c r="D1022">
        <v>0.87001696773979897</v>
      </c>
      <c r="E1022">
        <v>0.78539403706476096</v>
      </c>
      <c r="F1022">
        <v>0.62472696959714402</v>
      </c>
      <c r="G1022">
        <v>0.39927637259460302</v>
      </c>
      <c r="H1022">
        <v>0.21849450459942801</v>
      </c>
      <c r="I1022">
        <v>0.119085567532573</v>
      </c>
      <c r="J1022">
        <v>9.0461006678900197E-2</v>
      </c>
      <c r="K1022">
        <v>1.90646310499413E-2</v>
      </c>
      <c r="L1022">
        <v>707.55849957547696</v>
      </c>
      <c r="M1022">
        <v>12.8898752581918</v>
      </c>
      <c r="N1022">
        <v>54.892579275304598</v>
      </c>
      <c r="O1022">
        <v>53.621726528492601</v>
      </c>
      <c r="P1022">
        <v>-6.0107284257172003E-2</v>
      </c>
      <c r="Q1022">
        <v>0</v>
      </c>
      <c r="R1022">
        <v>0.99595958642961702</v>
      </c>
      <c r="S1022" t="s">
        <v>4651</v>
      </c>
      <c r="T1022" t="s">
        <v>7256</v>
      </c>
      <c r="U1022" t="s">
        <v>7256</v>
      </c>
      <c r="V1022" t="s">
        <v>7256</v>
      </c>
      <c r="W1022">
        <v>3</v>
      </c>
      <c r="X1022" t="s">
        <v>8278</v>
      </c>
      <c r="Y1022">
        <v>0.51889132980308417</v>
      </c>
      <c r="Z1022" t="str">
        <f>HYPERLINK("Melting_Curves/meltCurve_sp_P49366_DHYS_HUMAN_.pdf", "Melting_Curves/meltCurve_sp_P49366_DHYS_HUMAN_.pdf")</f>
        <v>Melting_Curves/meltCurve_sp_P49366_DHYS_HUMAN_.pdf</v>
      </c>
      <c r="AA1022" t="s">
        <v>11888</v>
      </c>
      <c r="AB1022" t="s">
        <v>15448</v>
      </c>
    </row>
    <row r="1023" spans="1:28" x14ac:dyDescent="0.25">
      <c r="A1023" t="s">
        <v>1027</v>
      </c>
      <c r="B1023">
        <v>0.98018197421672304</v>
      </c>
      <c r="C1023">
        <v>0.96958701587567897</v>
      </c>
      <c r="D1023">
        <v>0.93144453873744804</v>
      </c>
      <c r="E1023">
        <v>0.77978088835495196</v>
      </c>
      <c r="F1023">
        <v>0.58287372919159297</v>
      </c>
      <c r="G1023">
        <v>0.17905347995523399</v>
      </c>
      <c r="H1023">
        <v>7.8525085485931401E-2</v>
      </c>
      <c r="I1023">
        <v>5.6210770230575503E-2</v>
      </c>
      <c r="J1023">
        <v>7.3889697098736801E-2</v>
      </c>
      <c r="K1023">
        <v>5.2234096012366102E-2</v>
      </c>
      <c r="L1023">
        <v>1159.5486840018</v>
      </c>
      <c r="M1023">
        <v>21.8139952650323</v>
      </c>
      <c r="N1023">
        <v>53.3507322783693</v>
      </c>
      <c r="O1023">
        <v>52.715510911539504</v>
      </c>
      <c r="P1023">
        <v>-9.94985282554985E-2</v>
      </c>
      <c r="Q1023">
        <v>3.8233098732981703E-2</v>
      </c>
      <c r="R1023">
        <v>0.99498402802299302</v>
      </c>
      <c r="S1023" t="s">
        <v>4652</v>
      </c>
      <c r="T1023" t="s">
        <v>7256</v>
      </c>
      <c r="U1023" t="s">
        <v>7256</v>
      </c>
      <c r="V1023" t="s">
        <v>7256</v>
      </c>
      <c r="W1023">
        <v>29</v>
      </c>
      <c r="X1023" t="s">
        <v>8279</v>
      </c>
      <c r="Y1023">
        <v>0.47137045394657751</v>
      </c>
      <c r="Z1023" t="str">
        <f>HYPERLINK("Melting_Curves/meltCurve_sp_P49368_TCPG_HUMAN_.pdf", "Melting_Curves/meltCurve_sp_P49368_TCPG_HUMAN_.pdf")</f>
        <v>Melting_Curves/meltCurve_sp_P49368_TCPG_HUMAN_.pdf</v>
      </c>
      <c r="AA1023" t="s">
        <v>11889</v>
      </c>
      <c r="AB1023" t="s">
        <v>15449</v>
      </c>
    </row>
    <row r="1024" spans="1:28" x14ac:dyDescent="0.25">
      <c r="A1024" t="s">
        <v>1028</v>
      </c>
      <c r="B1024">
        <v>0.98018197421672304</v>
      </c>
      <c r="C1024">
        <v>0.98970784007687695</v>
      </c>
      <c r="D1024">
        <v>0.94660334727013495</v>
      </c>
      <c r="E1024">
        <v>0.84431243920364096</v>
      </c>
      <c r="F1024">
        <v>0.70165895756369201</v>
      </c>
      <c r="G1024">
        <v>0.29075717312692001</v>
      </c>
      <c r="H1024">
        <v>9.8087045130379302E-2</v>
      </c>
      <c r="I1024">
        <v>7.0267188273658895E-2</v>
      </c>
      <c r="J1024">
        <v>5.17163743710011E-2</v>
      </c>
      <c r="K1024">
        <v>5.2697270637031897E-2</v>
      </c>
      <c r="L1024">
        <v>1187.43632219847</v>
      </c>
      <c r="M1024">
        <v>21.7728093168481</v>
      </c>
      <c r="N1024">
        <v>54.698392766513201</v>
      </c>
      <c r="O1024">
        <v>54.083780366235104</v>
      </c>
      <c r="P1024">
        <v>-9.7525912616677396E-2</v>
      </c>
      <c r="Q1024">
        <v>3.1003089427963398E-2</v>
      </c>
      <c r="R1024">
        <v>0.99664063647661705</v>
      </c>
      <c r="S1024" t="s">
        <v>4653</v>
      </c>
      <c r="T1024" t="s">
        <v>7256</v>
      </c>
      <c r="U1024" t="s">
        <v>7256</v>
      </c>
      <c r="V1024" t="s">
        <v>7256</v>
      </c>
      <c r="W1024">
        <v>6</v>
      </c>
      <c r="X1024" t="s">
        <v>8280</v>
      </c>
      <c r="Y1024">
        <v>0.51194801689188074</v>
      </c>
      <c r="Z1024" t="str">
        <f>HYPERLINK("Melting_Curves/meltCurve_sp_P49407_2_ARRB1_HUMAN_.pdf", "Melting_Curves/meltCurve_sp_P49407_2_ARRB1_HUMAN_.pdf")</f>
        <v>Melting_Curves/meltCurve_sp_P49407_2_ARRB1_HUMAN_.pdf</v>
      </c>
      <c r="AA1024" t="s">
        <v>11890</v>
      </c>
      <c r="AB1024" t="s">
        <v>15450</v>
      </c>
    </row>
    <row r="1025" spans="1:28" x14ac:dyDescent="0.25">
      <c r="A1025" t="s">
        <v>1029</v>
      </c>
      <c r="B1025">
        <v>0.98018197421672304</v>
      </c>
      <c r="C1025">
        <v>0.75302413202812102</v>
      </c>
      <c r="D1025">
        <v>0.42715060885837602</v>
      </c>
      <c r="E1025">
        <v>0.18924606542267999</v>
      </c>
      <c r="F1025">
        <v>0.105184466912534</v>
      </c>
      <c r="G1025">
        <v>7.6859383490978803E-2</v>
      </c>
      <c r="H1025">
        <v>6.2881565780659204E-2</v>
      </c>
      <c r="I1025">
        <v>4.1900071559148197E-2</v>
      </c>
      <c r="J1025">
        <v>5.0576356239453703E-2</v>
      </c>
      <c r="K1025">
        <v>4.79137608405227E-2</v>
      </c>
      <c r="L1025">
        <v>935.32793056969695</v>
      </c>
      <c r="M1025">
        <v>20.707499254353099</v>
      </c>
      <c r="N1025">
        <v>45.426439365180002</v>
      </c>
      <c r="O1025">
        <v>44.753648073372297</v>
      </c>
      <c r="P1025">
        <v>-0.109263236838473</v>
      </c>
      <c r="Q1025">
        <v>5.5455288977102099E-2</v>
      </c>
      <c r="R1025">
        <v>0.997167935617992</v>
      </c>
      <c r="S1025" t="s">
        <v>4654</v>
      </c>
      <c r="T1025" t="s">
        <v>7256</v>
      </c>
      <c r="U1025" t="s">
        <v>7256</v>
      </c>
      <c r="V1025" t="s">
        <v>7256</v>
      </c>
      <c r="W1025">
        <v>13</v>
      </c>
      <c r="X1025" t="s">
        <v>8281</v>
      </c>
      <c r="Y1025">
        <v>0.23266050224170001</v>
      </c>
      <c r="Z1025" t="str">
        <f>HYPERLINK("Melting_Curves/meltCurve_sp_P49411_EFTU_HUMAN_.pdf", "Melting_Curves/meltCurve_sp_P49411_EFTU_HUMAN_.pdf")</f>
        <v>Melting_Curves/meltCurve_sp_P49411_EFTU_HUMAN_.pdf</v>
      </c>
      <c r="AA1025" t="s">
        <v>11891</v>
      </c>
      <c r="AB1025" t="s">
        <v>15451</v>
      </c>
    </row>
    <row r="1026" spans="1:28" x14ac:dyDescent="0.25">
      <c r="A1026" t="s">
        <v>1030</v>
      </c>
      <c r="B1026">
        <v>0.98018197421672304</v>
      </c>
      <c r="C1026">
        <v>0.94101411600462703</v>
      </c>
      <c r="D1026">
        <v>0.92214050315727103</v>
      </c>
      <c r="E1026">
        <v>0.62472768591158101</v>
      </c>
      <c r="F1026">
        <v>0.211548300090448</v>
      </c>
      <c r="G1026">
        <v>9.5814013824115099E-2</v>
      </c>
      <c r="H1026">
        <v>5.69186083908787E-2</v>
      </c>
      <c r="I1026">
        <v>4.4491249907846801E-2</v>
      </c>
      <c r="J1026">
        <v>3.6727295932179098E-2</v>
      </c>
      <c r="K1026">
        <v>2.1960986028474998E-2</v>
      </c>
      <c r="L1026">
        <v>1472.18586008069</v>
      </c>
      <c r="M1026">
        <v>29.1004797981442</v>
      </c>
      <c r="N1026">
        <v>50.731186796519403</v>
      </c>
      <c r="O1026">
        <v>50.352662108593201</v>
      </c>
      <c r="P1026">
        <v>-0.13885474630087399</v>
      </c>
      <c r="Q1026">
        <v>3.8963859744309097E-2</v>
      </c>
      <c r="R1026">
        <v>0.99600104021606395</v>
      </c>
      <c r="S1026" t="s">
        <v>4655</v>
      </c>
      <c r="T1026" t="s">
        <v>7256</v>
      </c>
      <c r="U1026" t="s">
        <v>7256</v>
      </c>
      <c r="V1026" t="s">
        <v>7256</v>
      </c>
      <c r="W1026">
        <v>32</v>
      </c>
      <c r="X1026" t="s">
        <v>8282</v>
      </c>
      <c r="Y1026">
        <v>0.3845819710834899</v>
      </c>
      <c r="Z1026" t="str">
        <f>HYPERLINK("Melting_Curves/meltCurve_sp_P49419_2_AL7A1_HUMAN_.pdf", "Melting_Curves/meltCurve_sp_P49419_2_AL7A1_HUMAN_.pdf")</f>
        <v>Melting_Curves/meltCurve_sp_P49419_2_AL7A1_HUMAN_.pdf</v>
      </c>
      <c r="AA1026" t="s">
        <v>11892</v>
      </c>
      <c r="AB1026" t="s">
        <v>15452</v>
      </c>
    </row>
    <row r="1027" spans="1:28" x14ac:dyDescent="0.25">
      <c r="A1027" t="s">
        <v>1031</v>
      </c>
      <c r="B1027">
        <v>0.98018197421672304</v>
      </c>
      <c r="C1027">
        <v>0.94965065603961096</v>
      </c>
      <c r="D1027">
        <v>0.845118536575729</v>
      </c>
      <c r="E1027">
        <v>0.62910270158080805</v>
      </c>
      <c r="F1027">
        <v>0.43041839602920301</v>
      </c>
      <c r="G1027">
        <v>0.27152258906011101</v>
      </c>
      <c r="H1027">
        <v>0.18260400139720301</v>
      </c>
      <c r="I1027">
        <v>0.14396588696982801</v>
      </c>
      <c r="J1027">
        <v>0.10904094175106201</v>
      </c>
      <c r="K1027">
        <v>7.7792398552015599E-2</v>
      </c>
      <c r="L1027">
        <v>693.72876531856798</v>
      </c>
      <c r="M1027">
        <v>13.481092311316001</v>
      </c>
      <c r="N1027">
        <v>52.044364620403201</v>
      </c>
      <c r="O1027">
        <v>50.366646834901701</v>
      </c>
      <c r="P1027">
        <v>-6.2220026310418203E-2</v>
      </c>
      <c r="Q1027">
        <v>7.0302503371615394E-2</v>
      </c>
      <c r="R1027">
        <v>0.99921081591720295</v>
      </c>
      <c r="S1027" t="s">
        <v>4656</v>
      </c>
      <c r="T1027" t="s">
        <v>7256</v>
      </c>
      <c r="U1027" t="s">
        <v>7256</v>
      </c>
      <c r="V1027" t="s">
        <v>7256</v>
      </c>
      <c r="W1027">
        <v>2</v>
      </c>
      <c r="X1027" t="s">
        <v>8283</v>
      </c>
      <c r="Y1027">
        <v>0.45038704056513029</v>
      </c>
      <c r="Z1027" t="str">
        <f>HYPERLINK("Melting_Curves/meltCurve_sp_P49427_UB2R1_HUMAN_.pdf", "Melting_Curves/meltCurve_sp_P49427_UB2R1_HUMAN_.pdf")</f>
        <v>Melting_Curves/meltCurve_sp_P49427_UB2R1_HUMAN_.pdf</v>
      </c>
      <c r="AA1027" t="s">
        <v>11893</v>
      </c>
      <c r="AB1027" t="s">
        <v>15453</v>
      </c>
    </row>
    <row r="1028" spans="1:28" x14ac:dyDescent="0.25">
      <c r="A1028" t="s">
        <v>1032</v>
      </c>
      <c r="B1028">
        <v>0.98018197421672304</v>
      </c>
      <c r="C1028">
        <v>0.97318685982975595</v>
      </c>
      <c r="D1028">
        <v>0.93324000699119602</v>
      </c>
      <c r="E1028">
        <v>0.67847404961387403</v>
      </c>
      <c r="F1028">
        <v>0.29583729989952101</v>
      </c>
      <c r="G1028">
        <v>0.128088764284086</v>
      </c>
      <c r="H1028">
        <v>6.7281679490049595E-2</v>
      </c>
      <c r="I1028">
        <v>4.4059265603830597E-2</v>
      </c>
      <c r="J1028">
        <v>4.6213538060000503E-2</v>
      </c>
      <c r="K1028">
        <v>4.3654633524743601E-2</v>
      </c>
      <c r="L1028">
        <v>1336.03248354897</v>
      </c>
      <c r="M1028">
        <v>26.1318461502254</v>
      </c>
      <c r="N1028">
        <v>51.321243920908202</v>
      </c>
      <c r="O1028">
        <v>50.830013457548603</v>
      </c>
      <c r="P1028">
        <v>-0.12246405835643701</v>
      </c>
      <c r="Q1028">
        <v>4.7173400559195298E-2</v>
      </c>
      <c r="R1028">
        <v>0.99844364545152298</v>
      </c>
      <c r="S1028" t="s">
        <v>4657</v>
      </c>
      <c r="T1028" t="s">
        <v>7256</v>
      </c>
      <c r="U1028" t="s">
        <v>7256</v>
      </c>
      <c r="V1028" t="s">
        <v>7256</v>
      </c>
      <c r="W1028">
        <v>6</v>
      </c>
      <c r="X1028" t="s">
        <v>8284</v>
      </c>
      <c r="Y1028">
        <v>0.40846425018142829</v>
      </c>
      <c r="Z1028" t="str">
        <f>HYPERLINK("Melting_Curves/meltCurve_sp_P49441_INPP_HUMAN_.pdf", "Melting_Curves/meltCurve_sp_P49441_INPP_HUMAN_.pdf")</f>
        <v>Melting_Curves/meltCurve_sp_P49441_INPP_HUMAN_.pdf</v>
      </c>
      <c r="AA1028" t="s">
        <v>11894</v>
      </c>
      <c r="AB1028" t="s">
        <v>15454</v>
      </c>
    </row>
    <row r="1029" spans="1:28" x14ac:dyDescent="0.25">
      <c r="A1029" t="s">
        <v>1033</v>
      </c>
      <c r="B1029">
        <v>0.98018197421672304</v>
      </c>
      <c r="C1029">
        <v>1.0089546401838001</v>
      </c>
      <c r="D1029">
        <v>0.90574714766978603</v>
      </c>
      <c r="E1029">
        <v>0.66881236915290898</v>
      </c>
      <c r="F1029">
        <v>0.148094377910133</v>
      </c>
      <c r="G1029">
        <v>8.1039597855223106E-2</v>
      </c>
      <c r="H1029">
        <v>3.8221390808044799E-2</v>
      </c>
      <c r="I1029">
        <v>2.69847041692215E-2</v>
      </c>
      <c r="J1029">
        <v>3.1946421269512998E-2</v>
      </c>
      <c r="K1029">
        <v>1.56525217471894E-2</v>
      </c>
      <c r="L1029">
        <v>2129.1746594430901</v>
      </c>
      <c r="M1029">
        <v>41.995139188991899</v>
      </c>
      <c r="N1029">
        <v>50.7854462931219</v>
      </c>
      <c r="O1029">
        <v>50.585938877742301</v>
      </c>
      <c r="P1029">
        <v>-0.20050467601326599</v>
      </c>
      <c r="Q1029">
        <v>3.39167129305517E-2</v>
      </c>
      <c r="R1029">
        <v>0.99457386919822</v>
      </c>
      <c r="S1029" t="s">
        <v>4658</v>
      </c>
      <c r="T1029" t="s">
        <v>7256</v>
      </c>
      <c r="U1029" t="s">
        <v>7256</v>
      </c>
      <c r="V1029" t="s">
        <v>7256</v>
      </c>
      <c r="W1029">
        <v>27</v>
      </c>
      <c r="X1029" t="s">
        <v>8285</v>
      </c>
      <c r="Y1029">
        <v>0.3815721553976919</v>
      </c>
      <c r="Z1029" t="str">
        <f>HYPERLINK("Melting_Curves/meltCurve_sp_P49448_DHE4_HUMAN_.pdf", "Melting_Curves/meltCurve_sp_P49448_DHE4_HUMAN_.pdf")</f>
        <v>Melting_Curves/meltCurve_sp_P49448_DHE4_HUMAN_.pdf</v>
      </c>
      <c r="AA1029" t="s">
        <v>11895</v>
      </c>
      <c r="AB1029" t="s">
        <v>15455</v>
      </c>
    </row>
    <row r="1030" spans="1:28" x14ac:dyDescent="0.25">
      <c r="A1030" t="s">
        <v>1034</v>
      </c>
      <c r="B1030">
        <v>0.98018197421672304</v>
      </c>
      <c r="C1030">
        <v>1.02261980295751</v>
      </c>
      <c r="D1030">
        <v>0.93169860872601495</v>
      </c>
      <c r="E1030">
        <v>0.77546417581744198</v>
      </c>
      <c r="F1030">
        <v>0.73347132309165397</v>
      </c>
      <c r="G1030">
        <v>0.54972761347379695</v>
      </c>
      <c r="H1030">
        <v>0.32813133618043799</v>
      </c>
      <c r="I1030">
        <v>0.208844536818695</v>
      </c>
      <c r="J1030">
        <v>0.14201532775047901</v>
      </c>
      <c r="K1030">
        <v>0.144497314213372</v>
      </c>
      <c r="L1030">
        <v>638.36244311394296</v>
      </c>
      <c r="M1030">
        <v>11.150136361362501</v>
      </c>
      <c r="N1030">
        <v>57.251536329795599</v>
      </c>
      <c r="O1030">
        <v>55.502594834403098</v>
      </c>
      <c r="P1030">
        <v>-5.0239571634062299E-2</v>
      </c>
      <c r="Q1030">
        <v>0</v>
      </c>
      <c r="R1030">
        <v>0.99124494248374495</v>
      </c>
      <c r="S1030" t="s">
        <v>4659</v>
      </c>
      <c r="T1030" t="s">
        <v>7256</v>
      </c>
      <c r="U1030" t="s">
        <v>7256</v>
      </c>
      <c r="V1030" t="s">
        <v>7256</v>
      </c>
      <c r="W1030">
        <v>6</v>
      </c>
      <c r="X1030" t="s">
        <v>8286</v>
      </c>
      <c r="Y1030">
        <v>0.59054223736638678</v>
      </c>
      <c r="Z1030" t="str">
        <f>HYPERLINK("Melting_Curves/meltCurve_sp_P49458_SRP09_HUMAN_.pdf", "Melting_Curves/meltCurve_sp_P49458_SRP09_HUMAN_.pdf")</f>
        <v>Melting_Curves/meltCurve_sp_P49458_SRP09_HUMAN_.pdf</v>
      </c>
      <c r="AA1030" t="s">
        <v>11896</v>
      </c>
      <c r="AB1030" t="s">
        <v>15456</v>
      </c>
    </row>
    <row r="1031" spans="1:28" x14ac:dyDescent="0.25">
      <c r="A1031" t="s">
        <v>1035</v>
      </c>
      <c r="B1031">
        <v>0.98018197421672304</v>
      </c>
      <c r="C1031">
        <v>0.88140214812351403</v>
      </c>
      <c r="D1031">
        <v>0.89661401397457796</v>
      </c>
      <c r="E1031">
        <v>0.72632584226219998</v>
      </c>
      <c r="F1031">
        <v>0.61808417084320799</v>
      </c>
      <c r="G1031">
        <v>0.516655776564381</v>
      </c>
      <c r="H1031">
        <v>0.283863265169288</v>
      </c>
      <c r="I1031">
        <v>0.182908360568623</v>
      </c>
      <c r="J1031">
        <v>0.20134097768944201</v>
      </c>
      <c r="K1031">
        <v>0.16044870129834801</v>
      </c>
      <c r="L1031">
        <v>502.68163821710101</v>
      </c>
      <c r="M1031">
        <v>9.0042601698620803</v>
      </c>
      <c r="N1031">
        <v>55.827089479258603</v>
      </c>
      <c r="O1031">
        <v>53.2797930183158</v>
      </c>
      <c r="P1031">
        <v>-4.22805113527676E-2</v>
      </c>
      <c r="Q1031">
        <v>0</v>
      </c>
      <c r="R1031">
        <v>0.98573357785134597</v>
      </c>
      <c r="S1031" t="s">
        <v>4660</v>
      </c>
      <c r="T1031" t="s">
        <v>7256</v>
      </c>
      <c r="U1031" t="s">
        <v>7256</v>
      </c>
      <c r="V1031" t="s">
        <v>7256</v>
      </c>
      <c r="W1031">
        <v>2</v>
      </c>
      <c r="X1031" t="s">
        <v>8287</v>
      </c>
      <c r="Y1031">
        <v>0.54942388517399388</v>
      </c>
      <c r="Z1031" t="str">
        <f>HYPERLINK("Melting_Curves/meltCurve_sp_P49459_UBE2A_HUMAN_.pdf", "Melting_Curves/meltCurve_sp_P49459_UBE2A_HUMAN_.pdf")</f>
        <v>Melting_Curves/meltCurve_sp_P49459_UBE2A_HUMAN_.pdf</v>
      </c>
      <c r="AA1031" t="s">
        <v>11897</v>
      </c>
      <c r="AB1031" t="s">
        <v>15457</v>
      </c>
    </row>
    <row r="1032" spans="1:28" x14ac:dyDescent="0.25">
      <c r="A1032" t="s">
        <v>1036</v>
      </c>
      <c r="B1032">
        <v>0.98018197421672304</v>
      </c>
      <c r="C1032">
        <v>0.801017769290849</v>
      </c>
      <c r="D1032">
        <v>0.90311192959347497</v>
      </c>
      <c r="E1032">
        <v>0.44381592514538798</v>
      </c>
      <c r="F1032">
        <v>0.16468570630676899</v>
      </c>
      <c r="G1032">
        <v>9.1391442862781794E-2</v>
      </c>
      <c r="H1032">
        <v>5.5783928813963303E-2</v>
      </c>
      <c r="I1032">
        <v>4.8889256889016602E-2</v>
      </c>
      <c r="J1032">
        <v>4.5311442448374303E-2</v>
      </c>
      <c r="K1032">
        <v>3.3139739693836601E-2</v>
      </c>
      <c r="L1032">
        <v>1138.89756771878</v>
      </c>
      <c r="M1032">
        <v>23.114245241108499</v>
      </c>
      <c r="N1032">
        <v>49.445856295919299</v>
      </c>
      <c r="O1032">
        <v>48.908201760749797</v>
      </c>
      <c r="P1032">
        <v>-0.113555793114841</v>
      </c>
      <c r="Q1032">
        <v>3.8912112464703399E-2</v>
      </c>
      <c r="R1032">
        <v>0.97579931720830804</v>
      </c>
      <c r="S1032" t="s">
        <v>4661</v>
      </c>
      <c r="T1032" t="s">
        <v>7256</v>
      </c>
      <c r="U1032" t="s">
        <v>7256</v>
      </c>
      <c r="V1032" t="s">
        <v>7256</v>
      </c>
      <c r="W1032">
        <v>30</v>
      </c>
      <c r="X1032" t="s">
        <v>8288</v>
      </c>
      <c r="Y1032">
        <v>0.34598617184954511</v>
      </c>
      <c r="Z1032" t="str">
        <f>HYPERLINK("Melting_Curves/meltCurve_sp_P49588_SYAC_HUMAN_.pdf", "Melting_Curves/meltCurve_sp_P49588_SYAC_HUMAN_.pdf")</f>
        <v>Melting_Curves/meltCurve_sp_P49588_SYAC_HUMAN_.pdf</v>
      </c>
      <c r="AA1032" t="s">
        <v>11898</v>
      </c>
      <c r="AB1032" t="s">
        <v>15458</v>
      </c>
    </row>
    <row r="1033" spans="1:28" x14ac:dyDescent="0.25">
      <c r="A1033" t="s">
        <v>1037</v>
      </c>
      <c r="B1033">
        <v>0.98018197421672304</v>
      </c>
      <c r="C1033">
        <v>0.96356970739161696</v>
      </c>
      <c r="D1033">
        <v>0.86784970234353298</v>
      </c>
      <c r="E1033">
        <v>0.68265622904248402</v>
      </c>
      <c r="F1033">
        <v>0.22574794138978099</v>
      </c>
      <c r="G1033">
        <v>0.117149837412912</v>
      </c>
      <c r="H1033">
        <v>6.8633397912383404E-2</v>
      </c>
      <c r="I1033">
        <v>5.2695801242202203E-2</v>
      </c>
      <c r="J1033">
        <v>6.0298221261648202E-2</v>
      </c>
      <c r="K1033">
        <v>4.6103993356633198E-2</v>
      </c>
      <c r="L1033">
        <v>1447.9283770449899</v>
      </c>
      <c r="M1033">
        <v>28.506120526408701</v>
      </c>
      <c r="N1033">
        <v>50.997102502930602</v>
      </c>
      <c r="O1033">
        <v>50.545584581837304</v>
      </c>
      <c r="P1033">
        <v>-0.13341333814572301</v>
      </c>
      <c r="Q1033">
        <v>5.3760665490140698E-2</v>
      </c>
      <c r="R1033">
        <v>0.99060003349705905</v>
      </c>
      <c r="S1033" t="s">
        <v>4662</v>
      </c>
      <c r="T1033" t="s">
        <v>7256</v>
      </c>
      <c r="U1033" t="s">
        <v>7256</v>
      </c>
      <c r="V1033" t="s">
        <v>7256</v>
      </c>
      <c r="W1033">
        <v>19</v>
      </c>
      <c r="X1033" t="s">
        <v>8289</v>
      </c>
      <c r="Y1033">
        <v>0.40077331309695058</v>
      </c>
      <c r="Z1033" t="str">
        <f>HYPERLINK("Melting_Curves/meltCurve_sp_P49589_3_SYCC_HUMAN_.pdf", "Melting_Curves/meltCurve_sp_P49589_3_SYCC_HUMAN_.pdf")</f>
        <v>Melting_Curves/meltCurve_sp_P49589_3_SYCC_HUMAN_.pdf</v>
      </c>
      <c r="AA1033" t="s">
        <v>11899</v>
      </c>
      <c r="AB1033" t="s">
        <v>15459</v>
      </c>
    </row>
    <row r="1034" spans="1:28" x14ac:dyDescent="0.25">
      <c r="A1034" t="s">
        <v>1038</v>
      </c>
      <c r="B1034">
        <v>0.98018197421672304</v>
      </c>
      <c r="C1034">
        <v>0.92862886457601301</v>
      </c>
      <c r="D1034">
        <v>0.87871649778675698</v>
      </c>
      <c r="E1034">
        <v>0.68199081957391905</v>
      </c>
      <c r="F1034">
        <v>0.34546818285202202</v>
      </c>
      <c r="G1034">
        <v>9.7274021924097995E-2</v>
      </c>
      <c r="H1034">
        <v>4.2549934003442001E-2</v>
      </c>
      <c r="I1034">
        <v>3.08860474801795E-2</v>
      </c>
      <c r="J1034">
        <v>3.8027536617791499E-2</v>
      </c>
      <c r="K1034">
        <v>2.6190439388730301E-2</v>
      </c>
      <c r="L1034">
        <v>1076.78426770902</v>
      </c>
      <c r="M1034">
        <v>20.961362975894101</v>
      </c>
      <c r="N1034">
        <v>51.439762973999002</v>
      </c>
      <c r="O1034">
        <v>50.909267197637</v>
      </c>
      <c r="P1034">
        <v>-0.101494218003991</v>
      </c>
      <c r="Q1034">
        <v>1.4022751379441501E-2</v>
      </c>
      <c r="R1034">
        <v>0.99496565185267305</v>
      </c>
      <c r="S1034" t="s">
        <v>4663</v>
      </c>
      <c r="T1034" t="s">
        <v>7256</v>
      </c>
      <c r="U1034" t="s">
        <v>7256</v>
      </c>
      <c r="V1034" t="s">
        <v>7256</v>
      </c>
      <c r="W1034">
        <v>19</v>
      </c>
      <c r="X1034" t="s">
        <v>8290</v>
      </c>
      <c r="Y1034">
        <v>0.40023869653416011</v>
      </c>
      <c r="Z1034" t="str">
        <f>HYPERLINK("Melting_Curves/meltCurve_sp_P49591_SYSC_HUMAN_.pdf", "Melting_Curves/meltCurve_sp_P49591_SYSC_HUMAN_.pdf")</f>
        <v>Melting_Curves/meltCurve_sp_P49591_SYSC_HUMAN_.pdf</v>
      </c>
      <c r="AA1034" t="s">
        <v>11900</v>
      </c>
      <c r="AB1034" t="s">
        <v>15460</v>
      </c>
    </row>
    <row r="1035" spans="1:28" x14ac:dyDescent="0.25">
      <c r="A1035" t="s">
        <v>1039</v>
      </c>
      <c r="B1035">
        <v>0.98018197421672304</v>
      </c>
      <c r="C1035">
        <v>1.1296276054968999</v>
      </c>
      <c r="D1035">
        <v>0.89641035467499197</v>
      </c>
      <c r="E1035">
        <v>0.820424405851509</v>
      </c>
      <c r="F1035">
        <v>0.69092399402844595</v>
      </c>
      <c r="G1035">
        <v>0.34756500152706399</v>
      </c>
      <c r="H1035">
        <v>0.14660233061044201</v>
      </c>
      <c r="I1035">
        <v>0.10223712305022201</v>
      </c>
      <c r="J1035">
        <v>0.14208586865014</v>
      </c>
      <c r="K1035">
        <v>9.7024411238331401E-2</v>
      </c>
      <c r="L1035">
        <v>1039.4053913944499</v>
      </c>
      <c r="M1035">
        <v>19.1163084362659</v>
      </c>
      <c r="N1035">
        <v>54.857569108551502</v>
      </c>
      <c r="O1035">
        <v>53.7881794057907</v>
      </c>
      <c r="P1035">
        <v>-8.1947052052963501E-2</v>
      </c>
      <c r="Q1035">
        <v>7.7727522635504698E-2</v>
      </c>
      <c r="R1035">
        <v>0.97974447859986102</v>
      </c>
      <c r="S1035" t="s">
        <v>4664</v>
      </c>
      <c r="T1035" t="s">
        <v>7256</v>
      </c>
      <c r="U1035" t="s">
        <v>7256</v>
      </c>
      <c r="V1035" t="s">
        <v>7256</v>
      </c>
      <c r="W1035">
        <v>8</v>
      </c>
      <c r="X1035" t="s">
        <v>8291</v>
      </c>
      <c r="Y1035">
        <v>0.53293253686709929</v>
      </c>
      <c r="Z1035" t="str">
        <f>HYPERLINK("Melting_Curves/meltCurve_sp_P49638_TTPA_HUMAN_.pdf", "Melting_Curves/meltCurve_sp_P49638_TTPA_HUMAN_.pdf")</f>
        <v>Melting_Curves/meltCurve_sp_P49638_TTPA_HUMAN_.pdf</v>
      </c>
      <c r="AA1035" t="s">
        <v>11901</v>
      </c>
      <c r="AB1035" t="s">
        <v>15461</v>
      </c>
    </row>
    <row r="1036" spans="1:28" x14ac:dyDescent="0.25">
      <c r="A1036" t="s">
        <v>1040</v>
      </c>
      <c r="B1036">
        <v>0.98018197421672304</v>
      </c>
      <c r="C1036">
        <v>0.93032183111539302</v>
      </c>
      <c r="D1036">
        <v>0.89607853311817198</v>
      </c>
      <c r="E1036">
        <v>0.77443770399232903</v>
      </c>
      <c r="F1036">
        <v>0.77074581504283901</v>
      </c>
      <c r="G1036">
        <v>0.18560603022299599</v>
      </c>
      <c r="H1036">
        <v>0.11735295600035001</v>
      </c>
      <c r="I1036">
        <v>8.6080931217920001E-2</v>
      </c>
      <c r="J1036">
        <v>9.85736181382878E-2</v>
      </c>
      <c r="K1036">
        <v>4.6532783427936902E-2</v>
      </c>
      <c r="L1036">
        <v>1337.1416284407001</v>
      </c>
      <c r="M1036">
        <v>24.682534501256299</v>
      </c>
      <c r="N1036">
        <v>54.432884588258702</v>
      </c>
      <c r="O1036">
        <v>53.821751427964102</v>
      </c>
      <c r="P1036">
        <v>-0.108292382758315</v>
      </c>
      <c r="Q1036">
        <v>5.5461133988174399E-2</v>
      </c>
      <c r="R1036">
        <v>0.96672488330036599</v>
      </c>
      <c r="S1036" t="s">
        <v>4665</v>
      </c>
      <c r="T1036" t="s">
        <v>7256</v>
      </c>
      <c r="U1036" t="s">
        <v>7256</v>
      </c>
      <c r="V1036" t="s">
        <v>7256</v>
      </c>
      <c r="W1036">
        <v>3</v>
      </c>
      <c r="X1036" t="s">
        <v>8292</v>
      </c>
      <c r="Y1036">
        <v>0.51065953347912774</v>
      </c>
      <c r="Z1036" t="str">
        <f>HYPERLINK("Melting_Curves/meltCurve_sp_P49662_CASP4_HUMAN_.pdf", "Melting_Curves/meltCurve_sp_P49662_CASP4_HUMAN_.pdf")</f>
        <v>Melting_Curves/meltCurve_sp_P49662_CASP4_HUMAN_.pdf</v>
      </c>
      <c r="AA1036" t="s">
        <v>11902</v>
      </c>
      <c r="AB1036" t="s">
        <v>15462</v>
      </c>
    </row>
    <row r="1037" spans="1:28" x14ac:dyDescent="0.25">
      <c r="A1037" t="s">
        <v>1041</v>
      </c>
      <c r="B1037">
        <v>0.98018197421672304</v>
      </c>
      <c r="C1037">
        <v>0.71454195684824495</v>
      </c>
      <c r="D1037">
        <v>0.68363898013153301</v>
      </c>
      <c r="E1037">
        <v>0.62268273932149698</v>
      </c>
      <c r="F1037">
        <v>0.53095515967062801</v>
      </c>
      <c r="G1037">
        <v>0.315230929142578</v>
      </c>
      <c r="H1037">
        <v>0.190228372703455</v>
      </c>
      <c r="I1037">
        <v>0.195950735351716</v>
      </c>
      <c r="J1037">
        <v>0.226787183133416</v>
      </c>
      <c r="K1037">
        <v>8.4197705259928798E-2</v>
      </c>
      <c r="L1037">
        <v>379.17556338605499</v>
      </c>
      <c r="M1037">
        <v>7.3056800217276301</v>
      </c>
      <c r="N1037">
        <v>51.9014728313769</v>
      </c>
      <c r="O1037">
        <v>48.436973338554701</v>
      </c>
      <c r="P1037">
        <v>-3.7766884917922801E-2</v>
      </c>
      <c r="Q1037">
        <v>0</v>
      </c>
      <c r="R1037">
        <v>0.95069708784540297</v>
      </c>
      <c r="S1037" t="s">
        <v>4666</v>
      </c>
      <c r="T1037" t="s">
        <v>7256</v>
      </c>
      <c r="U1037" t="s">
        <v>7256</v>
      </c>
      <c r="V1037" t="s">
        <v>7256</v>
      </c>
      <c r="W1037">
        <v>1</v>
      </c>
      <c r="X1037" t="s">
        <v>8293</v>
      </c>
      <c r="Y1037">
        <v>0.44819086836481647</v>
      </c>
      <c r="Z1037" t="str">
        <f>HYPERLINK("Melting_Curves/meltCurve_sp_P49711_CTCF_HUMAN_.pdf", "Melting_Curves/meltCurve_sp_P49711_CTCF_HUMAN_.pdf")</f>
        <v>Melting_Curves/meltCurve_sp_P49711_CTCF_HUMAN_.pdf</v>
      </c>
      <c r="AA1037" t="s">
        <v>11903</v>
      </c>
      <c r="AB1037" t="s">
        <v>15463</v>
      </c>
    </row>
    <row r="1038" spans="1:28" x14ac:dyDescent="0.25">
      <c r="A1038" t="s">
        <v>1042</v>
      </c>
      <c r="B1038">
        <v>0.98018197421672304</v>
      </c>
      <c r="C1038">
        <v>0.99204709160395399</v>
      </c>
      <c r="D1038">
        <v>0.89835964359133902</v>
      </c>
      <c r="E1038">
        <v>0.78334843485885997</v>
      </c>
      <c r="F1038">
        <v>0.69994694315839501</v>
      </c>
      <c r="G1038">
        <v>0.54575001398300105</v>
      </c>
      <c r="H1038">
        <v>0.42993369924812402</v>
      </c>
      <c r="I1038">
        <v>0.440980941120031</v>
      </c>
      <c r="J1038">
        <v>0.32914703240071103</v>
      </c>
      <c r="K1038">
        <v>0.29834696862313798</v>
      </c>
      <c r="L1038">
        <v>541.80671188641804</v>
      </c>
      <c r="M1038">
        <v>9.8059801097784796</v>
      </c>
      <c r="N1038">
        <v>58.8739127530134</v>
      </c>
      <c r="O1038">
        <v>53.101875873227399</v>
      </c>
      <c r="P1038">
        <v>-3.5730012187491202E-2</v>
      </c>
      <c r="Q1038">
        <v>0.22645706628367199</v>
      </c>
      <c r="R1038">
        <v>0.99172599092695601</v>
      </c>
      <c r="S1038" t="s">
        <v>4667</v>
      </c>
      <c r="T1038" t="s">
        <v>7256</v>
      </c>
      <c r="U1038" t="s">
        <v>7256</v>
      </c>
      <c r="V1038" t="s">
        <v>7256</v>
      </c>
      <c r="W1038">
        <v>11</v>
      </c>
      <c r="X1038" t="s">
        <v>8294</v>
      </c>
      <c r="Y1038">
        <v>0.63896509107901545</v>
      </c>
      <c r="Z1038" t="str">
        <f>HYPERLINK("Melting_Curves/meltCurve_sp_P49720_PSB3_HUMAN_.pdf", "Melting_Curves/meltCurve_sp_P49720_PSB3_HUMAN_.pdf")</f>
        <v>Melting_Curves/meltCurve_sp_P49720_PSB3_HUMAN_.pdf</v>
      </c>
      <c r="AA1038" t="s">
        <v>11904</v>
      </c>
      <c r="AB1038" t="s">
        <v>15464</v>
      </c>
    </row>
    <row r="1039" spans="1:28" x14ac:dyDescent="0.25">
      <c r="A1039" t="s">
        <v>1043</v>
      </c>
      <c r="B1039">
        <v>0.98018197421672304</v>
      </c>
      <c r="C1039">
        <v>0.89543294396043405</v>
      </c>
      <c r="D1039">
        <v>0.89466084564461701</v>
      </c>
      <c r="E1039">
        <v>0.81963972715906597</v>
      </c>
      <c r="F1039">
        <v>0.725831156005881</v>
      </c>
      <c r="G1039">
        <v>0.62337195048039495</v>
      </c>
      <c r="H1039">
        <v>0.47952538770304798</v>
      </c>
      <c r="I1039">
        <v>0.46052957949083501</v>
      </c>
      <c r="J1039">
        <v>0.36600131003629799</v>
      </c>
      <c r="K1039">
        <v>0.28316481137648503</v>
      </c>
      <c r="L1039">
        <v>392.543226349902</v>
      </c>
      <c r="M1039">
        <v>6.4232841677589301</v>
      </c>
      <c r="N1039">
        <v>61.112533217393</v>
      </c>
      <c r="O1039">
        <v>55.996270641036602</v>
      </c>
      <c r="P1039">
        <v>-2.8749993628080499E-2</v>
      </c>
      <c r="Q1039">
        <v>0</v>
      </c>
      <c r="R1039">
        <v>0.99178730539102899</v>
      </c>
      <c r="S1039" t="s">
        <v>4668</v>
      </c>
      <c r="T1039" t="s">
        <v>7256</v>
      </c>
      <c r="U1039" t="s">
        <v>7256</v>
      </c>
      <c r="V1039" t="s">
        <v>7256</v>
      </c>
      <c r="W1039">
        <v>13</v>
      </c>
      <c r="X1039" t="s">
        <v>8295</v>
      </c>
      <c r="Y1039">
        <v>0.66041039274859359</v>
      </c>
      <c r="Z1039" t="str">
        <f>HYPERLINK("Melting_Curves/meltCurve_sp_P49721_PSB2_HUMAN_.pdf", "Melting_Curves/meltCurve_sp_P49721_PSB2_HUMAN_.pdf")</f>
        <v>Melting_Curves/meltCurve_sp_P49721_PSB2_HUMAN_.pdf</v>
      </c>
      <c r="AA1039" t="s">
        <v>11905</v>
      </c>
      <c r="AB1039" t="s">
        <v>15465</v>
      </c>
    </row>
    <row r="1040" spans="1:28" x14ac:dyDescent="0.25">
      <c r="A1040" t="s">
        <v>1044</v>
      </c>
      <c r="B1040">
        <v>0.98018197421672304</v>
      </c>
      <c r="C1040">
        <v>0.87523359616090501</v>
      </c>
      <c r="D1040">
        <v>0.83278878457889705</v>
      </c>
      <c r="E1040">
        <v>0.447541425271545</v>
      </c>
      <c r="F1040">
        <v>0.30928129840159002</v>
      </c>
      <c r="G1040">
        <v>0.14182033059597701</v>
      </c>
      <c r="H1040">
        <v>0.10726651388686</v>
      </c>
      <c r="I1040">
        <v>7.6548427022545606E-2</v>
      </c>
      <c r="J1040">
        <v>0.10637889576390901</v>
      </c>
      <c r="K1040">
        <v>4.3083369391580098E-2</v>
      </c>
      <c r="L1040">
        <v>816.63023707287402</v>
      </c>
      <c r="M1040">
        <v>16.5510963795025</v>
      </c>
      <c r="N1040">
        <v>49.739920679597198</v>
      </c>
      <c r="O1040">
        <v>48.636553069461002</v>
      </c>
      <c r="P1040">
        <v>-7.9780026067010401E-2</v>
      </c>
      <c r="Q1040">
        <v>6.2307682528311203E-2</v>
      </c>
      <c r="R1040">
        <v>0.99295904046720096</v>
      </c>
      <c r="S1040" t="s">
        <v>4669</v>
      </c>
      <c r="T1040" t="s">
        <v>7256</v>
      </c>
      <c r="U1040" t="s">
        <v>7256</v>
      </c>
      <c r="V1040" t="s">
        <v>7256</v>
      </c>
      <c r="W1040">
        <v>9</v>
      </c>
      <c r="X1040" t="s">
        <v>8296</v>
      </c>
      <c r="Y1040">
        <v>0.37323884342005292</v>
      </c>
      <c r="Z1040" t="str">
        <f>HYPERLINK("Melting_Curves/meltCurve_sp_P49736_MCM2_HUMAN_.pdf", "Melting_Curves/meltCurve_sp_P49736_MCM2_HUMAN_.pdf")</f>
        <v>Melting_Curves/meltCurve_sp_P49736_MCM2_HUMAN_.pdf</v>
      </c>
      <c r="AA1040" t="s">
        <v>11906</v>
      </c>
      <c r="AB1040" t="s">
        <v>15466</v>
      </c>
    </row>
    <row r="1041" spans="1:28" x14ac:dyDescent="0.25">
      <c r="A1041" t="s">
        <v>1045</v>
      </c>
      <c r="B1041">
        <v>0.98018197421672304</v>
      </c>
      <c r="C1041">
        <v>1.07316233222042</v>
      </c>
      <c r="D1041">
        <v>0.91500489232702797</v>
      </c>
      <c r="E1041">
        <v>0.81095148866709998</v>
      </c>
      <c r="F1041">
        <v>0.30788989185704801</v>
      </c>
      <c r="G1041">
        <v>0.13048321908560601</v>
      </c>
      <c r="H1041">
        <v>0.14313883170107</v>
      </c>
      <c r="I1041">
        <v>7.2976482113555105E-2</v>
      </c>
      <c r="J1041">
        <v>5.87157979506732E-2</v>
      </c>
      <c r="K1041">
        <v>4.2353870957694599E-2</v>
      </c>
      <c r="L1041">
        <v>2034.9580780737899</v>
      </c>
      <c r="M1041">
        <v>39.443294133791603</v>
      </c>
      <c r="N1041">
        <v>51.830990418973101</v>
      </c>
      <c r="O1041">
        <v>51.459910376851198</v>
      </c>
      <c r="P1041">
        <v>-0.175688792050014</v>
      </c>
      <c r="Q1041">
        <v>8.3148621436593795E-2</v>
      </c>
      <c r="R1041">
        <v>0.98902558953116004</v>
      </c>
      <c r="S1041" t="s">
        <v>4670</v>
      </c>
      <c r="T1041" t="s">
        <v>7256</v>
      </c>
      <c r="U1041" t="s">
        <v>7256</v>
      </c>
      <c r="V1041" t="s">
        <v>7256</v>
      </c>
      <c r="W1041">
        <v>28</v>
      </c>
      <c r="X1041" t="s">
        <v>8297</v>
      </c>
      <c r="Y1041">
        <v>0.44078192561579321</v>
      </c>
      <c r="Z1041" t="str">
        <f>HYPERLINK("Melting_Curves/meltCurve_sp_P49748_ACADV_HUMAN_.pdf", "Melting_Curves/meltCurve_sp_P49748_ACADV_HUMAN_.pdf")</f>
        <v>Melting_Curves/meltCurve_sp_P49748_ACADV_HUMAN_.pdf</v>
      </c>
      <c r="AA1041" t="s">
        <v>11907</v>
      </c>
      <c r="AB1041" t="s">
        <v>15467</v>
      </c>
    </row>
    <row r="1042" spans="1:28" x14ac:dyDescent="0.25">
      <c r="A1042" t="s">
        <v>1046</v>
      </c>
      <c r="B1042">
        <v>0.98018197421672304</v>
      </c>
      <c r="C1042">
        <v>1.2117750284840101</v>
      </c>
      <c r="D1042">
        <v>1.1845705423290001</v>
      </c>
      <c r="E1042">
        <v>1.1057625430813101</v>
      </c>
      <c r="F1042">
        <v>0.85585565986025702</v>
      </c>
      <c r="G1042">
        <v>0.54268216392836799</v>
      </c>
      <c r="H1042">
        <v>0.592916665610973</v>
      </c>
      <c r="I1042">
        <v>0.58689551545534901</v>
      </c>
      <c r="J1042">
        <v>0.66086190193277095</v>
      </c>
      <c r="K1042">
        <v>0.77399317474722695</v>
      </c>
      <c r="L1042">
        <v>13273.455283785899</v>
      </c>
      <c r="M1042">
        <v>250</v>
      </c>
      <c r="O1042">
        <v>53.090426595215298</v>
      </c>
      <c r="P1042">
        <v>-0.43384721736524801</v>
      </c>
      <c r="Q1042">
        <v>0.631469880464535</v>
      </c>
      <c r="R1042">
        <v>0.79376035265621003</v>
      </c>
      <c r="S1042" t="s">
        <v>4671</v>
      </c>
      <c r="T1042" t="s">
        <v>7256</v>
      </c>
      <c r="U1042" t="s">
        <v>7256</v>
      </c>
      <c r="V1042" t="s">
        <v>7256</v>
      </c>
      <c r="W1042">
        <v>7</v>
      </c>
      <c r="X1042" t="s">
        <v>8298</v>
      </c>
      <c r="Y1042">
        <v>0.79235313527349038</v>
      </c>
      <c r="Z1042" t="str">
        <f>HYPERLINK("Melting_Curves/meltCurve_sp_P49750_4_YLPM1_HUMAN_.pdf", "Melting_Curves/meltCurve_sp_P49750_4_YLPM1_HUMAN_.pdf")</f>
        <v>Melting_Curves/meltCurve_sp_P49750_4_YLPM1_HUMAN_.pdf</v>
      </c>
      <c r="AA1042" t="s">
        <v>11908</v>
      </c>
      <c r="AB1042" t="s">
        <v>15468</v>
      </c>
    </row>
    <row r="1043" spans="1:28" x14ac:dyDescent="0.25">
      <c r="A1043" t="s">
        <v>1047</v>
      </c>
      <c r="B1043">
        <v>0.98018197421672304</v>
      </c>
      <c r="C1043">
        <v>0.973319902946018</v>
      </c>
      <c r="D1043">
        <v>0.84615123768842504</v>
      </c>
      <c r="E1043">
        <v>0.61911980040479597</v>
      </c>
      <c r="F1043">
        <v>0.32948057772790601</v>
      </c>
      <c r="G1043">
        <v>0.183417287525382</v>
      </c>
      <c r="H1043">
        <v>0.191831380877861</v>
      </c>
      <c r="I1043">
        <v>0.103625283145621</v>
      </c>
      <c r="J1043">
        <v>0.31449426672210901</v>
      </c>
      <c r="K1043">
        <v>8.2312736956605501E-2</v>
      </c>
      <c r="L1043">
        <v>1056.65143336543</v>
      </c>
      <c r="M1043">
        <v>21.137484138767999</v>
      </c>
      <c r="N1043">
        <v>50.897195297855603</v>
      </c>
      <c r="O1043">
        <v>49.548490163246598</v>
      </c>
      <c r="P1043">
        <v>-8.9904782375797507E-2</v>
      </c>
      <c r="Q1043">
        <v>0.15703698666797899</v>
      </c>
      <c r="R1043">
        <v>0.96699308439286202</v>
      </c>
      <c r="S1043" t="s">
        <v>4672</v>
      </c>
      <c r="T1043" t="s">
        <v>7256</v>
      </c>
      <c r="U1043" t="s">
        <v>7256</v>
      </c>
      <c r="V1043" t="s">
        <v>7256</v>
      </c>
      <c r="W1043">
        <v>2</v>
      </c>
      <c r="X1043" t="s">
        <v>8299</v>
      </c>
      <c r="Y1043">
        <v>0.44825701425673509</v>
      </c>
      <c r="Z1043" t="str">
        <f>HYPERLINK("Melting_Curves/meltCurve_sp_P49756_RBM25_HUMAN_.pdf", "Melting_Curves/meltCurve_sp_P49756_RBM25_HUMAN_.pdf")</f>
        <v>Melting_Curves/meltCurve_sp_P49756_RBM25_HUMAN_.pdf</v>
      </c>
      <c r="AA1043" t="s">
        <v>11909</v>
      </c>
      <c r="AB1043" t="s">
        <v>15469</v>
      </c>
    </row>
    <row r="1044" spans="1:28" x14ac:dyDescent="0.25">
      <c r="A1044" t="s">
        <v>1048</v>
      </c>
      <c r="B1044">
        <v>0.98018197421672304</v>
      </c>
      <c r="C1044">
        <v>0.98189361912571105</v>
      </c>
      <c r="D1044">
        <v>0.86810900423190795</v>
      </c>
      <c r="E1044">
        <v>0.71451056805471902</v>
      </c>
      <c r="F1044">
        <v>0.53426326860680995</v>
      </c>
      <c r="G1044">
        <v>0.32186853781873298</v>
      </c>
      <c r="H1044">
        <v>0.26115872187663097</v>
      </c>
      <c r="I1044">
        <v>0.26928181392899803</v>
      </c>
      <c r="J1044">
        <v>0.33498449544050002</v>
      </c>
      <c r="K1044">
        <v>0.36537991967060302</v>
      </c>
      <c r="L1044">
        <v>994.52258276159398</v>
      </c>
      <c r="M1044">
        <v>19.6137081589576</v>
      </c>
      <c r="N1044">
        <v>53.0897761811664</v>
      </c>
      <c r="O1044">
        <v>50.187218480827902</v>
      </c>
      <c r="P1044">
        <v>-6.9099103750193097E-2</v>
      </c>
      <c r="Q1044">
        <v>0.292786480756414</v>
      </c>
      <c r="R1044">
        <v>0.97942779318094197</v>
      </c>
      <c r="S1044" t="s">
        <v>4673</v>
      </c>
      <c r="T1044" t="s">
        <v>7256</v>
      </c>
      <c r="U1044" t="s">
        <v>7256</v>
      </c>
      <c r="V1044" t="s">
        <v>7256</v>
      </c>
      <c r="W1044">
        <v>5</v>
      </c>
      <c r="X1044" t="s">
        <v>8300</v>
      </c>
      <c r="Y1044">
        <v>0.55534845807576982</v>
      </c>
      <c r="Z1044" t="str">
        <f>HYPERLINK("Melting_Curves/meltCurve_sp_P49757_4_NUMB_HUMAN_.pdf", "Melting_Curves/meltCurve_sp_P49757_4_NUMB_HUMAN_.pdf")</f>
        <v>Melting_Curves/meltCurve_sp_P49757_4_NUMB_HUMAN_.pdf</v>
      </c>
      <c r="AA1044" t="s">
        <v>11910</v>
      </c>
      <c r="AB1044" t="s">
        <v>15470</v>
      </c>
    </row>
    <row r="1045" spans="1:28" x14ac:dyDescent="0.25">
      <c r="A1045" t="s">
        <v>1049</v>
      </c>
      <c r="B1045">
        <v>0.98018197421672304</v>
      </c>
      <c r="C1045">
        <v>1.0164251484172</v>
      </c>
      <c r="D1045">
        <v>0.917512563057576</v>
      </c>
      <c r="E1045">
        <v>0.617587463580622</v>
      </c>
      <c r="F1045">
        <v>0.41723705475044198</v>
      </c>
      <c r="G1045">
        <v>0.17444524323990199</v>
      </c>
      <c r="H1045">
        <v>9.5140296890993695E-2</v>
      </c>
      <c r="I1045">
        <v>8.4133502401986707E-2</v>
      </c>
      <c r="J1045">
        <v>0.10371674249519799</v>
      </c>
      <c r="K1045">
        <v>6.4916974839068595E-2</v>
      </c>
      <c r="L1045">
        <v>1000.4709044889401</v>
      </c>
      <c r="M1045">
        <v>19.525998146428801</v>
      </c>
      <c r="N1045">
        <v>51.634360146508698</v>
      </c>
      <c r="O1045">
        <v>50.709544015759398</v>
      </c>
      <c r="P1045">
        <v>-8.9565785272068099E-2</v>
      </c>
      <c r="Q1045">
        <v>6.96142368737689E-2</v>
      </c>
      <c r="R1045">
        <v>0.99708914585554098</v>
      </c>
      <c r="S1045" t="s">
        <v>4674</v>
      </c>
      <c r="T1045" t="s">
        <v>7256</v>
      </c>
      <c r="U1045" t="s">
        <v>7256</v>
      </c>
      <c r="V1045" t="s">
        <v>7256</v>
      </c>
      <c r="W1045">
        <v>5</v>
      </c>
      <c r="X1045" t="s">
        <v>8301</v>
      </c>
      <c r="Y1045">
        <v>0.43162492371766098</v>
      </c>
      <c r="Z1045" t="str">
        <f>HYPERLINK("Melting_Curves/meltCurve_sp_P49770_EI2BB_HUMAN_.pdf", "Melting_Curves/meltCurve_sp_P49770_EI2BB_HUMAN_.pdf")</f>
        <v>Melting_Curves/meltCurve_sp_P49770_EI2BB_HUMAN_.pdf</v>
      </c>
      <c r="AA1045" t="s">
        <v>11911</v>
      </c>
      <c r="AB1045" t="s">
        <v>15471</v>
      </c>
    </row>
    <row r="1046" spans="1:28" x14ac:dyDescent="0.25">
      <c r="A1046" t="s">
        <v>1050</v>
      </c>
      <c r="B1046">
        <v>0.98018197421672304</v>
      </c>
      <c r="C1046">
        <v>1.0243415449636599</v>
      </c>
      <c r="D1046">
        <v>0.99587743198140599</v>
      </c>
      <c r="E1046">
        <v>0.889474471251677</v>
      </c>
      <c r="F1046">
        <v>0.90789635350198505</v>
      </c>
      <c r="G1046">
        <v>0.71794039160988199</v>
      </c>
      <c r="H1046">
        <v>0.39247606483865699</v>
      </c>
      <c r="I1046">
        <v>0.371644900149531</v>
      </c>
      <c r="J1046">
        <v>0.381602738493306</v>
      </c>
      <c r="K1046">
        <v>0.46609102272325398</v>
      </c>
      <c r="L1046">
        <v>1808.1233366466599</v>
      </c>
      <c r="M1046">
        <v>31.831372435887801</v>
      </c>
      <c r="N1046">
        <v>59.599148914014798</v>
      </c>
      <c r="O1046">
        <v>56.5804059692911</v>
      </c>
      <c r="P1046">
        <v>-8.6120563347961795E-2</v>
      </c>
      <c r="Q1046">
        <v>0.38768442796762798</v>
      </c>
      <c r="R1046">
        <v>0.96497211466538102</v>
      </c>
      <c r="S1046" t="s">
        <v>4675</v>
      </c>
      <c r="T1046" t="s">
        <v>7256</v>
      </c>
      <c r="U1046" t="s">
        <v>7256</v>
      </c>
      <c r="V1046" t="s">
        <v>7256</v>
      </c>
      <c r="W1046">
        <v>10</v>
      </c>
      <c r="X1046" t="s">
        <v>8302</v>
      </c>
      <c r="Y1046">
        <v>0.73431472228223138</v>
      </c>
      <c r="Z1046" t="str">
        <f>HYPERLINK("Melting_Curves/meltCurve_sp_P49773_HINT1_HUMAN_.pdf", "Melting_Curves/meltCurve_sp_P49773_HINT1_HUMAN_.pdf")</f>
        <v>Melting_Curves/meltCurve_sp_P49773_HINT1_HUMAN_.pdf</v>
      </c>
      <c r="AA1046" t="s">
        <v>11912</v>
      </c>
      <c r="AB1046" t="s">
        <v>15472</v>
      </c>
    </row>
    <row r="1047" spans="1:28" x14ac:dyDescent="0.25">
      <c r="A1047" t="s">
        <v>1051</v>
      </c>
      <c r="B1047">
        <v>0.98018197421672304</v>
      </c>
      <c r="C1047">
        <v>0.92977456597900399</v>
      </c>
      <c r="D1047">
        <v>0.85596425148727395</v>
      </c>
      <c r="E1047">
        <v>0.74065992509661605</v>
      </c>
      <c r="F1047">
        <v>0.62531728692688204</v>
      </c>
      <c r="G1047">
        <v>0.45505075042260801</v>
      </c>
      <c r="H1047">
        <v>0.35547814309933801</v>
      </c>
      <c r="I1047">
        <v>0.29860394697908099</v>
      </c>
      <c r="J1047">
        <v>0.349306475693964</v>
      </c>
      <c r="K1047">
        <v>0.19736766890541499</v>
      </c>
      <c r="L1047">
        <v>523.76118871483698</v>
      </c>
      <c r="M1047">
        <v>9.7326293194915401</v>
      </c>
      <c r="N1047">
        <v>56.1345273173824</v>
      </c>
      <c r="O1047">
        <v>51.690479234917298</v>
      </c>
      <c r="P1047">
        <v>-3.9299443617863902E-2</v>
      </c>
      <c r="Q1047">
        <v>0.16556486127063499</v>
      </c>
      <c r="R1047">
        <v>0.98747528384949601</v>
      </c>
      <c r="S1047" t="s">
        <v>4676</v>
      </c>
      <c r="T1047" t="s">
        <v>7256</v>
      </c>
      <c r="U1047" t="s">
        <v>7256</v>
      </c>
      <c r="V1047" t="s">
        <v>7256</v>
      </c>
      <c r="W1047">
        <v>3</v>
      </c>
      <c r="X1047" t="s">
        <v>8303</v>
      </c>
      <c r="Y1047">
        <v>0.57616618073778758</v>
      </c>
      <c r="Z1047" t="str">
        <f>HYPERLINK("Melting_Curves/meltCurve_sp_P49789_FHIT_HUMAN_.pdf", "Melting_Curves/meltCurve_sp_P49789_FHIT_HUMAN_.pdf")</f>
        <v>Melting_Curves/meltCurve_sp_P49789_FHIT_HUMAN_.pdf</v>
      </c>
      <c r="AA1047" t="s">
        <v>11913</v>
      </c>
      <c r="AB1047" t="s">
        <v>15473</v>
      </c>
    </row>
    <row r="1048" spans="1:28" x14ac:dyDescent="0.25">
      <c r="A1048" t="s">
        <v>1052</v>
      </c>
      <c r="B1048">
        <v>0.98018197421672304</v>
      </c>
      <c r="C1048">
        <v>0.99434772961490903</v>
      </c>
      <c r="D1048">
        <v>0.92468325441824595</v>
      </c>
      <c r="E1048">
        <v>0.74686676473323399</v>
      </c>
      <c r="F1048">
        <v>0.51990041696266998</v>
      </c>
      <c r="G1048">
        <v>0.31848058796751499</v>
      </c>
      <c r="H1048">
        <v>0.35336828366124801</v>
      </c>
      <c r="I1048">
        <v>0.36030248467177201</v>
      </c>
      <c r="J1048">
        <v>0.44630779472314802</v>
      </c>
      <c r="K1048">
        <v>0.48809589751645199</v>
      </c>
      <c r="L1048">
        <v>1571.2804356988299</v>
      </c>
      <c r="M1048">
        <v>31.150989952694299</v>
      </c>
      <c r="N1048">
        <v>53.064566570794902</v>
      </c>
      <c r="O1048">
        <v>50.234282915612098</v>
      </c>
      <c r="P1048">
        <v>-9.4128172636571097E-2</v>
      </c>
      <c r="Q1048">
        <v>0.39283666521320598</v>
      </c>
      <c r="R1048">
        <v>0.96099450192449398</v>
      </c>
      <c r="S1048" t="s">
        <v>4677</v>
      </c>
      <c r="T1048" t="s">
        <v>7256</v>
      </c>
      <c r="U1048" t="s">
        <v>7256</v>
      </c>
      <c r="V1048" t="s">
        <v>7256</v>
      </c>
      <c r="W1048">
        <v>12</v>
      </c>
      <c r="X1048" t="s">
        <v>8304</v>
      </c>
      <c r="Y1048">
        <v>0.60765160906383042</v>
      </c>
      <c r="Z1048" t="str">
        <f>HYPERLINK("Melting_Curves/meltCurve_sp_P49790_NU153_HUMAN_.pdf", "Melting_Curves/meltCurve_sp_P49790_NU153_HUMAN_.pdf")</f>
        <v>Melting_Curves/meltCurve_sp_P49790_NU153_HUMAN_.pdf</v>
      </c>
      <c r="AA1048" t="s">
        <v>11914</v>
      </c>
      <c r="AB1048" t="s">
        <v>15474</v>
      </c>
    </row>
    <row r="1049" spans="1:28" x14ac:dyDescent="0.25">
      <c r="A1049" t="s">
        <v>1053</v>
      </c>
      <c r="B1049">
        <v>0.98018197421672304</v>
      </c>
      <c r="C1049">
        <v>0.97420354115165397</v>
      </c>
      <c r="D1049">
        <v>0.90177144251809305</v>
      </c>
      <c r="E1049">
        <v>0.73241384051713998</v>
      </c>
      <c r="F1049">
        <v>0.484918967079703</v>
      </c>
      <c r="G1049">
        <v>0.29948859658708199</v>
      </c>
      <c r="H1049">
        <v>0.27856256288173997</v>
      </c>
      <c r="I1049">
        <v>0.27426602020532898</v>
      </c>
      <c r="J1049">
        <v>0.30689504461646899</v>
      </c>
      <c r="K1049">
        <v>0.32088251151830699</v>
      </c>
      <c r="L1049">
        <v>1194.9970848704199</v>
      </c>
      <c r="M1049">
        <v>23.5105481424937</v>
      </c>
      <c r="N1049">
        <v>52.700832540641201</v>
      </c>
      <c r="O1049">
        <v>50.464677934614997</v>
      </c>
      <c r="P1049">
        <v>-8.3492228829117998E-2</v>
      </c>
      <c r="Q1049">
        <v>0.28315815859142601</v>
      </c>
      <c r="R1049">
        <v>0.99232456773896005</v>
      </c>
      <c r="S1049" t="s">
        <v>4678</v>
      </c>
      <c r="T1049" t="s">
        <v>7256</v>
      </c>
      <c r="U1049" t="s">
        <v>7256</v>
      </c>
      <c r="V1049" t="s">
        <v>7256</v>
      </c>
      <c r="W1049">
        <v>31</v>
      </c>
      <c r="X1049" t="s">
        <v>8305</v>
      </c>
      <c r="Y1049">
        <v>0.54918672101340205</v>
      </c>
      <c r="Z1049" t="str">
        <f>HYPERLINK("Melting_Curves/meltCurve_sp_P49792_RBP2_HUMAN_.pdf", "Melting_Curves/meltCurve_sp_P49792_RBP2_HUMAN_.pdf")</f>
        <v>Melting_Curves/meltCurve_sp_P49792_RBP2_HUMAN_.pdf</v>
      </c>
      <c r="AA1049" t="s">
        <v>11915</v>
      </c>
      <c r="AB1049" t="s">
        <v>15475</v>
      </c>
    </row>
    <row r="1050" spans="1:28" x14ac:dyDescent="0.25">
      <c r="A1050" t="s">
        <v>1054</v>
      </c>
      <c r="B1050">
        <v>0.98018197421672304</v>
      </c>
      <c r="C1050">
        <v>0.88464819533836103</v>
      </c>
      <c r="D1050">
        <v>0.72166783138686397</v>
      </c>
      <c r="E1050">
        <v>0.35249263986596102</v>
      </c>
      <c r="F1050">
        <v>0.16219727289133501</v>
      </c>
      <c r="G1050">
        <v>0.108444911403889</v>
      </c>
      <c r="H1050">
        <v>6.60949310010122E-2</v>
      </c>
      <c r="I1050">
        <v>5.8421891859116198E-2</v>
      </c>
      <c r="J1050">
        <v>5.3161582432779103E-2</v>
      </c>
      <c r="K1050">
        <v>3.9066341602201002E-2</v>
      </c>
      <c r="L1050">
        <v>904.87688364521796</v>
      </c>
      <c r="M1050">
        <v>18.859904481849799</v>
      </c>
      <c r="N1050">
        <v>48.228458607041901</v>
      </c>
      <c r="O1050">
        <v>47.449218843098897</v>
      </c>
      <c r="P1050">
        <v>-9.4752369029053707E-2</v>
      </c>
      <c r="Q1050">
        <v>4.6497532394952398E-2</v>
      </c>
      <c r="R1050">
        <v>0.99874117921540095</v>
      </c>
      <c r="S1050" t="s">
        <v>4679</v>
      </c>
      <c r="T1050" t="s">
        <v>7256</v>
      </c>
      <c r="U1050" t="s">
        <v>7256</v>
      </c>
      <c r="V1050" t="s">
        <v>7256</v>
      </c>
      <c r="W1050">
        <v>9</v>
      </c>
      <c r="X1050" t="s">
        <v>8306</v>
      </c>
      <c r="Y1050">
        <v>0.31544195918353263</v>
      </c>
      <c r="Z1050" t="str">
        <f>HYPERLINK("Melting_Curves/meltCurve_sp_P49821_2_NDUV1_HUMAN_.pdf", "Melting_Curves/meltCurve_sp_P49821_2_NDUV1_HUMAN_.pdf")</f>
        <v>Melting_Curves/meltCurve_sp_P49821_2_NDUV1_HUMAN_.pdf</v>
      </c>
      <c r="AA1050" t="s">
        <v>11916</v>
      </c>
      <c r="AB1050" t="s">
        <v>15476</v>
      </c>
    </row>
    <row r="1051" spans="1:28" x14ac:dyDescent="0.25">
      <c r="A1051" t="s">
        <v>1055</v>
      </c>
      <c r="B1051">
        <v>0.98018197421672304</v>
      </c>
      <c r="C1051">
        <v>0.87840118444169202</v>
      </c>
      <c r="D1051">
        <v>0.85059188912792305</v>
      </c>
      <c r="E1051">
        <v>0.62457441828938498</v>
      </c>
      <c r="F1051">
        <v>0.32914353983270001</v>
      </c>
      <c r="G1051">
        <v>0.18173577069816901</v>
      </c>
      <c r="H1051">
        <v>7.3978334782392297E-2</v>
      </c>
      <c r="I1051">
        <v>5.9570642197460701E-2</v>
      </c>
      <c r="J1051">
        <v>6.5259377878169905E-2</v>
      </c>
      <c r="K1051">
        <v>4.8665321317927099E-2</v>
      </c>
      <c r="L1051">
        <v>798.19923012998299</v>
      </c>
      <c r="M1051">
        <v>15.6924209042801</v>
      </c>
      <c r="N1051">
        <v>51.042675499178003</v>
      </c>
      <c r="O1051">
        <v>50.060732354534203</v>
      </c>
      <c r="P1051">
        <v>-7.6293571846038993E-2</v>
      </c>
      <c r="Q1051">
        <v>2.6539282637255499E-2</v>
      </c>
      <c r="R1051">
        <v>0.99301036249081398</v>
      </c>
      <c r="S1051" t="s">
        <v>4680</v>
      </c>
      <c r="T1051" t="s">
        <v>7256</v>
      </c>
      <c r="U1051" t="s">
        <v>7256</v>
      </c>
      <c r="V1051" t="s">
        <v>7256</v>
      </c>
      <c r="W1051">
        <v>6</v>
      </c>
      <c r="X1051" t="s">
        <v>8307</v>
      </c>
      <c r="Y1051">
        <v>0.40003186260767848</v>
      </c>
      <c r="Z1051" t="str">
        <f>HYPERLINK("Melting_Curves/meltCurve_sp_P49840_GSK3A_HUMAN_.pdf", "Melting_Curves/meltCurve_sp_P49840_GSK3A_HUMAN_.pdf")</f>
        <v>Melting_Curves/meltCurve_sp_P49840_GSK3A_HUMAN_.pdf</v>
      </c>
      <c r="AA1051" t="s">
        <v>11917</v>
      </c>
      <c r="AB1051" t="s">
        <v>15477</v>
      </c>
    </row>
    <row r="1052" spans="1:28" x14ac:dyDescent="0.25">
      <c r="A1052" t="s">
        <v>1056</v>
      </c>
      <c r="B1052">
        <v>0.98018197421672304</v>
      </c>
      <c r="C1052">
        <v>0.89016770053835603</v>
      </c>
      <c r="D1052">
        <v>0.78091100271728497</v>
      </c>
      <c r="E1052">
        <v>0.37867319510655501</v>
      </c>
      <c r="F1052">
        <v>0.21449383351229001</v>
      </c>
      <c r="G1052">
        <v>0.120745625215158</v>
      </c>
      <c r="H1052">
        <v>6.5484573831499804E-2</v>
      </c>
      <c r="I1052">
        <v>5.2386628166281902E-2</v>
      </c>
      <c r="J1052">
        <v>5.0700048360858299E-2</v>
      </c>
      <c r="K1052">
        <v>3.6940881057340301E-2</v>
      </c>
      <c r="L1052">
        <v>893.94398814830299</v>
      </c>
      <c r="M1052">
        <v>18.400264479689199</v>
      </c>
      <c r="N1052">
        <v>48.823823423743796</v>
      </c>
      <c r="O1052">
        <v>48.020283855600702</v>
      </c>
      <c r="P1052">
        <v>-9.1646233203434901E-2</v>
      </c>
      <c r="Q1052">
        <v>4.3344390416252002E-2</v>
      </c>
      <c r="R1052">
        <v>0.99770637016086205</v>
      </c>
      <c r="S1052" t="s">
        <v>4681</v>
      </c>
      <c r="T1052" t="s">
        <v>7256</v>
      </c>
      <c r="U1052" t="s">
        <v>7256</v>
      </c>
      <c r="V1052" t="s">
        <v>7256</v>
      </c>
      <c r="W1052">
        <v>13</v>
      </c>
      <c r="X1052" t="s">
        <v>8308</v>
      </c>
      <c r="Y1052">
        <v>0.33303180780633912</v>
      </c>
      <c r="Z1052" t="str">
        <f>HYPERLINK("Melting_Curves/meltCurve_sp_P49888_ST1E1_HUMAN_.pdf", "Melting_Curves/meltCurve_sp_P49888_ST1E1_HUMAN_.pdf")</f>
        <v>Melting_Curves/meltCurve_sp_P49888_ST1E1_HUMAN_.pdf</v>
      </c>
      <c r="AA1052" t="s">
        <v>11918</v>
      </c>
      <c r="AB1052" t="s">
        <v>15478</v>
      </c>
    </row>
    <row r="1053" spans="1:28" x14ac:dyDescent="0.25">
      <c r="A1053" t="s">
        <v>1057</v>
      </c>
      <c r="B1053">
        <v>0.98018197421672304</v>
      </c>
      <c r="C1053">
        <v>0.98344993498421995</v>
      </c>
      <c r="D1053">
        <v>0.87561868976619905</v>
      </c>
      <c r="E1053">
        <v>0.745261965878809</v>
      </c>
      <c r="F1053">
        <v>0.54052682910759198</v>
      </c>
      <c r="G1053">
        <v>0.30349442928280601</v>
      </c>
      <c r="H1053">
        <v>7.3603772095089601E-2</v>
      </c>
      <c r="I1053">
        <v>5.4164468730542203E-2</v>
      </c>
      <c r="J1053">
        <v>5.7301353202345598E-2</v>
      </c>
      <c r="K1053">
        <v>4.1234730994980803E-2</v>
      </c>
      <c r="L1053">
        <v>817.99695610053504</v>
      </c>
      <c r="M1053">
        <v>15.3190985910074</v>
      </c>
      <c r="N1053">
        <v>53.397201739621202</v>
      </c>
      <c r="O1053">
        <v>52.512068765826001</v>
      </c>
      <c r="P1053">
        <v>-7.2938079598936903E-2</v>
      </c>
      <c r="Q1053">
        <v>0</v>
      </c>
      <c r="R1053">
        <v>0.99512714410046199</v>
      </c>
      <c r="S1053" t="s">
        <v>4682</v>
      </c>
      <c r="T1053" t="s">
        <v>7256</v>
      </c>
      <c r="U1053" t="s">
        <v>7256</v>
      </c>
      <c r="V1053" t="s">
        <v>7256</v>
      </c>
      <c r="W1053">
        <v>8</v>
      </c>
      <c r="X1053" t="s">
        <v>8309</v>
      </c>
      <c r="Y1053">
        <v>0.46712667863136542</v>
      </c>
      <c r="Z1053" t="str">
        <f>HYPERLINK("Melting_Curves/meltCurve_sp_P49902_5NTC_HUMAN_.pdf", "Melting_Curves/meltCurve_sp_P49902_5NTC_HUMAN_.pdf")</f>
        <v>Melting_Curves/meltCurve_sp_P49902_5NTC_HUMAN_.pdf</v>
      </c>
      <c r="AA1053" t="s">
        <v>11919</v>
      </c>
      <c r="AB1053" t="s">
        <v>15479</v>
      </c>
    </row>
    <row r="1054" spans="1:28" x14ac:dyDescent="0.25">
      <c r="A1054" t="s">
        <v>1058</v>
      </c>
      <c r="B1054">
        <v>0.98018197421672304</v>
      </c>
      <c r="C1054">
        <v>0.95176528743328603</v>
      </c>
      <c r="D1054">
        <v>0.91059856717135401</v>
      </c>
      <c r="E1054">
        <v>0.79234327882494304</v>
      </c>
      <c r="F1054">
        <v>0.667536924049285</v>
      </c>
      <c r="G1054">
        <v>0.52699906425832999</v>
      </c>
      <c r="H1054">
        <v>0.40969485465986599</v>
      </c>
      <c r="I1054">
        <v>0.37385810484349202</v>
      </c>
      <c r="J1054">
        <v>0.34610073708021899</v>
      </c>
      <c r="K1054">
        <v>0.31971396885264902</v>
      </c>
      <c r="L1054">
        <v>617.59158374121705</v>
      </c>
      <c r="M1054">
        <v>11.4723076925124</v>
      </c>
      <c r="N1054">
        <v>57.773291342359798</v>
      </c>
      <c r="O1054">
        <v>52.275472103299698</v>
      </c>
      <c r="P1054">
        <v>-3.9988906098912098E-2</v>
      </c>
      <c r="Q1054">
        <v>0.27134471145407302</v>
      </c>
      <c r="R1054">
        <v>0.99938773170513495</v>
      </c>
      <c r="S1054" t="s">
        <v>4683</v>
      </c>
      <c r="T1054" t="s">
        <v>7256</v>
      </c>
      <c r="U1054" t="s">
        <v>7256</v>
      </c>
      <c r="V1054" t="s">
        <v>7256</v>
      </c>
      <c r="W1054">
        <v>9</v>
      </c>
      <c r="X1054" t="s">
        <v>8310</v>
      </c>
      <c r="Y1054">
        <v>0.62748759450025748</v>
      </c>
      <c r="Z1054" t="str">
        <f>HYPERLINK("Melting_Curves/meltCurve_sp_P49903_SPS1_HUMAN_.pdf", "Melting_Curves/meltCurve_sp_P49903_SPS1_HUMAN_.pdf")</f>
        <v>Melting_Curves/meltCurve_sp_P49903_SPS1_HUMAN_.pdf</v>
      </c>
      <c r="AA1054" t="s">
        <v>11920</v>
      </c>
      <c r="AB1054" t="s">
        <v>15480</v>
      </c>
    </row>
    <row r="1055" spans="1:28" x14ac:dyDescent="0.25">
      <c r="A1055" t="s">
        <v>1059</v>
      </c>
      <c r="B1055">
        <v>0.98018197421672304</v>
      </c>
      <c r="C1055">
        <v>1.00813527644504</v>
      </c>
      <c r="D1055">
        <v>0.87443014435697897</v>
      </c>
      <c r="E1055">
        <v>0.449364376809961</v>
      </c>
      <c r="F1055">
        <v>0.206963405074964</v>
      </c>
      <c r="G1055">
        <v>0.14680242298591001</v>
      </c>
      <c r="H1055">
        <v>0.105136602836642</v>
      </c>
      <c r="I1055">
        <v>0.100489792201506</v>
      </c>
      <c r="J1055">
        <v>0.112153380322718</v>
      </c>
      <c r="K1055">
        <v>7.3746583261374704E-2</v>
      </c>
      <c r="L1055">
        <v>1325.53624264617</v>
      </c>
      <c r="M1055">
        <v>26.966968300324901</v>
      </c>
      <c r="N1055">
        <v>49.568070628166502</v>
      </c>
      <c r="O1055">
        <v>48.8861592819935</v>
      </c>
      <c r="P1055">
        <v>-0.124002664916462</v>
      </c>
      <c r="Q1055">
        <v>0.100832835821552</v>
      </c>
      <c r="R1055">
        <v>0.99823287008250094</v>
      </c>
      <c r="S1055" t="s">
        <v>4684</v>
      </c>
      <c r="T1055" t="s">
        <v>7256</v>
      </c>
      <c r="U1055" t="s">
        <v>7256</v>
      </c>
      <c r="V1055" t="s">
        <v>7256</v>
      </c>
      <c r="W1055">
        <v>7</v>
      </c>
      <c r="X1055" t="s">
        <v>8311</v>
      </c>
      <c r="Y1055">
        <v>0.38202890888175323</v>
      </c>
      <c r="Z1055" t="str">
        <f>HYPERLINK("Melting_Curves/meltCurve_sp_P49914_MTHFS_HUMAN_.pdf", "Melting_Curves/meltCurve_sp_P49914_MTHFS_HUMAN_.pdf")</f>
        <v>Melting_Curves/meltCurve_sp_P49914_MTHFS_HUMAN_.pdf</v>
      </c>
      <c r="AA1055" t="s">
        <v>11921</v>
      </c>
      <c r="AB1055" t="s">
        <v>15481</v>
      </c>
    </row>
    <row r="1056" spans="1:28" x14ac:dyDescent="0.25">
      <c r="A1056" t="s">
        <v>1060</v>
      </c>
      <c r="B1056">
        <v>0.98018197421672304</v>
      </c>
      <c r="C1056">
        <v>0.94639105181121197</v>
      </c>
      <c r="D1056">
        <v>0.84944430672889304</v>
      </c>
      <c r="E1056">
        <v>0.69256867788852905</v>
      </c>
      <c r="F1056">
        <v>0.52251056238047699</v>
      </c>
      <c r="G1056">
        <v>0.33437969558119202</v>
      </c>
      <c r="H1056">
        <v>0.26281262295862301</v>
      </c>
      <c r="I1056">
        <v>0.22599895000301101</v>
      </c>
      <c r="J1056">
        <v>0.26598025944989401</v>
      </c>
      <c r="K1056">
        <v>0.17665319436209301</v>
      </c>
      <c r="L1056">
        <v>701.47879026574697</v>
      </c>
      <c r="M1056">
        <v>13.6116615679069</v>
      </c>
      <c r="N1056">
        <v>53.297499304670097</v>
      </c>
      <c r="O1056">
        <v>50.4609710140601</v>
      </c>
      <c r="P1056">
        <v>-5.5224215900435997E-2</v>
      </c>
      <c r="Q1056">
        <v>0.181214982390902</v>
      </c>
      <c r="R1056">
        <v>0.99490662703094102</v>
      </c>
      <c r="S1056" t="s">
        <v>4685</v>
      </c>
      <c r="T1056" t="s">
        <v>7256</v>
      </c>
      <c r="U1056" t="s">
        <v>7256</v>
      </c>
      <c r="V1056" t="s">
        <v>7256</v>
      </c>
      <c r="W1056">
        <v>13</v>
      </c>
      <c r="X1056" t="s">
        <v>8312</v>
      </c>
      <c r="Y1056">
        <v>0.51763403853882561</v>
      </c>
      <c r="Z1056" t="str">
        <f>HYPERLINK("Melting_Curves/meltCurve_sp_P49959_MRE11_HUMAN_.pdf", "Melting_Curves/meltCurve_sp_P49959_MRE11_HUMAN_.pdf")</f>
        <v>Melting_Curves/meltCurve_sp_P49959_MRE11_HUMAN_.pdf</v>
      </c>
      <c r="AA1056" t="s">
        <v>11922</v>
      </c>
      <c r="AB1056" t="s">
        <v>15482</v>
      </c>
    </row>
    <row r="1057" spans="1:28" x14ac:dyDescent="0.25">
      <c r="A1057" t="s">
        <v>1061</v>
      </c>
      <c r="B1057">
        <v>0.98018197421672304</v>
      </c>
      <c r="C1057">
        <v>0.97143314592293295</v>
      </c>
      <c r="D1057">
        <v>0.97768005305944305</v>
      </c>
      <c r="E1057">
        <v>0.84092230503520105</v>
      </c>
      <c r="F1057">
        <v>0.81754613266403198</v>
      </c>
      <c r="G1057">
        <v>0.65280561701520401</v>
      </c>
      <c r="H1057">
        <v>0.32898777458147999</v>
      </c>
      <c r="I1057">
        <v>0.170091212140174</v>
      </c>
      <c r="J1057">
        <v>8.7347869879679699E-2</v>
      </c>
      <c r="K1057">
        <v>5.5301250873303398E-2</v>
      </c>
      <c r="L1057">
        <v>922.68131333063502</v>
      </c>
      <c r="M1057">
        <v>15.8284734152948</v>
      </c>
      <c r="N1057">
        <v>58.292502130240401</v>
      </c>
      <c r="O1057">
        <v>57.385862026114701</v>
      </c>
      <c r="P1057">
        <v>-6.8961969303829695E-2</v>
      </c>
      <c r="Q1057">
        <v>0</v>
      </c>
      <c r="R1057">
        <v>0.98877714728515897</v>
      </c>
      <c r="S1057" t="s">
        <v>4686</v>
      </c>
      <c r="T1057" t="s">
        <v>7256</v>
      </c>
      <c r="U1057" t="s">
        <v>7256</v>
      </c>
      <c r="V1057" t="s">
        <v>7256</v>
      </c>
      <c r="W1057">
        <v>15</v>
      </c>
      <c r="X1057" t="s">
        <v>8313</v>
      </c>
      <c r="Y1057">
        <v>0.62230000710431121</v>
      </c>
      <c r="Z1057" t="str">
        <f>HYPERLINK("Melting_Curves/meltCurve_sp_P50053_2_KHK_HUMAN_.pdf", "Melting_Curves/meltCurve_sp_P50053_2_KHK_HUMAN_.pdf")</f>
        <v>Melting_Curves/meltCurve_sp_P50053_2_KHK_HUMAN_.pdf</v>
      </c>
      <c r="AA1057" t="s">
        <v>11923</v>
      </c>
      <c r="AB1057" t="s">
        <v>15483</v>
      </c>
    </row>
    <row r="1058" spans="1:28" x14ac:dyDescent="0.25">
      <c r="A1058" t="s">
        <v>1062</v>
      </c>
      <c r="B1058">
        <v>0.98018197421672304</v>
      </c>
      <c r="C1058">
        <v>0.82674204154783104</v>
      </c>
      <c r="D1058">
        <v>0.85037943199093302</v>
      </c>
      <c r="E1058">
        <v>0.79889660366108295</v>
      </c>
      <c r="F1058">
        <v>0.75579427637651297</v>
      </c>
      <c r="G1058">
        <v>0.57694404941353306</v>
      </c>
      <c r="H1058">
        <v>0.406636576709973</v>
      </c>
      <c r="I1058">
        <v>0.26955676259879402</v>
      </c>
      <c r="J1058">
        <v>0.14050847787835199</v>
      </c>
      <c r="K1058">
        <v>6.7882167902058102E-2</v>
      </c>
      <c r="L1058">
        <v>582.11521601964796</v>
      </c>
      <c r="M1058">
        <v>10.0958477653462</v>
      </c>
      <c r="N1058">
        <v>57.658874078958597</v>
      </c>
      <c r="O1058">
        <v>55.533784828021801</v>
      </c>
      <c r="P1058">
        <v>-4.5470441721454202E-2</v>
      </c>
      <c r="Q1058">
        <v>0</v>
      </c>
      <c r="R1058">
        <v>0.95539873322024504</v>
      </c>
      <c r="S1058" t="s">
        <v>4687</v>
      </c>
      <c r="T1058" t="s">
        <v>7256</v>
      </c>
      <c r="U1058" t="s">
        <v>7256</v>
      </c>
      <c r="V1058" t="s">
        <v>7256</v>
      </c>
      <c r="W1058">
        <v>14</v>
      </c>
      <c r="X1058" t="s">
        <v>8314</v>
      </c>
      <c r="Y1058">
        <v>0.60079093487118451</v>
      </c>
      <c r="Z1058" t="str">
        <f>HYPERLINK("Melting_Curves/meltCurve_sp_P50053_KHK_HUMAN_.pdf", "Melting_Curves/meltCurve_sp_P50053_KHK_HUMAN_.pdf")</f>
        <v>Melting_Curves/meltCurve_sp_P50053_KHK_HUMAN_.pdf</v>
      </c>
      <c r="AA1058" t="s">
        <v>11923</v>
      </c>
      <c r="AB1058" t="s">
        <v>15484</v>
      </c>
    </row>
    <row r="1059" spans="1:28" x14ac:dyDescent="0.25">
      <c r="A1059" t="s">
        <v>1063</v>
      </c>
      <c r="B1059">
        <v>0.98018197421672304</v>
      </c>
      <c r="C1059">
        <v>0.92169274254212097</v>
      </c>
      <c r="D1059">
        <v>1.0093894881746099</v>
      </c>
      <c r="E1059">
        <v>0.86325650498004802</v>
      </c>
      <c r="F1059">
        <v>0.703813211106183</v>
      </c>
      <c r="G1059">
        <v>0.123358450930032</v>
      </c>
      <c r="H1059">
        <v>5.7494621847573299E-2</v>
      </c>
      <c r="I1059">
        <v>3.67025352025597E-2</v>
      </c>
      <c r="J1059">
        <v>3.6873160455383497E-2</v>
      </c>
      <c r="K1059">
        <v>2.55879739056941E-2</v>
      </c>
      <c r="L1059">
        <v>1892.9887922371199</v>
      </c>
      <c r="M1059">
        <v>35.065263677451597</v>
      </c>
      <c r="N1059">
        <v>54.072810233240197</v>
      </c>
      <c r="O1059">
        <v>53.8100588445703</v>
      </c>
      <c r="P1059">
        <v>-0.15839080255482799</v>
      </c>
      <c r="Q1059">
        <v>2.77571475224428E-2</v>
      </c>
      <c r="R1059">
        <v>0.99120414088807796</v>
      </c>
      <c r="S1059" t="s">
        <v>4688</v>
      </c>
      <c r="T1059" t="s">
        <v>7256</v>
      </c>
      <c r="U1059" t="s">
        <v>7256</v>
      </c>
      <c r="V1059" t="s">
        <v>7256</v>
      </c>
      <c r="W1059">
        <v>11</v>
      </c>
      <c r="X1059" t="s">
        <v>8315</v>
      </c>
      <c r="Y1059">
        <v>0.48568103641421467</v>
      </c>
      <c r="Z1059" t="str">
        <f>HYPERLINK("Melting_Curves/meltCurve_sp_P50135_HNMT_HUMAN_.pdf", "Melting_Curves/meltCurve_sp_P50135_HNMT_HUMAN_.pdf")</f>
        <v>Melting_Curves/meltCurve_sp_P50135_HNMT_HUMAN_.pdf</v>
      </c>
      <c r="AA1059" t="s">
        <v>11924</v>
      </c>
      <c r="AB1059" t="s">
        <v>15485</v>
      </c>
    </row>
    <row r="1060" spans="1:28" x14ac:dyDescent="0.25">
      <c r="A1060" t="s">
        <v>1064</v>
      </c>
      <c r="B1060">
        <v>0.98018197421672304</v>
      </c>
      <c r="C1060">
        <v>0.83519894663237904</v>
      </c>
      <c r="D1060">
        <v>1.0188436186644201</v>
      </c>
      <c r="E1060">
        <v>0.59306662025665902</v>
      </c>
      <c r="F1060">
        <v>0.14621449984351001</v>
      </c>
      <c r="G1060">
        <v>8.0517189275283202E-2</v>
      </c>
      <c r="H1060">
        <v>4.0310159494679303E-2</v>
      </c>
      <c r="I1060">
        <v>3.16905382298193E-2</v>
      </c>
      <c r="J1060">
        <v>3.44573588656173E-2</v>
      </c>
      <c r="K1060">
        <v>2.3166422647675999E-2</v>
      </c>
      <c r="L1060">
        <v>2140.9260001816101</v>
      </c>
      <c r="M1060">
        <v>42.497587294074599</v>
      </c>
      <c r="N1060">
        <v>50.477932358944798</v>
      </c>
      <c r="O1060">
        <v>50.266424503432503</v>
      </c>
      <c r="P1060">
        <v>-0.202800902689794</v>
      </c>
      <c r="Q1060">
        <v>4.0504628988964397E-2</v>
      </c>
      <c r="R1060">
        <v>0.98171662418311101</v>
      </c>
      <c r="S1060" t="s">
        <v>4689</v>
      </c>
      <c r="T1060" t="s">
        <v>7256</v>
      </c>
      <c r="U1060" t="s">
        <v>7256</v>
      </c>
      <c r="V1060" t="s">
        <v>7256</v>
      </c>
      <c r="W1060">
        <v>15</v>
      </c>
      <c r="X1060" t="s">
        <v>8316</v>
      </c>
      <c r="Y1060">
        <v>0.37537063684304689</v>
      </c>
      <c r="Z1060" t="str">
        <f>HYPERLINK("Melting_Curves/meltCurve_sp_P50225_ST1A1_HUMAN_.pdf", "Melting_Curves/meltCurve_sp_P50225_ST1A1_HUMAN_.pdf")</f>
        <v>Melting_Curves/meltCurve_sp_P50225_ST1A1_HUMAN_.pdf</v>
      </c>
      <c r="AA1060" t="s">
        <v>11925</v>
      </c>
      <c r="AB1060" t="s">
        <v>15486</v>
      </c>
    </row>
    <row r="1061" spans="1:28" x14ac:dyDescent="0.25">
      <c r="A1061" t="s">
        <v>1065</v>
      </c>
      <c r="B1061">
        <v>0.98018197421672304</v>
      </c>
      <c r="C1061">
        <v>0.85555740688472004</v>
      </c>
      <c r="D1061">
        <v>0.80357990535009904</v>
      </c>
      <c r="E1061">
        <v>0.56563503863967401</v>
      </c>
      <c r="F1061">
        <v>0.28196483124186</v>
      </c>
      <c r="G1061">
        <v>0.20441943643331301</v>
      </c>
      <c r="H1061">
        <v>0.129085810954397</v>
      </c>
      <c r="I1061">
        <v>0.125324907678243</v>
      </c>
      <c r="J1061">
        <v>0.144131763296585</v>
      </c>
      <c r="K1061">
        <v>8.1166647379424806E-2</v>
      </c>
      <c r="L1061">
        <v>749.75431606538598</v>
      </c>
      <c r="M1061">
        <v>15.125058835894</v>
      </c>
      <c r="N1061">
        <v>50.227691387771202</v>
      </c>
      <c r="O1061">
        <v>48.7280438579687</v>
      </c>
      <c r="P1061">
        <v>-7.0638331107090099E-2</v>
      </c>
      <c r="Q1061">
        <v>8.9793689890627498E-2</v>
      </c>
      <c r="R1061">
        <v>0.988852896905696</v>
      </c>
      <c r="S1061" t="s">
        <v>4690</v>
      </c>
      <c r="T1061" t="s">
        <v>7256</v>
      </c>
      <c r="U1061" t="s">
        <v>7256</v>
      </c>
      <c r="V1061" t="s">
        <v>7256</v>
      </c>
      <c r="W1061">
        <v>13</v>
      </c>
      <c r="X1061" t="s">
        <v>8317</v>
      </c>
      <c r="Y1061">
        <v>0.40184407451848941</v>
      </c>
      <c r="Z1061" t="str">
        <f>HYPERLINK("Melting_Curves/meltCurve_sp_P50226_ST1A2_HUMAN_.pdf", "Melting_Curves/meltCurve_sp_P50226_ST1A2_HUMAN_.pdf")</f>
        <v>Melting_Curves/meltCurve_sp_P50226_ST1A2_HUMAN_.pdf</v>
      </c>
      <c r="AA1061" t="s">
        <v>11926</v>
      </c>
      <c r="AB1061" t="s">
        <v>15487</v>
      </c>
    </row>
    <row r="1062" spans="1:28" x14ac:dyDescent="0.25">
      <c r="A1062" t="s">
        <v>1066</v>
      </c>
      <c r="B1062">
        <v>0.98018197421672304</v>
      </c>
      <c r="C1062">
        <v>0.967732719645231</v>
      </c>
      <c r="D1062">
        <v>0.94732449403575203</v>
      </c>
      <c r="E1062">
        <v>0.83036777054545996</v>
      </c>
      <c r="F1062">
        <v>0.69883033911159598</v>
      </c>
      <c r="G1062">
        <v>0.26603544560876902</v>
      </c>
      <c r="H1062">
        <v>8.14585380901902E-2</v>
      </c>
      <c r="I1062">
        <v>6.2151951181902997E-2</v>
      </c>
      <c r="J1062">
        <v>6.4459319224258405E-2</v>
      </c>
      <c r="K1062">
        <v>4.75042071583811E-2</v>
      </c>
      <c r="L1062">
        <v>1220.66106598434</v>
      </c>
      <c r="M1062">
        <v>22.459496249425801</v>
      </c>
      <c r="N1062">
        <v>54.507622187174803</v>
      </c>
      <c r="O1062">
        <v>53.924071457530403</v>
      </c>
      <c r="P1062">
        <v>-0.100842532179411</v>
      </c>
      <c r="Q1062">
        <v>3.15493770178756E-2</v>
      </c>
      <c r="R1062">
        <v>0.99449695438832597</v>
      </c>
      <c r="S1062" t="s">
        <v>4691</v>
      </c>
      <c r="T1062" t="s">
        <v>7256</v>
      </c>
      <c r="U1062" t="s">
        <v>7256</v>
      </c>
      <c r="V1062" t="s">
        <v>7256</v>
      </c>
      <c r="W1062">
        <v>35</v>
      </c>
      <c r="X1062" t="s">
        <v>8318</v>
      </c>
      <c r="Y1062">
        <v>0.50559230596931282</v>
      </c>
      <c r="Z1062" t="str">
        <f>HYPERLINK("Melting_Curves/meltCurve_sp_P50395_GDIB_HUMAN_.pdf", "Melting_Curves/meltCurve_sp_P50395_GDIB_HUMAN_.pdf")</f>
        <v>Melting_Curves/meltCurve_sp_P50395_GDIB_HUMAN_.pdf</v>
      </c>
      <c r="AA1062" t="s">
        <v>11927</v>
      </c>
      <c r="AB1062" t="s">
        <v>15488</v>
      </c>
    </row>
    <row r="1063" spans="1:28" x14ac:dyDescent="0.25">
      <c r="A1063" t="s">
        <v>1067</v>
      </c>
      <c r="B1063">
        <v>0.98018197421672304</v>
      </c>
      <c r="C1063">
        <v>0.85807476145363804</v>
      </c>
      <c r="D1063">
        <v>0.85524451384706401</v>
      </c>
      <c r="E1063">
        <v>0.61847222274094305</v>
      </c>
      <c r="F1063">
        <v>0.47560778726622299</v>
      </c>
      <c r="G1063">
        <v>0.54439963732313101</v>
      </c>
      <c r="H1063">
        <v>0.52434140157855402</v>
      </c>
      <c r="I1063">
        <v>0.51472843686595604</v>
      </c>
      <c r="J1063">
        <v>0.68464116281026599</v>
      </c>
      <c r="K1063">
        <v>0.72112936272859196</v>
      </c>
      <c r="L1063">
        <v>1128.3558757252499</v>
      </c>
      <c r="M1063">
        <v>24.507414914046599</v>
      </c>
      <c r="O1063">
        <v>45.738133825650998</v>
      </c>
      <c r="P1063">
        <v>-5.6745405359586103E-2</v>
      </c>
      <c r="Q1063">
        <v>0.57639082417548204</v>
      </c>
      <c r="R1063">
        <v>0.75780214396520595</v>
      </c>
      <c r="S1063" t="s">
        <v>4692</v>
      </c>
      <c r="T1063" t="s">
        <v>7256</v>
      </c>
      <c r="U1063" t="s">
        <v>7256</v>
      </c>
      <c r="V1063" t="s">
        <v>7256</v>
      </c>
      <c r="W1063">
        <v>3</v>
      </c>
      <c r="X1063" t="s">
        <v>8319</v>
      </c>
      <c r="Y1063">
        <v>0.66578563941222835</v>
      </c>
      <c r="Z1063" t="str">
        <f>HYPERLINK("Melting_Curves/meltCurve_sp_P50402_EMD_HUMAN_.pdf", "Melting_Curves/meltCurve_sp_P50402_EMD_HUMAN_.pdf")</f>
        <v>Melting_Curves/meltCurve_sp_P50402_EMD_HUMAN_.pdf</v>
      </c>
      <c r="AA1063" t="s">
        <v>11928</v>
      </c>
      <c r="AB1063" t="s">
        <v>15489</v>
      </c>
    </row>
    <row r="1064" spans="1:28" x14ac:dyDescent="0.25">
      <c r="A1064" t="s">
        <v>1068</v>
      </c>
      <c r="B1064">
        <v>0.98018197421672304</v>
      </c>
      <c r="C1064">
        <v>1.0315928625386499</v>
      </c>
      <c r="D1064">
        <v>0.986080144614636</v>
      </c>
      <c r="E1064">
        <v>0.83214958764229896</v>
      </c>
      <c r="F1064">
        <v>0.68422327521836102</v>
      </c>
      <c r="G1064">
        <v>0.35186973404337102</v>
      </c>
      <c r="H1064">
        <v>0.22792591270720999</v>
      </c>
      <c r="I1064">
        <v>0.209611523714508</v>
      </c>
      <c r="J1064">
        <v>0.144481196331883</v>
      </c>
      <c r="K1064">
        <v>7.3689801504708594E-2</v>
      </c>
      <c r="L1064">
        <v>974.60883671516206</v>
      </c>
      <c r="M1064">
        <v>17.885688478763601</v>
      </c>
      <c r="N1064">
        <v>55.207312339824</v>
      </c>
      <c r="O1064">
        <v>53.8235244023031</v>
      </c>
      <c r="P1064">
        <v>-7.4476373696913498E-2</v>
      </c>
      <c r="Q1064">
        <v>0.103556720136651</v>
      </c>
      <c r="R1064">
        <v>0.99366539775209495</v>
      </c>
      <c r="S1064" t="s">
        <v>4693</v>
      </c>
      <c r="T1064" t="s">
        <v>7256</v>
      </c>
      <c r="U1064" t="s">
        <v>7256</v>
      </c>
      <c r="V1064" t="s">
        <v>7256</v>
      </c>
      <c r="W1064">
        <v>31</v>
      </c>
      <c r="X1064" t="s">
        <v>8320</v>
      </c>
      <c r="Y1064">
        <v>0.55082649581732057</v>
      </c>
      <c r="Z1064" t="str">
        <f>HYPERLINK("Melting_Curves/meltCurve_sp_P50440_GATM_HUMAN_.pdf", "Melting_Curves/meltCurve_sp_P50440_GATM_HUMAN_.pdf")</f>
        <v>Melting_Curves/meltCurve_sp_P50440_GATM_HUMAN_.pdf</v>
      </c>
      <c r="AA1064" t="s">
        <v>11929</v>
      </c>
      <c r="AB1064" t="s">
        <v>15490</v>
      </c>
    </row>
    <row r="1065" spans="1:28" x14ac:dyDescent="0.25">
      <c r="A1065" t="s">
        <v>1069</v>
      </c>
      <c r="B1065">
        <v>0.98018197421672304</v>
      </c>
      <c r="C1065">
        <v>0.88794852169862604</v>
      </c>
      <c r="D1065">
        <v>0.84972456228926996</v>
      </c>
      <c r="E1065">
        <v>0.70721422643890997</v>
      </c>
      <c r="F1065">
        <v>0.64675329390474801</v>
      </c>
      <c r="G1065">
        <v>0.49600108905575901</v>
      </c>
      <c r="H1065">
        <v>0.35580618524936702</v>
      </c>
      <c r="I1065">
        <v>0.37042832796733199</v>
      </c>
      <c r="J1065">
        <v>0.43926445761671501</v>
      </c>
      <c r="K1065">
        <v>0.58524322257112904</v>
      </c>
      <c r="L1065">
        <v>675.82017721864599</v>
      </c>
      <c r="M1065">
        <v>13.6363139835402</v>
      </c>
      <c r="N1065">
        <v>57.502359868697702</v>
      </c>
      <c r="O1065">
        <v>48.530930926002299</v>
      </c>
      <c r="P1065">
        <v>-4.0469851494077502E-2</v>
      </c>
      <c r="Q1065">
        <v>0.42396409896944398</v>
      </c>
      <c r="R1065">
        <v>0.89440404521177097</v>
      </c>
      <c r="S1065" t="s">
        <v>4694</v>
      </c>
      <c r="T1065" t="s">
        <v>7256</v>
      </c>
      <c r="U1065" t="s">
        <v>7256</v>
      </c>
      <c r="V1065" t="s">
        <v>7256</v>
      </c>
      <c r="W1065">
        <v>6</v>
      </c>
      <c r="X1065" t="s">
        <v>8321</v>
      </c>
      <c r="Y1065">
        <v>0.62404893068133538</v>
      </c>
      <c r="Z1065" t="str">
        <f>HYPERLINK("Melting_Curves/meltCurve_sp_P50452_SPB8_HUMAN_.pdf", "Melting_Curves/meltCurve_sp_P50452_SPB8_HUMAN_.pdf")</f>
        <v>Melting_Curves/meltCurve_sp_P50452_SPB8_HUMAN_.pdf</v>
      </c>
      <c r="AA1065" t="s">
        <v>11930</v>
      </c>
      <c r="AB1065" t="s">
        <v>15491</v>
      </c>
    </row>
    <row r="1066" spans="1:28" x14ac:dyDescent="0.25">
      <c r="A1066" t="s">
        <v>1070</v>
      </c>
      <c r="B1066">
        <v>0.98018197421672304</v>
      </c>
      <c r="C1066">
        <v>1.0216626963955799</v>
      </c>
      <c r="D1066">
        <v>0.94485532241584103</v>
      </c>
      <c r="E1066">
        <v>0.813071953044463</v>
      </c>
      <c r="F1066">
        <v>0.80857734894406696</v>
      </c>
      <c r="G1066">
        <v>0.50942418337477302</v>
      </c>
      <c r="H1066">
        <v>0.143244395311765</v>
      </c>
      <c r="I1066">
        <v>0.108680951461561</v>
      </c>
      <c r="J1066">
        <v>0.11462580584198701</v>
      </c>
      <c r="K1066">
        <v>6.9487284735984603E-2</v>
      </c>
      <c r="L1066">
        <v>1020.76653747462</v>
      </c>
      <c r="M1066">
        <v>18.1262712417175</v>
      </c>
      <c r="N1066">
        <v>56.487527509769798</v>
      </c>
      <c r="O1066">
        <v>55.642213127895197</v>
      </c>
      <c r="P1066">
        <v>-7.92420316818577E-2</v>
      </c>
      <c r="Q1066">
        <v>2.70496721776868E-2</v>
      </c>
      <c r="R1066">
        <v>0.98361407001458601</v>
      </c>
      <c r="S1066" t="s">
        <v>4695</v>
      </c>
      <c r="T1066" t="s">
        <v>7256</v>
      </c>
      <c r="U1066" t="s">
        <v>7256</v>
      </c>
      <c r="V1066" t="s">
        <v>7256</v>
      </c>
      <c r="W1066">
        <v>6</v>
      </c>
      <c r="X1066" t="s">
        <v>8322</v>
      </c>
      <c r="Y1066">
        <v>0.57009158096779911</v>
      </c>
      <c r="Z1066" t="str">
        <f>HYPERLINK("Melting_Curves/meltCurve_sp_P50453_SPB9_HUMAN_.pdf", "Melting_Curves/meltCurve_sp_P50453_SPB9_HUMAN_.pdf")</f>
        <v>Melting_Curves/meltCurve_sp_P50453_SPB9_HUMAN_.pdf</v>
      </c>
      <c r="AA1066" t="s">
        <v>11931</v>
      </c>
      <c r="AB1066" t="s">
        <v>15492</v>
      </c>
    </row>
    <row r="1067" spans="1:28" x14ac:dyDescent="0.25">
      <c r="A1067" t="s">
        <v>1071</v>
      </c>
      <c r="B1067">
        <v>0.98018197421672304</v>
      </c>
      <c r="C1067">
        <v>1.2653392849157401</v>
      </c>
      <c r="D1067">
        <v>0.46090507797357899</v>
      </c>
      <c r="E1067">
        <v>0.38940768736889497</v>
      </c>
      <c r="F1067">
        <v>0.79900568624724699</v>
      </c>
      <c r="G1067">
        <v>0.52475819015347702</v>
      </c>
      <c r="H1067">
        <v>8.1300727509537096E-2</v>
      </c>
      <c r="I1067">
        <v>6.3906151482643198E-2</v>
      </c>
      <c r="J1067">
        <v>0.72230334310731903</v>
      </c>
      <c r="K1067">
        <v>0.65371078333037502</v>
      </c>
      <c r="L1067">
        <v>11210.544770741501</v>
      </c>
      <c r="M1067">
        <v>250</v>
      </c>
      <c r="N1067">
        <v>45.308215545590897</v>
      </c>
      <c r="O1067">
        <v>44.839309334345302</v>
      </c>
      <c r="P1067">
        <v>-0.75019442247442103</v>
      </c>
      <c r="Q1067">
        <v>0.46178880254751298</v>
      </c>
      <c r="R1067">
        <v>0.52641440160266395</v>
      </c>
      <c r="S1067" t="s">
        <v>4696</v>
      </c>
      <c r="T1067" t="s">
        <v>7256</v>
      </c>
      <c r="U1067" t="s">
        <v>7256</v>
      </c>
      <c r="V1067" t="s">
        <v>7256</v>
      </c>
      <c r="W1067">
        <v>7</v>
      </c>
      <c r="X1067" t="s">
        <v>8323</v>
      </c>
      <c r="Y1067">
        <v>0.54870165841387075</v>
      </c>
      <c r="Z1067" t="str">
        <f>HYPERLINK("Melting_Curves/meltCurve_sp_P50454_SERPH_HUMAN_.pdf", "Melting_Curves/meltCurve_sp_P50454_SERPH_HUMAN_.pdf")</f>
        <v>Melting_Curves/meltCurve_sp_P50454_SERPH_HUMAN_.pdf</v>
      </c>
      <c r="AA1067" t="s">
        <v>11932</v>
      </c>
      <c r="AB1067" t="s">
        <v>15493</v>
      </c>
    </row>
    <row r="1068" spans="1:28" x14ac:dyDescent="0.25">
      <c r="A1068" t="s">
        <v>1072</v>
      </c>
      <c r="B1068">
        <v>0.98018197421672304</v>
      </c>
      <c r="C1068">
        <v>0.97333647887709196</v>
      </c>
      <c r="D1068">
        <v>0.94140449298985296</v>
      </c>
      <c r="E1068">
        <v>0.85142423814762302</v>
      </c>
      <c r="F1068">
        <v>0.74145113154514197</v>
      </c>
      <c r="G1068">
        <v>0.426788950209263</v>
      </c>
      <c r="H1068">
        <v>0.26932216987424601</v>
      </c>
      <c r="I1068">
        <v>0.26517555173518498</v>
      </c>
      <c r="J1068">
        <v>0.29807850428698002</v>
      </c>
      <c r="K1068">
        <v>0.34243786317950498</v>
      </c>
      <c r="L1068">
        <v>1250.8077492167599</v>
      </c>
      <c r="M1068">
        <v>23.262730766659899</v>
      </c>
      <c r="N1068">
        <v>55.721326631178997</v>
      </c>
      <c r="O1068">
        <v>53.376124594497803</v>
      </c>
      <c r="P1068">
        <v>-7.8589817925041799E-2</v>
      </c>
      <c r="Q1068">
        <v>0.278718314990617</v>
      </c>
      <c r="R1068">
        <v>0.98428386345178498</v>
      </c>
      <c r="S1068" t="s">
        <v>4697</v>
      </c>
      <c r="T1068" t="s">
        <v>7256</v>
      </c>
      <c r="U1068" t="s">
        <v>7256</v>
      </c>
      <c r="V1068" t="s">
        <v>7256</v>
      </c>
      <c r="W1068">
        <v>15</v>
      </c>
      <c r="X1068" t="s">
        <v>8324</v>
      </c>
      <c r="Y1068">
        <v>0.61735332035105139</v>
      </c>
      <c r="Z1068" t="str">
        <f>HYPERLINK("Melting_Curves/meltCurve_sp_P50502_F10A1_HUMAN_.pdf", "Melting_Curves/meltCurve_sp_P50502_F10A1_HUMAN_.pdf")</f>
        <v>Melting_Curves/meltCurve_sp_P50502_F10A1_HUMAN_.pdf</v>
      </c>
      <c r="AA1068" t="s">
        <v>11933</v>
      </c>
      <c r="AB1068" t="s">
        <v>15494</v>
      </c>
    </row>
    <row r="1069" spans="1:28" x14ac:dyDescent="0.25">
      <c r="A1069" t="s">
        <v>1073</v>
      </c>
      <c r="B1069">
        <v>0.98018197421672304</v>
      </c>
      <c r="C1069">
        <v>0.97901558833936797</v>
      </c>
      <c r="D1069">
        <v>0.82696294225954603</v>
      </c>
      <c r="E1069">
        <v>0.70991897151975103</v>
      </c>
      <c r="F1069">
        <v>0.45312847109501497</v>
      </c>
      <c r="G1069">
        <v>0.20785317963907499</v>
      </c>
      <c r="H1069">
        <v>0.177698292166065</v>
      </c>
      <c r="I1069">
        <v>0.165161162367472</v>
      </c>
      <c r="J1069">
        <v>0.18203830438222299</v>
      </c>
      <c r="K1069">
        <v>0.182655287043793</v>
      </c>
      <c r="L1069">
        <v>929.14419053229994</v>
      </c>
      <c r="M1069">
        <v>18.173046069523998</v>
      </c>
      <c r="N1069">
        <v>52.144440328458998</v>
      </c>
      <c r="O1069">
        <v>50.520573004731901</v>
      </c>
      <c r="P1069">
        <v>-7.6515585040094994E-2</v>
      </c>
      <c r="Q1069">
        <v>0.149195458200199</v>
      </c>
      <c r="R1069">
        <v>0.98863863052315903</v>
      </c>
      <c r="S1069" t="s">
        <v>4698</v>
      </c>
      <c r="T1069" t="s">
        <v>7256</v>
      </c>
      <c r="U1069" t="s">
        <v>7256</v>
      </c>
      <c r="V1069" t="s">
        <v>7256</v>
      </c>
      <c r="W1069">
        <v>3</v>
      </c>
      <c r="X1069" t="s">
        <v>8325</v>
      </c>
      <c r="Y1069">
        <v>0.47884623067861232</v>
      </c>
      <c r="Z1069" t="str">
        <f>HYPERLINK("Melting_Curves/meltCurve_sp_P50542_2_PEX5_HUMAN_.pdf", "Melting_Curves/meltCurve_sp_P50542_2_PEX5_HUMAN_.pdf")</f>
        <v>Melting_Curves/meltCurve_sp_P50542_2_PEX5_HUMAN_.pdf</v>
      </c>
      <c r="AA1069" t="s">
        <v>11934</v>
      </c>
      <c r="AB1069" t="s">
        <v>15495</v>
      </c>
    </row>
    <row r="1070" spans="1:28" x14ac:dyDescent="0.25">
      <c r="A1070" t="s">
        <v>1074</v>
      </c>
      <c r="B1070">
        <v>0.98018197421672304</v>
      </c>
      <c r="C1070">
        <v>0.99608866702466603</v>
      </c>
      <c r="D1070">
        <v>0.96791709576708196</v>
      </c>
      <c r="E1070">
        <v>0.80772440472950102</v>
      </c>
      <c r="F1070">
        <v>0.61535280121504399</v>
      </c>
      <c r="G1070">
        <v>0.376381464194669</v>
      </c>
      <c r="H1070">
        <v>0.34016207247379698</v>
      </c>
      <c r="I1070">
        <v>0.33324697411265303</v>
      </c>
      <c r="J1070">
        <v>0.45797141469121999</v>
      </c>
      <c r="K1070">
        <v>0.34265104044637101</v>
      </c>
      <c r="L1070">
        <v>1381.66154453068</v>
      </c>
      <c r="M1070">
        <v>26.6691691165822</v>
      </c>
      <c r="N1070">
        <v>54.399616209073898</v>
      </c>
      <c r="O1070">
        <v>51.518793082315199</v>
      </c>
      <c r="P1070">
        <v>-8.2865594614064494E-2</v>
      </c>
      <c r="Q1070">
        <v>0.35969652487167297</v>
      </c>
      <c r="R1070">
        <v>0.98087214564599601</v>
      </c>
      <c r="S1070" t="s">
        <v>4699</v>
      </c>
      <c r="T1070" t="s">
        <v>7256</v>
      </c>
      <c r="U1070" t="s">
        <v>7256</v>
      </c>
      <c r="V1070" t="s">
        <v>7256</v>
      </c>
      <c r="W1070">
        <v>8</v>
      </c>
      <c r="X1070" t="s">
        <v>8326</v>
      </c>
      <c r="Y1070">
        <v>0.6168529951759758</v>
      </c>
      <c r="Z1070" t="str">
        <f>HYPERLINK("Melting_Curves/meltCurve_sp_P50552_VASP_HUMAN_.pdf", "Melting_Curves/meltCurve_sp_P50552_VASP_HUMAN_.pdf")</f>
        <v>Melting_Curves/meltCurve_sp_P50552_VASP_HUMAN_.pdf</v>
      </c>
      <c r="AA1070" t="s">
        <v>11935</v>
      </c>
      <c r="AB1070" t="s">
        <v>15496</v>
      </c>
    </row>
    <row r="1071" spans="1:28" x14ac:dyDescent="0.25">
      <c r="A1071" t="s">
        <v>1075</v>
      </c>
      <c r="B1071">
        <v>0.98018197421672304</v>
      </c>
      <c r="C1071">
        <v>0.95477840799320901</v>
      </c>
      <c r="D1071">
        <v>0.860734966211115</v>
      </c>
      <c r="E1071">
        <v>0.47973604095795702</v>
      </c>
      <c r="F1071">
        <v>0.17803617938460001</v>
      </c>
      <c r="G1071">
        <v>9.9604864535314003E-2</v>
      </c>
      <c r="H1071">
        <v>5.4650431723386399E-2</v>
      </c>
      <c r="I1071">
        <v>5.03930871536898E-2</v>
      </c>
      <c r="J1071">
        <v>4.2829042507865803E-2</v>
      </c>
      <c r="K1071">
        <v>4.1155759470150398E-2</v>
      </c>
      <c r="L1071">
        <v>1179.30899046133</v>
      </c>
      <c r="M1071">
        <v>23.835760114647702</v>
      </c>
      <c r="N1071">
        <v>49.665123723807397</v>
      </c>
      <c r="O1071">
        <v>49.132153467464597</v>
      </c>
      <c r="P1071">
        <v>-0.116036169751281</v>
      </c>
      <c r="Q1071">
        <v>4.3283832179630298E-2</v>
      </c>
      <c r="R1071">
        <v>0.99857579553662801</v>
      </c>
      <c r="S1071" t="s">
        <v>4700</v>
      </c>
      <c r="T1071" t="s">
        <v>7256</v>
      </c>
      <c r="U1071" t="s">
        <v>7256</v>
      </c>
      <c r="V1071" t="s">
        <v>7256</v>
      </c>
      <c r="W1071">
        <v>8</v>
      </c>
      <c r="X1071" t="s">
        <v>8327</v>
      </c>
      <c r="Y1071">
        <v>0.35486840105465689</v>
      </c>
      <c r="Z1071" t="str">
        <f>HYPERLINK("Melting_Curves/meltCurve_sp_P50570_2_DYN2_HUMAN_.pdf", "Melting_Curves/meltCurve_sp_P50570_2_DYN2_HUMAN_.pdf")</f>
        <v>Melting_Curves/meltCurve_sp_P50570_2_DYN2_HUMAN_.pdf</v>
      </c>
      <c r="AA1071" t="s">
        <v>11936</v>
      </c>
      <c r="AB1071" t="s">
        <v>15497</v>
      </c>
    </row>
    <row r="1072" spans="1:28" x14ac:dyDescent="0.25">
      <c r="A1072" t="s">
        <v>1076</v>
      </c>
      <c r="B1072">
        <v>0.98018197421672304</v>
      </c>
      <c r="C1072">
        <v>1.06154800283663</v>
      </c>
      <c r="D1072">
        <v>0.88107079938107402</v>
      </c>
      <c r="E1072">
        <v>0.46526879579639102</v>
      </c>
      <c r="F1072">
        <v>0.195079355903819</v>
      </c>
      <c r="G1072">
        <v>0.111168754431656</v>
      </c>
      <c r="H1072">
        <v>7.4447457167272593E-2</v>
      </c>
      <c r="I1072">
        <v>5.06098512877729E-2</v>
      </c>
      <c r="J1072">
        <v>8.6550448060621205E-2</v>
      </c>
      <c r="K1072">
        <v>7.0019989563853399E-2</v>
      </c>
      <c r="L1072">
        <v>1375.5879339312601</v>
      </c>
      <c r="M1072">
        <v>27.825671853131201</v>
      </c>
      <c r="N1072">
        <v>49.715223919480202</v>
      </c>
      <c r="O1072">
        <v>49.182711842557303</v>
      </c>
      <c r="P1072">
        <v>-0.13120731647488401</v>
      </c>
      <c r="Q1072">
        <v>7.2356639363036906E-2</v>
      </c>
      <c r="R1072">
        <v>0.99542287729519696</v>
      </c>
      <c r="S1072" t="s">
        <v>4701</v>
      </c>
      <c r="T1072" t="s">
        <v>7256</v>
      </c>
      <c r="U1072" t="s">
        <v>7256</v>
      </c>
      <c r="V1072" t="s">
        <v>7256</v>
      </c>
      <c r="W1072">
        <v>1</v>
      </c>
      <c r="X1072" t="s">
        <v>8328</v>
      </c>
      <c r="Y1072">
        <v>0.37075848858433119</v>
      </c>
      <c r="Z1072" t="str">
        <f>HYPERLINK("Melting_Curves/meltCurve_sp_P50583_AP4A_HUMAN_.pdf", "Melting_Curves/meltCurve_sp_P50583_AP4A_HUMAN_.pdf")</f>
        <v>Melting_Curves/meltCurve_sp_P50583_AP4A_HUMAN_.pdf</v>
      </c>
      <c r="AA1072" t="s">
        <v>11937</v>
      </c>
      <c r="AB1072" t="s">
        <v>15498</v>
      </c>
    </row>
    <row r="1073" spans="1:28" x14ac:dyDescent="0.25">
      <c r="A1073" t="s">
        <v>1077</v>
      </c>
      <c r="B1073">
        <v>0.98018197421672304</v>
      </c>
      <c r="C1073">
        <v>1.0381664735299401</v>
      </c>
      <c r="D1073">
        <v>0.81908897464053199</v>
      </c>
      <c r="E1073">
        <v>0.54352721953106597</v>
      </c>
      <c r="F1073">
        <v>0.30366953238351702</v>
      </c>
      <c r="G1073">
        <v>0.14649082592546001</v>
      </c>
      <c r="H1073">
        <v>9.2955473578547207E-2</v>
      </c>
      <c r="I1073">
        <v>7.3018872987452105E-2</v>
      </c>
      <c r="J1073">
        <v>8.3549166760762503E-2</v>
      </c>
      <c r="K1073">
        <v>7.2133700031783599E-2</v>
      </c>
      <c r="L1073">
        <v>975.08872834869101</v>
      </c>
      <c r="M1073">
        <v>19.496222821991399</v>
      </c>
      <c r="N1073">
        <v>50.395160951415399</v>
      </c>
      <c r="O1073">
        <v>49.496981707405602</v>
      </c>
      <c r="P1073">
        <v>-9.1728702912482904E-2</v>
      </c>
      <c r="Q1073">
        <v>6.8511102370454699E-2</v>
      </c>
      <c r="R1073">
        <v>0.99495237684383897</v>
      </c>
      <c r="S1073" t="s">
        <v>4702</v>
      </c>
      <c r="T1073" t="s">
        <v>7256</v>
      </c>
      <c r="U1073" t="s">
        <v>7256</v>
      </c>
      <c r="V1073" t="s">
        <v>7256</v>
      </c>
      <c r="W1073">
        <v>4</v>
      </c>
      <c r="X1073" t="s">
        <v>8329</v>
      </c>
      <c r="Y1073">
        <v>0.39307565610464279</v>
      </c>
      <c r="Z1073" t="str">
        <f>HYPERLINK("Melting_Curves/meltCurve_sp_P50747_BPL1_HUMAN_.pdf", "Melting_Curves/meltCurve_sp_P50747_BPL1_HUMAN_.pdf")</f>
        <v>Melting_Curves/meltCurve_sp_P50747_BPL1_HUMAN_.pdf</v>
      </c>
      <c r="AA1073" t="s">
        <v>11938</v>
      </c>
      <c r="AB1073" t="s">
        <v>15499</v>
      </c>
    </row>
    <row r="1074" spans="1:28" x14ac:dyDescent="0.25">
      <c r="A1074" t="s">
        <v>1078</v>
      </c>
      <c r="B1074">
        <v>0.98018197421672304</v>
      </c>
      <c r="C1074">
        <v>1.10499476531486</v>
      </c>
      <c r="D1074">
        <v>0.93728304897655002</v>
      </c>
      <c r="E1074">
        <v>0.86455877143653703</v>
      </c>
      <c r="F1074">
        <v>0.59807062956676604</v>
      </c>
      <c r="G1074">
        <v>0.37609996605378798</v>
      </c>
      <c r="H1074">
        <v>0.29104829500527901</v>
      </c>
      <c r="I1074">
        <v>0.16078800688266401</v>
      </c>
      <c r="J1074">
        <v>0.14874586908649601</v>
      </c>
      <c r="K1074">
        <v>8.6604933527059794E-2</v>
      </c>
      <c r="L1074">
        <v>887.31746586937095</v>
      </c>
      <c r="M1074">
        <v>16.324188562804601</v>
      </c>
      <c r="N1074">
        <v>55.1076593466003</v>
      </c>
      <c r="O1074">
        <v>53.559898911211398</v>
      </c>
      <c r="P1074">
        <v>-6.8595819535400504E-2</v>
      </c>
      <c r="Q1074">
        <v>9.9809393241542393E-2</v>
      </c>
      <c r="R1074">
        <v>0.98314692793680902</v>
      </c>
      <c r="S1074" t="s">
        <v>4703</v>
      </c>
      <c r="T1074" t="s">
        <v>7256</v>
      </c>
      <c r="U1074" t="s">
        <v>7256</v>
      </c>
      <c r="V1074" t="s">
        <v>7256</v>
      </c>
      <c r="W1074">
        <v>1</v>
      </c>
      <c r="X1074" t="s">
        <v>8330</v>
      </c>
      <c r="Y1074">
        <v>0.54687628589186821</v>
      </c>
      <c r="Z1074" t="str">
        <f>HYPERLINK("Melting_Curves/meltCurve_sp_P50750_CDK9_HUMAN_.pdf", "Melting_Curves/meltCurve_sp_P50750_CDK9_HUMAN_.pdf")</f>
        <v>Melting_Curves/meltCurve_sp_P50750_CDK9_HUMAN_.pdf</v>
      </c>
      <c r="AA1074" t="s">
        <v>11939</v>
      </c>
      <c r="AB1074" t="s">
        <v>15500</v>
      </c>
    </row>
    <row r="1075" spans="1:28" x14ac:dyDescent="0.25">
      <c r="A1075" t="s">
        <v>1079</v>
      </c>
      <c r="B1075">
        <v>0.98018197421672304</v>
      </c>
      <c r="C1075">
        <v>0.84113767137349704</v>
      </c>
      <c r="D1075">
        <v>0.66665536544475701</v>
      </c>
      <c r="E1075">
        <v>0.35729474496649</v>
      </c>
      <c r="F1075">
        <v>0.21386275239025601</v>
      </c>
      <c r="G1075">
        <v>0.15695776201992601</v>
      </c>
      <c r="H1075">
        <v>0.101021562022143</v>
      </c>
      <c r="I1075">
        <v>0.113215538577823</v>
      </c>
      <c r="J1075">
        <v>0.15469892429191601</v>
      </c>
      <c r="K1075">
        <v>0.138499709016809</v>
      </c>
      <c r="L1075">
        <v>838.85014894336405</v>
      </c>
      <c r="M1075">
        <v>17.806042769451501</v>
      </c>
      <c r="N1075">
        <v>47.837861867381797</v>
      </c>
      <c r="O1075">
        <v>46.528272126744099</v>
      </c>
      <c r="P1075">
        <v>-8.4330498870540005E-2</v>
      </c>
      <c r="Q1075">
        <v>0.118602507251146</v>
      </c>
      <c r="R1075">
        <v>0.99599583642801703</v>
      </c>
      <c r="S1075" t="s">
        <v>4704</v>
      </c>
      <c r="T1075" t="s">
        <v>7256</v>
      </c>
      <c r="U1075" t="s">
        <v>7256</v>
      </c>
      <c r="V1075" t="s">
        <v>7256</v>
      </c>
      <c r="W1075">
        <v>2</v>
      </c>
      <c r="X1075" t="s">
        <v>8331</v>
      </c>
      <c r="Y1075">
        <v>0.34406545068750488</v>
      </c>
      <c r="Z1075" t="str">
        <f>HYPERLINK("Melting_Curves/meltCurve_sp_P50897_PPT1_HUMAN_.pdf", "Melting_Curves/meltCurve_sp_P50897_PPT1_HUMAN_.pdf")</f>
        <v>Melting_Curves/meltCurve_sp_P50897_PPT1_HUMAN_.pdf</v>
      </c>
      <c r="AA1075" t="s">
        <v>11940</v>
      </c>
      <c r="AB1075" t="s">
        <v>15501</v>
      </c>
    </row>
    <row r="1076" spans="1:28" x14ac:dyDescent="0.25">
      <c r="A1076" t="s">
        <v>1080</v>
      </c>
      <c r="B1076">
        <v>0.98018197421672304</v>
      </c>
      <c r="C1076">
        <v>0.95080874882282995</v>
      </c>
      <c r="D1076">
        <v>0.92828970390058596</v>
      </c>
      <c r="E1076">
        <v>0.78240206662864398</v>
      </c>
      <c r="F1076">
        <v>0.58149751468353805</v>
      </c>
      <c r="G1076">
        <v>0.19507721897786401</v>
      </c>
      <c r="H1076">
        <v>8.0712453392069894E-2</v>
      </c>
      <c r="I1076">
        <v>5.6849629000406403E-2</v>
      </c>
      <c r="J1076">
        <v>5.97864920707998E-2</v>
      </c>
      <c r="K1076">
        <v>3.9452489146230799E-2</v>
      </c>
      <c r="L1076">
        <v>1093.5654000955601</v>
      </c>
      <c r="M1076">
        <v>20.524181746920402</v>
      </c>
      <c r="N1076">
        <v>53.423597702623098</v>
      </c>
      <c r="O1076">
        <v>52.783701027435399</v>
      </c>
      <c r="P1076">
        <v>-9.4634881996681602E-2</v>
      </c>
      <c r="Q1076">
        <v>2.65075372232986E-2</v>
      </c>
      <c r="R1076">
        <v>0.99544289472347003</v>
      </c>
      <c r="S1076" t="s">
        <v>4705</v>
      </c>
      <c r="T1076" t="s">
        <v>7256</v>
      </c>
      <c r="U1076" t="s">
        <v>7256</v>
      </c>
      <c r="V1076" t="s">
        <v>7256</v>
      </c>
      <c r="W1076">
        <v>33</v>
      </c>
      <c r="X1076" t="s">
        <v>8332</v>
      </c>
      <c r="Y1076">
        <v>0.47028007445712872</v>
      </c>
      <c r="Z1076" t="str">
        <f>HYPERLINK("Melting_Curves/meltCurve_sp_P50990_TCPQ_HUMAN_.pdf", "Melting_Curves/meltCurve_sp_P50990_TCPQ_HUMAN_.pdf")</f>
        <v>Melting_Curves/meltCurve_sp_P50990_TCPQ_HUMAN_.pdf</v>
      </c>
      <c r="AA1076" t="s">
        <v>11941</v>
      </c>
      <c r="AB1076" t="s">
        <v>15502</v>
      </c>
    </row>
    <row r="1077" spans="1:28" x14ac:dyDescent="0.25">
      <c r="A1077" t="s">
        <v>1081</v>
      </c>
      <c r="B1077">
        <v>0.98018197421672304</v>
      </c>
      <c r="C1077">
        <v>0.95716228634011402</v>
      </c>
      <c r="D1077">
        <v>0.87456876945231998</v>
      </c>
      <c r="E1077">
        <v>0.72630661158439003</v>
      </c>
      <c r="F1077">
        <v>0.56450279526723501</v>
      </c>
      <c r="G1077">
        <v>0.148426163626595</v>
      </c>
      <c r="H1077">
        <v>5.6923951822025198E-2</v>
      </c>
      <c r="I1077">
        <v>4.2085404475746997E-2</v>
      </c>
      <c r="J1077">
        <v>4.60968442298932E-2</v>
      </c>
      <c r="K1077">
        <v>3.4123635859909303E-2</v>
      </c>
      <c r="L1077">
        <v>963.31003608416199</v>
      </c>
      <c r="M1077">
        <v>18.220000589435699</v>
      </c>
      <c r="N1077">
        <v>52.880837949105697</v>
      </c>
      <c r="O1077">
        <v>52.246465049559703</v>
      </c>
      <c r="P1077">
        <v>-8.7039834882191594E-2</v>
      </c>
      <c r="Q1077">
        <v>1.68832733763386E-3</v>
      </c>
      <c r="R1077">
        <v>0.98927742130951102</v>
      </c>
      <c r="S1077" t="s">
        <v>4706</v>
      </c>
      <c r="T1077" t="s">
        <v>7256</v>
      </c>
      <c r="U1077" t="s">
        <v>7256</v>
      </c>
      <c r="V1077" t="s">
        <v>7256</v>
      </c>
      <c r="W1077">
        <v>20</v>
      </c>
      <c r="X1077" t="s">
        <v>8333</v>
      </c>
      <c r="Y1077">
        <v>0.44606407517608038</v>
      </c>
      <c r="Z1077" t="str">
        <f>HYPERLINK("Melting_Curves/meltCurve_sp_P50991_TCPD_HUMAN_.pdf", "Melting_Curves/meltCurve_sp_P50991_TCPD_HUMAN_.pdf")</f>
        <v>Melting_Curves/meltCurve_sp_P50991_TCPD_HUMAN_.pdf</v>
      </c>
      <c r="AA1077" t="s">
        <v>11942</v>
      </c>
      <c r="AB1077" t="s">
        <v>15503</v>
      </c>
    </row>
    <row r="1078" spans="1:28" x14ac:dyDescent="0.25">
      <c r="A1078" t="s">
        <v>1082</v>
      </c>
      <c r="B1078">
        <v>0.98018197421672304</v>
      </c>
      <c r="C1078">
        <v>1.0346449499777799</v>
      </c>
      <c r="D1078">
        <v>0.96140902273490003</v>
      </c>
      <c r="E1078">
        <v>0.71957446753055898</v>
      </c>
      <c r="F1078">
        <v>0.61570799119058295</v>
      </c>
      <c r="G1078">
        <v>0.45115126596694599</v>
      </c>
      <c r="H1078">
        <v>0.41048119889755103</v>
      </c>
      <c r="I1078">
        <v>0.30412262801269802</v>
      </c>
      <c r="J1078">
        <v>0.58243350350192802</v>
      </c>
      <c r="K1078">
        <v>0.395069356577259</v>
      </c>
      <c r="L1078">
        <v>1156.7762724632901</v>
      </c>
      <c r="M1078">
        <v>22.837789011585201</v>
      </c>
      <c r="N1078">
        <v>55.074373829421098</v>
      </c>
      <c r="O1078">
        <v>50.268282974438897</v>
      </c>
      <c r="P1078">
        <v>-6.5865442061124699E-2</v>
      </c>
      <c r="Q1078">
        <v>0.42010517064636199</v>
      </c>
      <c r="R1078">
        <v>0.92758649813094496</v>
      </c>
      <c r="S1078" t="s">
        <v>4707</v>
      </c>
      <c r="T1078" t="s">
        <v>7256</v>
      </c>
      <c r="U1078" t="s">
        <v>7256</v>
      </c>
      <c r="V1078" t="s">
        <v>7256</v>
      </c>
      <c r="W1078">
        <v>4</v>
      </c>
      <c r="X1078" t="s">
        <v>8334</v>
      </c>
      <c r="Y1078">
        <v>0.63224052279123255</v>
      </c>
      <c r="Z1078" t="str">
        <f>HYPERLINK("Melting_Curves/meltCurve_sp_P51114_3_FXR1_HUMAN_.pdf", "Melting_Curves/meltCurve_sp_P51114_3_FXR1_HUMAN_.pdf")</f>
        <v>Melting_Curves/meltCurve_sp_P51114_3_FXR1_HUMAN_.pdf</v>
      </c>
      <c r="AA1078" t="s">
        <v>11943</v>
      </c>
      <c r="AB1078" t="s">
        <v>15504</v>
      </c>
    </row>
    <row r="1079" spans="1:28" x14ac:dyDescent="0.25">
      <c r="A1079" t="s">
        <v>1083</v>
      </c>
      <c r="B1079">
        <v>0.98018197421672304</v>
      </c>
      <c r="C1079">
        <v>0.88405315578628696</v>
      </c>
      <c r="D1079">
        <v>0.81097195755088003</v>
      </c>
      <c r="E1079">
        <v>0.62665793584745499</v>
      </c>
      <c r="F1079">
        <v>0.386479764298364</v>
      </c>
      <c r="G1079">
        <v>0.26865079331524999</v>
      </c>
      <c r="H1079">
        <v>0.21706589912945101</v>
      </c>
      <c r="I1079">
        <v>0.19682278801227401</v>
      </c>
      <c r="J1079">
        <v>0.249977418800543</v>
      </c>
      <c r="K1079">
        <v>0.21173804870277099</v>
      </c>
      <c r="L1079">
        <v>758.12338016820399</v>
      </c>
      <c r="M1079">
        <v>15.2668553583957</v>
      </c>
      <c r="N1079">
        <v>51.275529611692498</v>
      </c>
      <c r="O1079">
        <v>48.829504465974097</v>
      </c>
      <c r="P1079">
        <v>-6.3233496622851104E-2</v>
      </c>
      <c r="Q1079">
        <v>0.19109230348477299</v>
      </c>
      <c r="R1079">
        <v>0.98947451964410305</v>
      </c>
      <c r="S1079" t="s">
        <v>4708</v>
      </c>
      <c r="T1079" t="s">
        <v>7256</v>
      </c>
      <c r="U1079" t="s">
        <v>7256</v>
      </c>
      <c r="V1079" t="s">
        <v>7256</v>
      </c>
      <c r="W1079">
        <v>7</v>
      </c>
      <c r="X1079" t="s">
        <v>8335</v>
      </c>
      <c r="Y1079">
        <v>0.47040205166523308</v>
      </c>
      <c r="Z1079" t="str">
        <f>HYPERLINK("Melting_Curves/meltCurve_sp_P51116_FXR2_HUMAN_.pdf", "Melting_Curves/meltCurve_sp_P51116_FXR2_HUMAN_.pdf")</f>
        <v>Melting_Curves/meltCurve_sp_P51116_FXR2_HUMAN_.pdf</v>
      </c>
      <c r="AA1079" t="s">
        <v>11944</v>
      </c>
      <c r="AB1079" t="s">
        <v>15505</v>
      </c>
    </row>
    <row r="1080" spans="1:28" x14ac:dyDescent="0.25">
      <c r="A1080" t="s">
        <v>1084</v>
      </c>
      <c r="B1080">
        <v>0.98018197421672304</v>
      </c>
      <c r="C1080">
        <v>0.93759058291201003</v>
      </c>
      <c r="D1080">
        <v>0.91301122751168096</v>
      </c>
      <c r="E1080">
        <v>0.720156272065549</v>
      </c>
      <c r="F1080">
        <v>0.46682645844050302</v>
      </c>
      <c r="G1080">
        <v>0.16670986400862001</v>
      </c>
      <c r="H1080">
        <v>8.7159846410519895E-2</v>
      </c>
      <c r="I1080">
        <v>6.8091387500740994E-2</v>
      </c>
      <c r="J1080">
        <v>7.0326237528426996E-2</v>
      </c>
      <c r="K1080">
        <v>4.3343168810618601E-2</v>
      </c>
      <c r="L1080">
        <v>1005.06046816198</v>
      </c>
      <c r="M1080">
        <v>19.254745199731801</v>
      </c>
      <c r="N1080">
        <v>52.411691205322903</v>
      </c>
      <c r="O1080">
        <v>51.644818635989601</v>
      </c>
      <c r="P1080">
        <v>-8.9693283662743498E-2</v>
      </c>
      <c r="Q1080">
        <v>3.7739913332193398E-2</v>
      </c>
      <c r="R1080">
        <v>0.99682210054790199</v>
      </c>
      <c r="S1080" t="s">
        <v>4709</v>
      </c>
      <c r="T1080" t="s">
        <v>7256</v>
      </c>
      <c r="U1080" t="s">
        <v>7256</v>
      </c>
      <c r="V1080" t="s">
        <v>7256</v>
      </c>
      <c r="W1080">
        <v>5</v>
      </c>
      <c r="X1080" t="s">
        <v>8336</v>
      </c>
      <c r="Y1080">
        <v>0.44322148943038309</v>
      </c>
      <c r="Z1080" t="str">
        <f>HYPERLINK("Melting_Curves/meltCurve_sp_P51148_RAB5C_HUMAN_.pdf", "Melting_Curves/meltCurve_sp_P51148_RAB5C_HUMAN_.pdf")</f>
        <v>Melting_Curves/meltCurve_sp_P51148_RAB5C_HUMAN_.pdf</v>
      </c>
      <c r="AA1080" t="s">
        <v>11945</v>
      </c>
      <c r="AB1080" t="s">
        <v>15506</v>
      </c>
    </row>
    <row r="1081" spans="1:28" x14ac:dyDescent="0.25">
      <c r="A1081" t="s">
        <v>1085</v>
      </c>
      <c r="B1081">
        <v>0.98018197421672304</v>
      </c>
      <c r="C1081">
        <v>1.0211269406511301</v>
      </c>
      <c r="D1081">
        <v>0.80400200693857504</v>
      </c>
      <c r="E1081">
        <v>0.63100164435414396</v>
      </c>
      <c r="F1081">
        <v>0.38438357348733398</v>
      </c>
      <c r="G1081">
        <v>0.21488699946268999</v>
      </c>
      <c r="H1081">
        <v>0.107468800784133</v>
      </c>
      <c r="I1081">
        <v>8.5068009641881603E-2</v>
      </c>
      <c r="J1081">
        <v>7.7506112930706694E-2</v>
      </c>
      <c r="K1081">
        <v>4.9408952188936602E-2</v>
      </c>
      <c r="L1081">
        <v>789.229769308154</v>
      </c>
      <c r="M1081">
        <v>15.422144867867701</v>
      </c>
      <c r="N1081">
        <v>51.470537895305497</v>
      </c>
      <c r="O1081">
        <v>50.337814991309003</v>
      </c>
      <c r="P1081">
        <v>-7.3355485021987701E-2</v>
      </c>
      <c r="Q1081">
        <v>4.23588441236201E-2</v>
      </c>
      <c r="R1081">
        <v>0.99385921510063802</v>
      </c>
      <c r="S1081" t="s">
        <v>4710</v>
      </c>
      <c r="T1081" t="s">
        <v>7256</v>
      </c>
      <c r="U1081" t="s">
        <v>7256</v>
      </c>
      <c r="V1081" t="s">
        <v>7256</v>
      </c>
      <c r="W1081">
        <v>8</v>
      </c>
      <c r="X1081" t="s">
        <v>8337</v>
      </c>
      <c r="Y1081">
        <v>0.4201047176652673</v>
      </c>
      <c r="Z1081" t="str">
        <f>HYPERLINK("Melting_Curves/meltCurve_sp_P51149_RAB7A_HUMAN_.pdf", "Melting_Curves/meltCurve_sp_P51149_RAB7A_HUMAN_.pdf")</f>
        <v>Melting_Curves/meltCurve_sp_P51149_RAB7A_HUMAN_.pdf</v>
      </c>
      <c r="AA1081" t="s">
        <v>11946</v>
      </c>
      <c r="AB1081" t="s">
        <v>15507</v>
      </c>
    </row>
    <row r="1082" spans="1:28" x14ac:dyDescent="0.25">
      <c r="A1082" t="s">
        <v>1086</v>
      </c>
      <c r="B1082">
        <v>0.98018197421672304</v>
      </c>
      <c r="C1082">
        <v>0.71533832554709598</v>
      </c>
      <c r="D1082">
        <v>0.56646018903744499</v>
      </c>
      <c r="E1082">
        <v>0.29736726238049199</v>
      </c>
      <c r="F1082">
        <v>0.169916639801382</v>
      </c>
      <c r="G1082">
        <v>0.10729767370069</v>
      </c>
      <c r="H1082">
        <v>7.7441086590856301E-2</v>
      </c>
      <c r="I1082">
        <v>4.81118851517515E-2</v>
      </c>
      <c r="J1082">
        <v>2.8946791515930499E-2</v>
      </c>
      <c r="K1082">
        <v>2.9945270386725401E-2</v>
      </c>
      <c r="L1082">
        <v>654.61743836993401</v>
      </c>
      <c r="M1082">
        <v>14.075315810708499</v>
      </c>
      <c r="N1082">
        <v>46.707022440148499</v>
      </c>
      <c r="O1082">
        <v>45.599594277760303</v>
      </c>
      <c r="P1082">
        <v>-7.4933672265270396E-2</v>
      </c>
      <c r="Q1082">
        <v>2.9079741422748401E-2</v>
      </c>
      <c r="R1082">
        <v>0.99125501076803402</v>
      </c>
      <c r="S1082" t="s">
        <v>4711</v>
      </c>
      <c r="T1082" t="s">
        <v>7256</v>
      </c>
      <c r="U1082" t="s">
        <v>7256</v>
      </c>
      <c r="V1082" t="s">
        <v>7256</v>
      </c>
      <c r="W1082">
        <v>4</v>
      </c>
      <c r="X1082" t="s">
        <v>8338</v>
      </c>
      <c r="Y1082">
        <v>0.27078452670016467</v>
      </c>
      <c r="Z1082" t="str">
        <f>HYPERLINK("Melting_Curves/meltCurve_sp_P51153_RAB13_HUMAN_.pdf", "Melting_Curves/meltCurve_sp_P51153_RAB13_HUMAN_.pdf")</f>
        <v>Melting_Curves/meltCurve_sp_P51153_RAB13_HUMAN_.pdf</v>
      </c>
      <c r="AA1082" t="s">
        <v>11947</v>
      </c>
      <c r="AB1082" t="s">
        <v>15508</v>
      </c>
    </row>
    <row r="1083" spans="1:28" x14ac:dyDescent="0.25">
      <c r="A1083" t="s">
        <v>1087</v>
      </c>
      <c r="B1083">
        <v>0.98018197421672304</v>
      </c>
      <c r="C1083">
        <v>1.04803545349093</v>
      </c>
      <c r="D1083">
        <v>0.81931590127774501</v>
      </c>
      <c r="E1083">
        <v>0.49033551575608803</v>
      </c>
      <c r="F1083">
        <v>0.22971399864970901</v>
      </c>
      <c r="G1083">
        <v>0.115278086306558</v>
      </c>
      <c r="H1083">
        <v>0.10694869559634</v>
      </c>
      <c r="I1083">
        <v>7.0496343603987696E-2</v>
      </c>
      <c r="J1083">
        <v>9.9057394689275893E-2</v>
      </c>
      <c r="K1083">
        <v>0.114328346510363</v>
      </c>
      <c r="L1083">
        <v>1162.0787115963301</v>
      </c>
      <c r="M1083">
        <v>23.571800766173599</v>
      </c>
      <c r="N1083">
        <v>49.722635368609701</v>
      </c>
      <c r="O1083">
        <v>48.948828277423402</v>
      </c>
      <c r="P1083">
        <v>-0.10945191536072001</v>
      </c>
      <c r="Q1083">
        <v>9.0871102850885094E-2</v>
      </c>
      <c r="R1083">
        <v>0.99359848919549598</v>
      </c>
      <c r="S1083" t="s">
        <v>4712</v>
      </c>
      <c r="T1083" t="s">
        <v>7256</v>
      </c>
      <c r="U1083" t="s">
        <v>7256</v>
      </c>
      <c r="V1083" t="s">
        <v>7256</v>
      </c>
      <c r="W1083">
        <v>1</v>
      </c>
      <c r="X1083" t="s">
        <v>8339</v>
      </c>
      <c r="Y1083">
        <v>0.38179132737647148</v>
      </c>
      <c r="Z1083" t="str">
        <f>HYPERLINK("Melting_Curves/meltCurve_sp_P51178_PLCD1_HUMAN_.pdf", "Melting_Curves/meltCurve_sp_P51178_PLCD1_HUMAN_.pdf")</f>
        <v>Melting_Curves/meltCurve_sp_P51178_PLCD1_HUMAN_.pdf</v>
      </c>
      <c r="AA1083" t="s">
        <v>11948</v>
      </c>
      <c r="AB1083" t="s">
        <v>15509</v>
      </c>
    </row>
    <row r="1084" spans="1:28" x14ac:dyDescent="0.25">
      <c r="A1084" t="s">
        <v>1088</v>
      </c>
      <c r="B1084">
        <v>0.98018197421672304</v>
      </c>
      <c r="C1084">
        <v>1.20210376887256</v>
      </c>
      <c r="D1084">
        <v>0.64697923271458901</v>
      </c>
      <c r="E1084">
        <v>0.28767060794398902</v>
      </c>
      <c r="F1084">
        <v>0.17307978024350501</v>
      </c>
      <c r="G1084">
        <v>8.0391757147551798E-2</v>
      </c>
      <c r="H1084">
        <v>5.51394489655683E-2</v>
      </c>
      <c r="I1084">
        <v>0</v>
      </c>
      <c r="J1084">
        <v>0</v>
      </c>
      <c r="K1084">
        <v>0</v>
      </c>
      <c r="L1084">
        <v>1213.4956598875201</v>
      </c>
      <c r="M1084">
        <v>25.353876159528799</v>
      </c>
      <c r="N1084">
        <v>47.991706200045002</v>
      </c>
      <c r="O1084">
        <v>47.567567892018801</v>
      </c>
      <c r="P1084">
        <v>-0.12885254982140201</v>
      </c>
      <c r="Q1084">
        <v>3.30278359186955E-2</v>
      </c>
      <c r="R1084">
        <v>0.953935948766786</v>
      </c>
      <c r="S1084" t="s">
        <v>4713</v>
      </c>
      <c r="T1084" t="s">
        <v>7256</v>
      </c>
      <c r="U1084" t="s">
        <v>7256</v>
      </c>
      <c r="V1084" t="s">
        <v>7256</v>
      </c>
      <c r="W1084">
        <v>1</v>
      </c>
      <c r="X1084" t="s">
        <v>8340</v>
      </c>
      <c r="Y1084">
        <v>0.29474767498441229</v>
      </c>
      <c r="Z1084" t="str">
        <f>HYPERLINK("Melting_Curves/meltCurve_sp_P51398_2_RT29_HUMAN_.pdf", "Melting_Curves/meltCurve_sp_P51398_2_RT29_HUMAN_.pdf")</f>
        <v>Melting_Curves/meltCurve_sp_P51398_2_RT29_HUMAN_.pdf</v>
      </c>
      <c r="AA1084" t="s">
        <v>11949</v>
      </c>
      <c r="AB1084" t="s">
        <v>15510</v>
      </c>
    </row>
    <row r="1085" spans="1:28" x14ac:dyDescent="0.25">
      <c r="A1085" t="s">
        <v>1089</v>
      </c>
      <c r="B1085">
        <v>0.98018197421672304</v>
      </c>
      <c r="C1085">
        <v>1.0397540869387101</v>
      </c>
      <c r="D1085">
        <v>0.99285774463097298</v>
      </c>
      <c r="E1085">
        <v>0.82852971977157497</v>
      </c>
      <c r="F1085">
        <v>0.71466811680698805</v>
      </c>
      <c r="G1085">
        <v>0.32345812906907601</v>
      </c>
      <c r="H1085">
        <v>0.107878116626133</v>
      </c>
      <c r="I1085">
        <v>7.3515414419012798E-2</v>
      </c>
      <c r="J1085">
        <v>8.4050100182689297E-2</v>
      </c>
      <c r="K1085">
        <v>5.0070494316486802E-2</v>
      </c>
      <c r="L1085">
        <v>1160.3695735336901</v>
      </c>
      <c r="M1085">
        <v>21.2127014860922</v>
      </c>
      <c r="N1085">
        <v>54.911154548263397</v>
      </c>
      <c r="O1085">
        <v>54.222464617761197</v>
      </c>
      <c r="P1085">
        <v>-9.4004401285830499E-2</v>
      </c>
      <c r="Q1085">
        <v>3.8874168105466601E-2</v>
      </c>
      <c r="R1085">
        <v>0.99493875076272897</v>
      </c>
      <c r="S1085" t="s">
        <v>4714</v>
      </c>
      <c r="T1085" t="s">
        <v>7256</v>
      </c>
      <c r="U1085" t="s">
        <v>7256</v>
      </c>
      <c r="V1085" t="s">
        <v>7256</v>
      </c>
      <c r="W1085">
        <v>6</v>
      </c>
      <c r="X1085" t="s">
        <v>8341</v>
      </c>
      <c r="Y1085">
        <v>0.52163104366275781</v>
      </c>
      <c r="Z1085" t="str">
        <f>HYPERLINK("Melting_Curves/meltCurve_sp_P51452_DUS3_HUMAN_.pdf", "Melting_Curves/meltCurve_sp_P51452_DUS3_HUMAN_.pdf")</f>
        <v>Melting_Curves/meltCurve_sp_P51452_DUS3_HUMAN_.pdf</v>
      </c>
      <c r="AA1085" t="s">
        <v>11950</v>
      </c>
      <c r="AB1085" t="s">
        <v>15511</v>
      </c>
    </row>
    <row r="1086" spans="1:28" x14ac:dyDescent="0.25">
      <c r="A1086" t="s">
        <v>1090</v>
      </c>
      <c r="B1086">
        <v>0.98018197421672304</v>
      </c>
      <c r="C1086">
        <v>0.99725513529128396</v>
      </c>
      <c r="D1086">
        <v>0.71976706841746296</v>
      </c>
      <c r="E1086">
        <v>0.50696202501471499</v>
      </c>
      <c r="F1086">
        <v>0.32302835305983602</v>
      </c>
      <c r="G1086">
        <v>0.15064096032521501</v>
      </c>
      <c r="H1086">
        <v>6.1966184544204099E-2</v>
      </c>
      <c r="I1086">
        <v>4.3379783392433098E-2</v>
      </c>
      <c r="J1086">
        <v>3.2804284506290103E-2</v>
      </c>
      <c r="K1086">
        <v>3.1237685514247E-2</v>
      </c>
      <c r="L1086">
        <v>735.29093510521</v>
      </c>
      <c r="M1086">
        <v>14.7248290450377</v>
      </c>
      <c r="N1086">
        <v>50.007434515392099</v>
      </c>
      <c r="O1086">
        <v>49.041569123562397</v>
      </c>
      <c r="P1086">
        <v>-7.4283872511913096E-2</v>
      </c>
      <c r="Q1086">
        <v>1.04869859431054E-2</v>
      </c>
      <c r="R1086">
        <v>0.99241320470634398</v>
      </c>
      <c r="S1086" t="s">
        <v>4715</v>
      </c>
      <c r="T1086" t="s">
        <v>7256</v>
      </c>
      <c r="U1086" t="s">
        <v>7256</v>
      </c>
      <c r="V1086" t="s">
        <v>7256</v>
      </c>
      <c r="W1086">
        <v>8</v>
      </c>
      <c r="X1086" t="s">
        <v>8342</v>
      </c>
      <c r="Y1086">
        <v>0.36262919014670109</v>
      </c>
      <c r="Z1086" t="str">
        <f>HYPERLINK("Melting_Curves/meltCurve_sp_P51553_IDH3G_HUMAN_.pdf", "Melting_Curves/meltCurve_sp_P51553_IDH3G_HUMAN_.pdf")</f>
        <v>Melting_Curves/meltCurve_sp_P51553_IDH3G_HUMAN_.pdf</v>
      </c>
      <c r="AA1086" t="s">
        <v>11951</v>
      </c>
      <c r="AB1086" t="s">
        <v>15512</v>
      </c>
    </row>
    <row r="1087" spans="1:28" x14ac:dyDescent="0.25">
      <c r="A1087" t="s">
        <v>1091</v>
      </c>
      <c r="B1087">
        <v>0.98018197421672304</v>
      </c>
      <c r="C1087">
        <v>0.96694229370888196</v>
      </c>
      <c r="D1087">
        <v>0.82389389609817398</v>
      </c>
      <c r="E1087">
        <v>0.42762701928688801</v>
      </c>
      <c r="F1087">
        <v>0.16934446701617101</v>
      </c>
      <c r="G1087">
        <v>0.106278293128149</v>
      </c>
      <c r="H1087">
        <v>6.2426907555393499E-2</v>
      </c>
      <c r="I1087">
        <v>5.11250455378051E-2</v>
      </c>
      <c r="J1087">
        <v>5.3478506168212599E-2</v>
      </c>
      <c r="K1087">
        <v>4.5489079291745303E-2</v>
      </c>
      <c r="L1087">
        <v>1135.6141898830799</v>
      </c>
      <c r="M1087">
        <v>23.179508310769901</v>
      </c>
      <c r="N1087">
        <v>49.219476317654099</v>
      </c>
      <c r="O1087">
        <v>48.631862589698201</v>
      </c>
      <c r="P1087">
        <v>-0.11311148700621999</v>
      </c>
      <c r="Q1087">
        <v>5.07606782888778E-2</v>
      </c>
      <c r="R1087">
        <v>0.99910842606488903</v>
      </c>
      <c r="S1087" t="s">
        <v>4716</v>
      </c>
      <c r="T1087" t="s">
        <v>7256</v>
      </c>
      <c r="U1087" t="s">
        <v>7256</v>
      </c>
      <c r="V1087" t="s">
        <v>7256</v>
      </c>
      <c r="W1087">
        <v>20</v>
      </c>
      <c r="X1087" t="s">
        <v>8343</v>
      </c>
      <c r="Y1087">
        <v>0.34511341222471292</v>
      </c>
      <c r="Z1087" t="str">
        <f>HYPERLINK("Melting_Curves/meltCurve_sp_P51570_GALK1_HUMAN_.pdf", "Melting_Curves/meltCurve_sp_P51570_GALK1_HUMAN_.pdf")</f>
        <v>Melting_Curves/meltCurve_sp_P51570_GALK1_HUMAN_.pdf</v>
      </c>
      <c r="AA1087" t="s">
        <v>11952</v>
      </c>
      <c r="AB1087" t="s">
        <v>15513</v>
      </c>
    </row>
    <row r="1088" spans="1:28" x14ac:dyDescent="0.25">
      <c r="A1088" t="s">
        <v>1092</v>
      </c>
      <c r="B1088">
        <v>0.98018197421672304</v>
      </c>
      <c r="C1088">
        <v>0.93105202694300704</v>
      </c>
      <c r="D1088">
        <v>0.75448588281625695</v>
      </c>
      <c r="E1088">
        <v>0.43076745186862397</v>
      </c>
      <c r="F1088">
        <v>0.26831100088338</v>
      </c>
      <c r="G1088">
        <v>0.134156285857224</v>
      </c>
      <c r="H1088">
        <v>8.7060124235503106E-2</v>
      </c>
      <c r="I1088">
        <v>6.1619839941541001E-2</v>
      </c>
      <c r="J1088">
        <v>8.9610492624777896E-2</v>
      </c>
      <c r="K1088">
        <v>8.3034129749563604E-2</v>
      </c>
      <c r="L1088">
        <v>850.90806511452104</v>
      </c>
      <c r="M1088">
        <v>17.441759362071</v>
      </c>
      <c r="N1088">
        <v>49.196426544157497</v>
      </c>
      <c r="O1088">
        <v>48.157925576268603</v>
      </c>
      <c r="P1088">
        <v>-8.4414138647506701E-2</v>
      </c>
      <c r="Q1088">
        <v>6.7758530498414807E-2</v>
      </c>
      <c r="R1088">
        <v>0.99907098610445</v>
      </c>
      <c r="S1088" t="s">
        <v>4717</v>
      </c>
      <c r="T1088" t="s">
        <v>7256</v>
      </c>
      <c r="U1088" t="s">
        <v>7256</v>
      </c>
      <c r="V1088" t="s">
        <v>7256</v>
      </c>
      <c r="W1088">
        <v>1</v>
      </c>
      <c r="X1088" t="s">
        <v>8344</v>
      </c>
      <c r="Y1088">
        <v>0.35804526422691191</v>
      </c>
      <c r="Z1088" t="str">
        <f>HYPERLINK("Melting_Curves/meltCurve_sp_P51572_BAP31_HUMAN_.pdf", "Melting_Curves/meltCurve_sp_P51572_BAP31_HUMAN_.pdf")</f>
        <v>Melting_Curves/meltCurve_sp_P51572_BAP31_HUMAN_.pdf</v>
      </c>
      <c r="AA1088" t="s">
        <v>11953</v>
      </c>
      <c r="AB1088" t="s">
        <v>15514</v>
      </c>
    </row>
    <row r="1089" spans="1:28" x14ac:dyDescent="0.25">
      <c r="A1089" t="s">
        <v>1093</v>
      </c>
      <c r="B1089">
        <v>0.98018197421672304</v>
      </c>
      <c r="C1089">
        <v>0.99765027694124797</v>
      </c>
      <c r="D1089">
        <v>1.0073954699095999</v>
      </c>
      <c r="E1089">
        <v>0.82468671171039198</v>
      </c>
      <c r="F1089">
        <v>0.82240069590317699</v>
      </c>
      <c r="G1089">
        <v>0.42235271054210699</v>
      </c>
      <c r="H1089">
        <v>0.120518572825384</v>
      </c>
      <c r="I1089">
        <v>5.3371755891022797E-2</v>
      </c>
      <c r="J1089">
        <v>8.3985830240988796E-2</v>
      </c>
      <c r="K1089">
        <v>9.6687946041322206E-2</v>
      </c>
      <c r="L1089">
        <v>1290.1225890322601</v>
      </c>
      <c r="M1089">
        <v>23.1466184184053</v>
      </c>
      <c r="N1089">
        <v>55.975498817981197</v>
      </c>
      <c r="O1089">
        <v>55.325972589213798</v>
      </c>
      <c r="P1089">
        <v>-9.9682087829069593E-2</v>
      </c>
      <c r="Q1089">
        <v>4.6961258833412803E-2</v>
      </c>
      <c r="R1089">
        <v>0.98712691811335096</v>
      </c>
      <c r="S1089" t="s">
        <v>4718</v>
      </c>
      <c r="T1089" t="s">
        <v>7256</v>
      </c>
      <c r="U1089" t="s">
        <v>7256</v>
      </c>
      <c r="V1089" t="s">
        <v>7256</v>
      </c>
      <c r="W1089">
        <v>8</v>
      </c>
      <c r="X1089" t="s">
        <v>8345</v>
      </c>
      <c r="Y1089">
        <v>0.556851902140855</v>
      </c>
      <c r="Z1089" t="str">
        <f>HYPERLINK("Melting_Curves/meltCurve_sp_P51580_TPMT_HUMAN_.pdf", "Melting_Curves/meltCurve_sp_P51580_TPMT_HUMAN_.pdf")</f>
        <v>Melting_Curves/meltCurve_sp_P51580_TPMT_HUMAN_.pdf</v>
      </c>
      <c r="AA1089" t="s">
        <v>11954</v>
      </c>
      <c r="AB1089" t="s">
        <v>15515</v>
      </c>
    </row>
    <row r="1090" spans="1:28" x14ac:dyDescent="0.25">
      <c r="A1090" t="s">
        <v>1094</v>
      </c>
      <c r="B1090">
        <v>0.98018197421672304</v>
      </c>
      <c r="C1090">
        <v>0.92723491752314902</v>
      </c>
      <c r="D1090">
        <v>0.91389026682970698</v>
      </c>
      <c r="E1090">
        <v>0.828260185746584</v>
      </c>
      <c r="F1090">
        <v>0.85749326310649798</v>
      </c>
      <c r="G1090">
        <v>0.79796917894998098</v>
      </c>
      <c r="H1090">
        <v>0.60837581851370304</v>
      </c>
      <c r="I1090">
        <v>0.67581298252981803</v>
      </c>
      <c r="J1090">
        <v>0.81670749778470397</v>
      </c>
      <c r="K1090">
        <v>1.0696845429553401</v>
      </c>
      <c r="L1090">
        <v>779.20854729704297</v>
      </c>
      <c r="M1090">
        <v>17.0793853592698</v>
      </c>
      <c r="O1090">
        <v>45.011063825746199</v>
      </c>
      <c r="P1090">
        <v>-1.9041473128761501E-2</v>
      </c>
      <c r="Q1090">
        <v>0.79928427351777598</v>
      </c>
      <c r="R1090">
        <v>0.23360637859519101</v>
      </c>
      <c r="S1090" t="s">
        <v>4719</v>
      </c>
      <c r="T1090" t="s">
        <v>7256</v>
      </c>
      <c r="U1090" t="s">
        <v>7256</v>
      </c>
      <c r="V1090" t="s">
        <v>7256</v>
      </c>
      <c r="W1090">
        <v>2</v>
      </c>
      <c r="X1090" t="s">
        <v>8346</v>
      </c>
      <c r="Y1090">
        <v>0.84147621733282019</v>
      </c>
      <c r="Z1090" t="str">
        <f>HYPERLINK("Melting_Curves/meltCurve_sp_P51608_MECP2_HUMAN_.pdf", "Melting_Curves/meltCurve_sp_P51608_MECP2_HUMAN_.pdf")</f>
        <v>Melting_Curves/meltCurve_sp_P51608_MECP2_HUMAN_.pdf</v>
      </c>
      <c r="AA1090" t="s">
        <v>11955</v>
      </c>
      <c r="AB1090" t="s">
        <v>15516</v>
      </c>
    </row>
    <row r="1091" spans="1:28" x14ac:dyDescent="0.25">
      <c r="A1091" t="s">
        <v>1095</v>
      </c>
      <c r="B1091">
        <v>0.98018197421672304</v>
      </c>
      <c r="C1091">
        <v>1.0643175019350499</v>
      </c>
      <c r="D1091">
        <v>0.92420258675505296</v>
      </c>
      <c r="E1091">
        <v>0.79614272209918702</v>
      </c>
      <c r="F1091">
        <v>0.60183549454148699</v>
      </c>
      <c r="G1091">
        <v>0.34864923179866902</v>
      </c>
      <c r="H1091">
        <v>0.21987797547263399</v>
      </c>
      <c r="I1091">
        <v>0.19990874873480499</v>
      </c>
      <c r="J1091">
        <v>0.218289646168707</v>
      </c>
      <c r="K1091">
        <v>0.250323156611229</v>
      </c>
      <c r="L1091">
        <v>1083.3351821275601</v>
      </c>
      <c r="M1091">
        <v>20.533736076551399</v>
      </c>
      <c r="N1091">
        <v>54.141062030772602</v>
      </c>
      <c r="O1091">
        <v>52.266055119519898</v>
      </c>
      <c r="P1091">
        <v>-7.8183468653320307E-2</v>
      </c>
      <c r="Q1091">
        <v>0.203998477012275</v>
      </c>
      <c r="R1091">
        <v>0.99048804405763202</v>
      </c>
      <c r="S1091" t="s">
        <v>4720</v>
      </c>
      <c r="T1091" t="s">
        <v>7256</v>
      </c>
      <c r="U1091" t="s">
        <v>7256</v>
      </c>
      <c r="V1091" t="s">
        <v>7256</v>
      </c>
      <c r="W1091">
        <v>15</v>
      </c>
      <c r="X1091" t="s">
        <v>8347</v>
      </c>
      <c r="Y1091">
        <v>0.55301024411124777</v>
      </c>
      <c r="Z1091" t="str">
        <f>HYPERLINK("Melting_Curves/meltCurve_sp_P51610_4_HCFC1_HUMAN_.pdf", "Melting_Curves/meltCurve_sp_P51610_4_HCFC1_HUMAN_.pdf")</f>
        <v>Melting_Curves/meltCurve_sp_P51610_4_HCFC1_HUMAN_.pdf</v>
      </c>
      <c r="AA1091" t="s">
        <v>11956</v>
      </c>
      <c r="AB1091" t="s">
        <v>15517</v>
      </c>
    </row>
    <row r="1092" spans="1:28" x14ac:dyDescent="0.25">
      <c r="A1092" t="s">
        <v>1096</v>
      </c>
      <c r="B1092">
        <v>0.98018197421672304</v>
      </c>
      <c r="C1092">
        <v>0.81085522284364397</v>
      </c>
      <c r="D1092">
        <v>1.0096595440090399</v>
      </c>
      <c r="E1092">
        <v>0.85545673511923004</v>
      </c>
      <c r="F1092">
        <v>0.58216266015742402</v>
      </c>
      <c r="G1092">
        <v>0.17920989694714601</v>
      </c>
      <c r="H1092">
        <v>6.7751444674066505E-2</v>
      </c>
      <c r="I1092">
        <v>5.1680258470103699E-2</v>
      </c>
      <c r="J1092">
        <v>4.1931273975727698E-2</v>
      </c>
      <c r="K1092">
        <v>3.6775712323874998E-2</v>
      </c>
      <c r="L1092">
        <v>1417.17213897394</v>
      </c>
      <c r="M1092">
        <v>26.515497741061498</v>
      </c>
      <c r="N1092">
        <v>53.592844198387198</v>
      </c>
      <c r="O1092">
        <v>53.145715453432999</v>
      </c>
      <c r="P1092">
        <v>-0.120388059057428</v>
      </c>
      <c r="Q1092">
        <v>3.4822407027487699E-2</v>
      </c>
      <c r="R1092">
        <v>0.97745597895809599</v>
      </c>
      <c r="S1092" t="s">
        <v>4721</v>
      </c>
      <c r="T1092" t="s">
        <v>7256</v>
      </c>
      <c r="U1092" t="s">
        <v>7256</v>
      </c>
      <c r="V1092" t="s">
        <v>7256</v>
      </c>
      <c r="W1092">
        <v>21</v>
      </c>
      <c r="X1092" t="s">
        <v>8348</v>
      </c>
      <c r="Y1092">
        <v>0.47542679012910061</v>
      </c>
      <c r="Z1092" t="str">
        <f>HYPERLINK("Melting_Curves/meltCurve_sp_P51649_SSDH_HUMAN_.pdf", "Melting_Curves/meltCurve_sp_P51649_SSDH_HUMAN_.pdf")</f>
        <v>Melting_Curves/meltCurve_sp_P51649_SSDH_HUMAN_.pdf</v>
      </c>
      <c r="AA1092" t="s">
        <v>11957</v>
      </c>
      <c r="AB1092" t="s">
        <v>15518</v>
      </c>
    </row>
    <row r="1093" spans="1:28" x14ac:dyDescent="0.25">
      <c r="A1093" t="s">
        <v>1097</v>
      </c>
      <c r="B1093">
        <v>0.98018197421672304</v>
      </c>
      <c r="C1093">
        <v>0.98735750709816394</v>
      </c>
      <c r="D1093">
        <v>0.89160112650017598</v>
      </c>
      <c r="E1093">
        <v>0.61434859833016997</v>
      </c>
      <c r="F1093">
        <v>0.21884277578202899</v>
      </c>
      <c r="G1093">
        <v>9.1217085444714505E-2</v>
      </c>
      <c r="H1093">
        <v>4.9456111755238903E-2</v>
      </c>
      <c r="I1093">
        <v>3.5021607745045001E-2</v>
      </c>
      <c r="J1093">
        <v>3.6849975406863099E-2</v>
      </c>
      <c r="K1093">
        <v>2.60332184356659E-2</v>
      </c>
      <c r="L1093">
        <v>1328.7196984476</v>
      </c>
      <c r="M1093">
        <v>26.297416283964999</v>
      </c>
      <c r="N1093">
        <v>50.6544405981195</v>
      </c>
      <c r="O1093">
        <v>50.237162609212298</v>
      </c>
      <c r="P1093">
        <v>-0.12666684037826101</v>
      </c>
      <c r="Q1093">
        <v>3.2100718167848298E-2</v>
      </c>
      <c r="R1093">
        <v>0.99731578206909099</v>
      </c>
      <c r="S1093" t="s">
        <v>4722</v>
      </c>
      <c r="T1093" t="s">
        <v>7256</v>
      </c>
      <c r="U1093" t="s">
        <v>7256</v>
      </c>
      <c r="V1093" t="s">
        <v>7256</v>
      </c>
      <c r="W1093">
        <v>36</v>
      </c>
      <c r="X1093" t="s">
        <v>8349</v>
      </c>
      <c r="Y1093">
        <v>0.3795891667502807</v>
      </c>
      <c r="Z1093" t="str">
        <f>HYPERLINK("Melting_Curves/meltCurve_sp_P51659_DHB4_HUMAN_.pdf", "Melting_Curves/meltCurve_sp_P51659_DHB4_HUMAN_.pdf")</f>
        <v>Melting_Curves/meltCurve_sp_P51659_DHB4_HUMAN_.pdf</v>
      </c>
      <c r="AA1093" t="s">
        <v>11958</v>
      </c>
      <c r="AB1093" t="s">
        <v>15519</v>
      </c>
    </row>
    <row r="1094" spans="1:28" x14ac:dyDescent="0.25">
      <c r="A1094" t="s">
        <v>1098</v>
      </c>
      <c r="B1094">
        <v>0.98018197421672304</v>
      </c>
      <c r="C1094">
        <v>0.90185681343489998</v>
      </c>
      <c r="D1094">
        <v>0.69143479409374797</v>
      </c>
      <c r="E1094">
        <v>0.387854298143472</v>
      </c>
      <c r="F1094">
        <v>0.138083259399924</v>
      </c>
      <c r="G1094">
        <v>5.1472202041951097E-2</v>
      </c>
      <c r="H1094">
        <v>2.6030715526889701E-2</v>
      </c>
      <c r="I1094">
        <v>2.4709926931164201E-2</v>
      </c>
      <c r="J1094">
        <v>3.1070943151451601E-2</v>
      </c>
      <c r="K1094">
        <v>3.72259266062126E-2</v>
      </c>
      <c r="L1094">
        <v>883.96130735039105</v>
      </c>
      <c r="M1094">
        <v>18.351098844151</v>
      </c>
      <c r="N1094">
        <v>48.246177782555201</v>
      </c>
      <c r="O1094">
        <v>47.608321881557998</v>
      </c>
      <c r="P1094">
        <v>-9.4982301623380505E-2</v>
      </c>
      <c r="Q1094">
        <v>1.43933544521406E-2</v>
      </c>
      <c r="R1094">
        <v>0.99717836901799595</v>
      </c>
      <c r="S1094" t="s">
        <v>4723</v>
      </c>
      <c r="T1094" t="s">
        <v>7256</v>
      </c>
      <c r="U1094" t="s">
        <v>7256</v>
      </c>
      <c r="V1094" t="s">
        <v>7256</v>
      </c>
      <c r="W1094">
        <v>2</v>
      </c>
      <c r="X1094" t="s">
        <v>8350</v>
      </c>
      <c r="Y1094">
        <v>0.29950390938930821</v>
      </c>
      <c r="Z1094" t="str">
        <f>HYPERLINK("Melting_Curves/meltCurve_sp_P51665_PSD7_HUMAN_.pdf", "Melting_Curves/meltCurve_sp_P51665_PSD7_HUMAN_.pdf")</f>
        <v>Melting_Curves/meltCurve_sp_P51665_PSD7_HUMAN_.pdf</v>
      </c>
      <c r="AA1094" t="s">
        <v>11959</v>
      </c>
      <c r="AB1094" t="s">
        <v>15520</v>
      </c>
    </row>
    <row r="1095" spans="1:28" x14ac:dyDescent="0.25">
      <c r="A1095" t="s">
        <v>1099</v>
      </c>
      <c r="B1095">
        <v>0.98018197421672304</v>
      </c>
      <c r="C1095">
        <v>0.979385722410967</v>
      </c>
      <c r="D1095">
        <v>0.93447896956996301</v>
      </c>
      <c r="E1095">
        <v>0.83830866411724103</v>
      </c>
      <c r="F1095">
        <v>0.76493006965069898</v>
      </c>
      <c r="G1095">
        <v>0.64776730564899399</v>
      </c>
      <c r="H1095">
        <v>0.42886794020442298</v>
      </c>
      <c r="I1095">
        <v>0.25505649330665198</v>
      </c>
      <c r="J1095">
        <v>0.138626152828738</v>
      </c>
      <c r="K1095">
        <v>0.101249215124102</v>
      </c>
      <c r="L1095">
        <v>707.09313320781803</v>
      </c>
      <c r="M1095">
        <v>12.03706076436</v>
      </c>
      <c r="N1095">
        <v>58.743006064914603</v>
      </c>
      <c r="O1095">
        <v>57.192144953653298</v>
      </c>
      <c r="P1095">
        <v>-5.2629274158513803E-2</v>
      </c>
      <c r="Q1095">
        <v>0</v>
      </c>
      <c r="R1095">
        <v>0.98876331826631902</v>
      </c>
      <c r="S1095" t="s">
        <v>4724</v>
      </c>
      <c r="T1095" t="s">
        <v>7256</v>
      </c>
      <c r="U1095" t="s">
        <v>7256</v>
      </c>
      <c r="V1095" t="s">
        <v>7256</v>
      </c>
      <c r="W1095">
        <v>13</v>
      </c>
      <c r="X1095" t="s">
        <v>8351</v>
      </c>
      <c r="Y1095">
        <v>0.63402957917172242</v>
      </c>
      <c r="Z1095" t="str">
        <f>HYPERLINK("Melting_Curves/meltCurve_sp_P51687_SUOX_HUMAN_.pdf", "Melting_Curves/meltCurve_sp_P51687_SUOX_HUMAN_.pdf")</f>
        <v>Melting_Curves/meltCurve_sp_P51687_SUOX_HUMAN_.pdf</v>
      </c>
      <c r="AA1095" t="s">
        <v>11960</v>
      </c>
      <c r="AB1095" t="s">
        <v>15521</v>
      </c>
    </row>
    <row r="1096" spans="1:28" x14ac:dyDescent="0.25">
      <c r="A1096" t="s">
        <v>1100</v>
      </c>
      <c r="B1096">
        <v>0.98018197421672304</v>
      </c>
      <c r="C1096">
        <v>0.78417829037098197</v>
      </c>
      <c r="D1096">
        <v>0.838493642669349</v>
      </c>
      <c r="E1096">
        <v>0.73219261539423497</v>
      </c>
      <c r="F1096">
        <v>0.70415448708941097</v>
      </c>
      <c r="G1096">
        <v>0.47912693868469403</v>
      </c>
      <c r="H1096">
        <v>0.34585744621799802</v>
      </c>
      <c r="I1096">
        <v>0.33497150133090497</v>
      </c>
      <c r="J1096">
        <v>0.32708120030967902</v>
      </c>
      <c r="K1096">
        <v>0.350345201234043</v>
      </c>
      <c r="L1096">
        <v>406.25416497414</v>
      </c>
      <c r="M1096">
        <v>7.5021348211131</v>
      </c>
      <c r="N1096">
        <v>57.214320722751999</v>
      </c>
      <c r="O1096">
        <v>50.704770445929903</v>
      </c>
      <c r="P1096">
        <v>-3.0916918991930002E-2</v>
      </c>
      <c r="Q1096">
        <v>0.16536483102685501</v>
      </c>
      <c r="R1096">
        <v>0.94120253196724102</v>
      </c>
      <c r="S1096" t="s">
        <v>4725</v>
      </c>
      <c r="T1096" t="s">
        <v>7256</v>
      </c>
      <c r="U1096" t="s">
        <v>7256</v>
      </c>
      <c r="V1096" t="s">
        <v>7256</v>
      </c>
      <c r="W1096">
        <v>4</v>
      </c>
      <c r="X1096" t="s">
        <v>8352</v>
      </c>
      <c r="Y1096">
        <v>0.58729363081787689</v>
      </c>
      <c r="Z1096" t="str">
        <f>HYPERLINK("Melting_Curves/meltCurve_sp_P51688_SPHM_HUMAN_.pdf", "Melting_Curves/meltCurve_sp_P51688_SPHM_HUMAN_.pdf")</f>
        <v>Melting_Curves/meltCurve_sp_P51688_SPHM_HUMAN_.pdf</v>
      </c>
      <c r="AA1096" t="s">
        <v>11961</v>
      </c>
      <c r="AB1096" t="s">
        <v>15522</v>
      </c>
    </row>
    <row r="1097" spans="1:28" x14ac:dyDescent="0.25">
      <c r="A1097" t="s">
        <v>1101</v>
      </c>
      <c r="B1097">
        <v>0.98018197421672304</v>
      </c>
      <c r="C1097">
        <v>0.91551728719423597</v>
      </c>
      <c r="D1097">
        <v>0.88190796384848402</v>
      </c>
      <c r="E1097">
        <v>0.466918468090672</v>
      </c>
      <c r="F1097">
        <v>0.18137189652028499</v>
      </c>
      <c r="G1097">
        <v>0.13184089199652499</v>
      </c>
      <c r="H1097">
        <v>8.4182533962907896E-2</v>
      </c>
      <c r="I1097">
        <v>6.3762709155130506E-2</v>
      </c>
      <c r="J1097">
        <v>6.8565511787845798E-2</v>
      </c>
      <c r="K1097">
        <v>5.7787592696149699E-2</v>
      </c>
      <c r="L1097">
        <v>1215.8720652326499</v>
      </c>
      <c r="M1097">
        <v>24.648966798631498</v>
      </c>
      <c r="N1097">
        <v>49.6218312107084</v>
      </c>
      <c r="O1097">
        <v>49.006295785419297</v>
      </c>
      <c r="P1097">
        <v>-0.11719401669743899</v>
      </c>
      <c r="Q1097">
        <v>6.8007940622607704E-2</v>
      </c>
      <c r="R1097">
        <v>0.99530882499031803</v>
      </c>
      <c r="S1097" t="s">
        <v>4726</v>
      </c>
      <c r="T1097" t="s">
        <v>7256</v>
      </c>
      <c r="U1097" t="s">
        <v>7256</v>
      </c>
      <c r="V1097" t="s">
        <v>7256</v>
      </c>
      <c r="W1097">
        <v>9</v>
      </c>
      <c r="X1097" t="s">
        <v>8353</v>
      </c>
      <c r="Y1097">
        <v>0.36630107398220318</v>
      </c>
      <c r="Z1097" t="str">
        <f>HYPERLINK("Melting_Curves/meltCurve_sp_P51692_STA5B_HUMAN_.pdf", "Melting_Curves/meltCurve_sp_P51692_STA5B_HUMAN_.pdf")</f>
        <v>Melting_Curves/meltCurve_sp_P51692_STA5B_HUMAN_.pdf</v>
      </c>
      <c r="AA1097" t="s">
        <v>11962</v>
      </c>
      <c r="AB1097" t="s">
        <v>15523</v>
      </c>
    </row>
    <row r="1098" spans="1:28" x14ac:dyDescent="0.25">
      <c r="A1098" t="s">
        <v>1102</v>
      </c>
      <c r="B1098">
        <v>0.98018197421672304</v>
      </c>
      <c r="C1098">
        <v>0.996061546073717</v>
      </c>
      <c r="D1098">
        <v>0.780057166470282</v>
      </c>
      <c r="E1098">
        <v>0.38132934795701201</v>
      </c>
      <c r="F1098">
        <v>0.22711297614957299</v>
      </c>
      <c r="G1098">
        <v>0.13204293591722899</v>
      </c>
      <c r="H1098">
        <v>7.3096661721846201E-2</v>
      </c>
      <c r="I1098">
        <v>5.8781765522532302E-2</v>
      </c>
      <c r="J1098">
        <v>6.1137425042326297E-2</v>
      </c>
      <c r="K1098">
        <v>4.6150166388597598E-2</v>
      </c>
      <c r="L1098">
        <v>1025.84824325256</v>
      </c>
      <c r="M1098">
        <v>21.075593085964002</v>
      </c>
      <c r="N1098">
        <v>48.983665980841202</v>
      </c>
      <c r="O1098">
        <v>48.2428579046707</v>
      </c>
      <c r="P1098">
        <v>-0.102421456405387</v>
      </c>
      <c r="Q1098">
        <v>6.2238298925372998E-2</v>
      </c>
      <c r="R1098">
        <v>0.99664127024377702</v>
      </c>
      <c r="S1098" t="s">
        <v>4727</v>
      </c>
      <c r="T1098" t="s">
        <v>7256</v>
      </c>
      <c r="U1098" t="s">
        <v>7256</v>
      </c>
      <c r="V1098" t="s">
        <v>7256</v>
      </c>
      <c r="W1098">
        <v>22</v>
      </c>
      <c r="X1098" t="s">
        <v>8354</v>
      </c>
      <c r="Y1098">
        <v>0.34522799072728011</v>
      </c>
      <c r="Z1098" t="str">
        <f>HYPERLINK("Melting_Curves/meltCurve_sp_P51857_AK1D1_HUMAN_.pdf", "Melting_Curves/meltCurve_sp_P51857_AK1D1_HUMAN_.pdf")</f>
        <v>Melting_Curves/meltCurve_sp_P51857_AK1D1_HUMAN_.pdf</v>
      </c>
      <c r="AA1098" t="s">
        <v>11963</v>
      </c>
      <c r="AB1098" t="s">
        <v>15524</v>
      </c>
    </row>
    <row r="1099" spans="1:28" x14ac:dyDescent="0.25">
      <c r="A1099" t="s">
        <v>1103</v>
      </c>
      <c r="B1099">
        <v>0.98018197421672304</v>
      </c>
      <c r="C1099">
        <v>1.0092037229384301</v>
      </c>
      <c r="D1099">
        <v>0.98068215335728603</v>
      </c>
      <c r="E1099">
        <v>0.86388925624359603</v>
      </c>
      <c r="F1099">
        <v>0.87950429808616903</v>
      </c>
      <c r="G1099">
        <v>0.75258951590787704</v>
      </c>
      <c r="H1099">
        <v>0.56302430658925595</v>
      </c>
      <c r="I1099">
        <v>0.639392418849691</v>
      </c>
      <c r="J1099">
        <v>0.68799742766655403</v>
      </c>
      <c r="K1099">
        <v>1.06319392054894</v>
      </c>
      <c r="L1099">
        <v>1240.2518396938999</v>
      </c>
      <c r="M1099">
        <v>24.349242278742899</v>
      </c>
      <c r="O1099">
        <v>50.5961319934502</v>
      </c>
      <c r="P1099">
        <v>-3.08613690603818E-2</v>
      </c>
      <c r="Q1099">
        <v>0.74349227379043703</v>
      </c>
      <c r="R1099">
        <v>0.41469889728756398</v>
      </c>
      <c r="S1099" t="s">
        <v>4728</v>
      </c>
      <c r="T1099" t="s">
        <v>7256</v>
      </c>
      <c r="U1099" t="s">
        <v>7256</v>
      </c>
      <c r="V1099" t="s">
        <v>7256</v>
      </c>
      <c r="W1099">
        <v>15</v>
      </c>
      <c r="X1099" t="s">
        <v>8355</v>
      </c>
      <c r="Y1099">
        <v>0.83943641144051684</v>
      </c>
      <c r="Z1099" t="str">
        <f>HYPERLINK("Melting_Curves/meltCurve_sp_P51858_HDGF_HUMAN_.pdf", "Melting_Curves/meltCurve_sp_P51858_HDGF_HUMAN_.pdf")</f>
        <v>Melting_Curves/meltCurve_sp_P51858_HDGF_HUMAN_.pdf</v>
      </c>
      <c r="AA1099" t="s">
        <v>11964</v>
      </c>
      <c r="AB1099" t="s">
        <v>15525</v>
      </c>
    </row>
    <row r="1100" spans="1:28" x14ac:dyDescent="0.25">
      <c r="A1100" t="s">
        <v>1104</v>
      </c>
      <c r="B1100">
        <v>0.98018197421672304</v>
      </c>
      <c r="C1100">
        <v>0.98875158582710299</v>
      </c>
      <c r="D1100">
        <v>0.95273170422745601</v>
      </c>
      <c r="E1100">
        <v>0.77650089749094497</v>
      </c>
      <c r="F1100">
        <v>0.66601220243151205</v>
      </c>
      <c r="G1100">
        <v>0.43522803519965603</v>
      </c>
      <c r="H1100">
        <v>0.27180021748896099</v>
      </c>
      <c r="I1100">
        <v>0.249745187894298</v>
      </c>
      <c r="J1100">
        <v>0.26566566220062898</v>
      </c>
      <c r="K1100">
        <v>0.34022193003310802</v>
      </c>
      <c r="L1100">
        <v>957.42398254455895</v>
      </c>
      <c r="M1100">
        <v>18.066657664073698</v>
      </c>
      <c r="N1100">
        <v>55.213441972313397</v>
      </c>
      <c r="O1100">
        <v>52.357505977540697</v>
      </c>
      <c r="P1100">
        <v>-6.4000418735790904E-2</v>
      </c>
      <c r="Q1100">
        <v>0.25813851677461602</v>
      </c>
      <c r="R1100">
        <v>0.98577414372799799</v>
      </c>
      <c r="S1100" t="s">
        <v>4729</v>
      </c>
      <c r="T1100" t="s">
        <v>7256</v>
      </c>
      <c r="U1100" t="s">
        <v>7256</v>
      </c>
      <c r="V1100" t="s">
        <v>7256</v>
      </c>
      <c r="W1100">
        <v>9</v>
      </c>
      <c r="X1100" t="s">
        <v>8356</v>
      </c>
      <c r="Y1100">
        <v>0.59153958497503101</v>
      </c>
      <c r="Z1100" t="str">
        <f>HYPERLINK("Melting_Curves/meltCurve_sp_P51991_ROA3_HUMAN_.pdf", "Melting_Curves/meltCurve_sp_P51991_ROA3_HUMAN_.pdf")</f>
        <v>Melting_Curves/meltCurve_sp_P51991_ROA3_HUMAN_.pdf</v>
      </c>
      <c r="AA1100" t="s">
        <v>11965</v>
      </c>
      <c r="AB1100" t="s">
        <v>15526</v>
      </c>
    </row>
    <row r="1101" spans="1:28" x14ac:dyDescent="0.25">
      <c r="A1101" t="s">
        <v>1105</v>
      </c>
      <c r="B1101">
        <v>0.98018197421672304</v>
      </c>
      <c r="C1101">
        <v>1.1392164802704901</v>
      </c>
      <c r="D1101">
        <v>0.91398271436287504</v>
      </c>
      <c r="E1101">
        <v>0.75181729024372201</v>
      </c>
      <c r="F1101">
        <v>0.54938557040494496</v>
      </c>
      <c r="G1101">
        <v>0.32027219193853901</v>
      </c>
      <c r="H1101">
        <v>0.29393871621724899</v>
      </c>
      <c r="I1101">
        <v>0.35328015654466499</v>
      </c>
      <c r="J1101">
        <v>0.413425172490548</v>
      </c>
      <c r="K1101">
        <v>0.480441126841957</v>
      </c>
      <c r="L1101">
        <v>1478.8716791818499</v>
      </c>
      <c r="M1101">
        <v>29.127115741426401</v>
      </c>
      <c r="N1101">
        <v>53.255164705557704</v>
      </c>
      <c r="O1101">
        <v>50.535492925577103</v>
      </c>
      <c r="P1101">
        <v>-9.0583243250403497E-2</v>
      </c>
      <c r="Q1101">
        <v>0.37135746383907797</v>
      </c>
      <c r="R1101">
        <v>0.93840527022227904</v>
      </c>
      <c r="S1101" t="s">
        <v>4730</v>
      </c>
      <c r="T1101" t="s">
        <v>7256</v>
      </c>
      <c r="U1101" t="s">
        <v>7256</v>
      </c>
      <c r="V1101" t="s">
        <v>7256</v>
      </c>
      <c r="W1101">
        <v>7</v>
      </c>
      <c r="X1101" t="s">
        <v>8357</v>
      </c>
      <c r="Y1101">
        <v>0.60128158074117299</v>
      </c>
      <c r="Z1101" t="str">
        <f>HYPERLINK("Melting_Curves/meltCurve_sp_P52272_2_HNRPM_HUMAN_.pdf", "Melting_Curves/meltCurve_sp_P52272_2_HNRPM_HUMAN_.pdf")</f>
        <v>Melting_Curves/meltCurve_sp_P52272_2_HNRPM_HUMAN_.pdf</v>
      </c>
      <c r="AA1101" t="s">
        <v>11966</v>
      </c>
      <c r="AB1101" t="s">
        <v>15527</v>
      </c>
    </row>
    <row r="1102" spans="1:28" x14ac:dyDescent="0.25">
      <c r="A1102" t="s">
        <v>1106</v>
      </c>
      <c r="B1102">
        <v>0.98018197421672304</v>
      </c>
      <c r="C1102">
        <v>0.67918751224043505</v>
      </c>
      <c r="D1102">
        <v>0.56990404550575602</v>
      </c>
      <c r="E1102">
        <v>0.21032308277681999</v>
      </c>
      <c r="F1102">
        <v>2.7776372640960199E-2</v>
      </c>
      <c r="G1102">
        <v>3.9570194530172201E-2</v>
      </c>
      <c r="H1102">
        <v>9.17277227941104E-2</v>
      </c>
      <c r="I1102">
        <v>7.3966984658551199E-2</v>
      </c>
      <c r="J1102">
        <v>0</v>
      </c>
      <c r="K1102">
        <v>0</v>
      </c>
      <c r="L1102">
        <v>791.33475678293496</v>
      </c>
      <c r="M1102">
        <v>17.2556395180242</v>
      </c>
      <c r="N1102">
        <v>45.962282213470402</v>
      </c>
      <c r="O1102">
        <v>45.256867417718603</v>
      </c>
      <c r="P1102">
        <v>-9.3521700364217794E-2</v>
      </c>
      <c r="Q1102">
        <v>1.8928841262450299E-2</v>
      </c>
      <c r="R1102">
        <v>0.97277566046385699</v>
      </c>
      <c r="S1102" t="s">
        <v>4731</v>
      </c>
      <c r="T1102" t="s">
        <v>7256</v>
      </c>
      <c r="U1102" t="s">
        <v>7256</v>
      </c>
      <c r="V1102" t="s">
        <v>7256</v>
      </c>
      <c r="W1102">
        <v>2</v>
      </c>
      <c r="X1102" t="s">
        <v>8358</v>
      </c>
      <c r="Y1102">
        <v>0.23195151027141361</v>
      </c>
      <c r="Z1102" t="str">
        <f>HYPERLINK("Melting_Curves/meltCurve_sp_P52292_IMA2_HUMAN_.pdf", "Melting_Curves/meltCurve_sp_P52292_IMA2_HUMAN_.pdf")</f>
        <v>Melting_Curves/meltCurve_sp_P52292_IMA2_HUMAN_.pdf</v>
      </c>
      <c r="AA1102" t="s">
        <v>11967</v>
      </c>
      <c r="AB1102" t="s">
        <v>15528</v>
      </c>
    </row>
    <row r="1103" spans="1:28" x14ac:dyDescent="0.25">
      <c r="A1103" t="s">
        <v>1107</v>
      </c>
      <c r="B1103">
        <v>0.98018197421672304</v>
      </c>
      <c r="C1103">
        <v>0.90063834212827398</v>
      </c>
      <c r="D1103">
        <v>0.83781236786717805</v>
      </c>
      <c r="E1103">
        <v>0.44606168010156599</v>
      </c>
      <c r="F1103">
        <v>0.20992006931441601</v>
      </c>
      <c r="G1103">
        <v>0.12380784806824199</v>
      </c>
      <c r="H1103">
        <v>8.9991288411822995E-2</v>
      </c>
      <c r="I1103">
        <v>6.4369689672909194E-2</v>
      </c>
      <c r="J1103">
        <v>0.132983073959721</v>
      </c>
      <c r="K1103">
        <v>6.1305595765983503E-2</v>
      </c>
      <c r="L1103">
        <v>1055.1359402552901</v>
      </c>
      <c r="M1103">
        <v>21.548201347408401</v>
      </c>
      <c r="N1103">
        <v>49.362764010625398</v>
      </c>
      <c r="O1103">
        <v>48.550452696270199</v>
      </c>
      <c r="P1103">
        <v>-0.102143871727653</v>
      </c>
      <c r="Q1103">
        <v>7.9457292702112797E-2</v>
      </c>
      <c r="R1103">
        <v>0.99396681711087298</v>
      </c>
      <c r="S1103" t="s">
        <v>4732</v>
      </c>
      <c r="T1103" t="s">
        <v>7256</v>
      </c>
      <c r="U1103" t="s">
        <v>7256</v>
      </c>
      <c r="V1103" t="s">
        <v>7256</v>
      </c>
      <c r="W1103">
        <v>7</v>
      </c>
      <c r="X1103" t="s">
        <v>8359</v>
      </c>
      <c r="Y1103">
        <v>0.3656613825554782</v>
      </c>
      <c r="Z1103" t="str">
        <f>HYPERLINK("Melting_Curves/meltCurve_sp_P52294_IMA1_HUMAN_.pdf", "Melting_Curves/meltCurve_sp_P52294_IMA1_HUMAN_.pdf")</f>
        <v>Melting_Curves/meltCurve_sp_P52294_IMA1_HUMAN_.pdf</v>
      </c>
      <c r="AA1103" t="s">
        <v>11968</v>
      </c>
      <c r="AB1103" t="s">
        <v>15529</v>
      </c>
    </row>
    <row r="1104" spans="1:28" x14ac:dyDescent="0.25">
      <c r="A1104" t="s">
        <v>1108</v>
      </c>
      <c r="B1104">
        <v>0.98018197421672304</v>
      </c>
      <c r="C1104">
        <v>0.99203981821563403</v>
      </c>
      <c r="D1104">
        <v>0.95171650506085304</v>
      </c>
      <c r="E1104">
        <v>0.78356241298839402</v>
      </c>
      <c r="F1104">
        <v>0.49502806445620801</v>
      </c>
      <c r="G1104">
        <v>0.20199100741079501</v>
      </c>
      <c r="H1104">
        <v>8.71599450603259E-2</v>
      </c>
      <c r="I1104">
        <v>5.3722745148911399E-2</v>
      </c>
      <c r="J1104">
        <v>5.6036565853273899E-2</v>
      </c>
      <c r="K1104">
        <v>3.2565695747823503E-2</v>
      </c>
      <c r="L1104">
        <v>1127.87802516549</v>
      </c>
      <c r="M1104">
        <v>21.3572497159699</v>
      </c>
      <c r="N1104">
        <v>52.989471551615303</v>
      </c>
      <c r="O1104">
        <v>52.3536236995946</v>
      </c>
      <c r="P1104">
        <v>-9.8431165005632704E-2</v>
      </c>
      <c r="Q1104">
        <v>3.4875974445205897E-2</v>
      </c>
      <c r="R1104">
        <v>0.99957646477416295</v>
      </c>
      <c r="S1104" t="s">
        <v>4733</v>
      </c>
      <c r="T1104" t="s">
        <v>7256</v>
      </c>
      <c r="U1104" t="s">
        <v>7256</v>
      </c>
      <c r="V1104" t="s">
        <v>7256</v>
      </c>
      <c r="W1104">
        <v>14</v>
      </c>
      <c r="X1104" t="s">
        <v>8360</v>
      </c>
      <c r="Y1104">
        <v>0.45883620009240711</v>
      </c>
      <c r="Z1104" t="str">
        <f>HYPERLINK("Melting_Curves/meltCurve_sp_P52306_GDS1_HUMAN_.pdf", "Melting_Curves/meltCurve_sp_P52306_GDS1_HUMAN_.pdf")</f>
        <v>Melting_Curves/meltCurve_sp_P52306_GDS1_HUMAN_.pdf</v>
      </c>
      <c r="AA1104" t="s">
        <v>11969</v>
      </c>
      <c r="AB1104" t="s">
        <v>15530</v>
      </c>
    </row>
    <row r="1105" spans="1:28" x14ac:dyDescent="0.25">
      <c r="A1105" t="s">
        <v>1109</v>
      </c>
      <c r="B1105">
        <v>0.98018197421672304</v>
      </c>
      <c r="C1105">
        <v>1.0061812971342801</v>
      </c>
      <c r="D1105">
        <v>0.94152849316415199</v>
      </c>
      <c r="E1105">
        <v>0.816816196290858</v>
      </c>
      <c r="F1105">
        <v>0.64926690357033101</v>
      </c>
      <c r="G1105">
        <v>0.45357513044134101</v>
      </c>
      <c r="H1105">
        <v>0.36134084221708801</v>
      </c>
      <c r="I1105">
        <v>0.22246965482079001</v>
      </c>
      <c r="J1105">
        <v>0.170184679751514</v>
      </c>
      <c r="K1105">
        <v>0.14809777509321301</v>
      </c>
      <c r="L1105">
        <v>671.24233762837605</v>
      </c>
      <c r="M1105">
        <v>12.0804660633341</v>
      </c>
      <c r="N1105">
        <v>56.364544258539603</v>
      </c>
      <c r="O1105">
        <v>54.107406591270703</v>
      </c>
      <c r="P1105">
        <v>-5.1430289057605598E-2</v>
      </c>
      <c r="Q1105">
        <v>7.8808144606974703E-2</v>
      </c>
      <c r="R1105">
        <v>0.99569391661000095</v>
      </c>
      <c r="S1105" t="s">
        <v>4734</v>
      </c>
      <c r="T1105" t="s">
        <v>7256</v>
      </c>
      <c r="U1105" t="s">
        <v>7256</v>
      </c>
      <c r="V1105" t="s">
        <v>7256</v>
      </c>
      <c r="W1105">
        <v>4</v>
      </c>
      <c r="X1105" t="s">
        <v>8361</v>
      </c>
      <c r="Y1105">
        <v>0.57671847410057708</v>
      </c>
      <c r="Z1105" t="str">
        <f>HYPERLINK("Melting_Curves/meltCurve_sp_P52594_2_AGFG1_HUMAN_.pdf", "Melting_Curves/meltCurve_sp_P52594_2_AGFG1_HUMAN_.pdf")</f>
        <v>Melting_Curves/meltCurve_sp_P52594_2_AGFG1_HUMAN_.pdf</v>
      </c>
      <c r="AA1105" t="s">
        <v>11970</v>
      </c>
      <c r="AB1105" t="s">
        <v>15531</v>
      </c>
    </row>
    <row r="1106" spans="1:28" x14ac:dyDescent="0.25">
      <c r="A1106" t="s">
        <v>1110</v>
      </c>
      <c r="B1106">
        <v>0.98018197421672304</v>
      </c>
      <c r="C1106">
        <v>0.95807883946719996</v>
      </c>
      <c r="D1106">
        <v>0.96878577652485498</v>
      </c>
      <c r="E1106">
        <v>0.781164648936719</v>
      </c>
      <c r="F1106">
        <v>0.523897716929144</v>
      </c>
      <c r="G1106">
        <v>0.28324999679384799</v>
      </c>
      <c r="H1106">
        <v>0.16343959413691</v>
      </c>
      <c r="I1106">
        <v>0.131903443107135</v>
      </c>
      <c r="J1106">
        <v>0.14593580716662299</v>
      </c>
      <c r="K1106">
        <v>0.14821438051515901</v>
      </c>
      <c r="L1106">
        <v>1107.0704299730601</v>
      </c>
      <c r="M1106">
        <v>21.057249254153501</v>
      </c>
      <c r="N1106">
        <v>53.335866619158701</v>
      </c>
      <c r="O1106">
        <v>52.107065139650501</v>
      </c>
      <c r="P1106">
        <v>-8.7914215770887899E-2</v>
      </c>
      <c r="Q1106">
        <v>0.12983341795151401</v>
      </c>
      <c r="R1106">
        <v>0.99808261053924296</v>
      </c>
      <c r="S1106" t="s">
        <v>4735</v>
      </c>
      <c r="T1106" t="s">
        <v>7256</v>
      </c>
      <c r="U1106" t="s">
        <v>7256</v>
      </c>
      <c r="V1106" t="s">
        <v>7256</v>
      </c>
      <c r="W1106">
        <v>13</v>
      </c>
      <c r="X1106" t="s">
        <v>8362</v>
      </c>
      <c r="Y1106">
        <v>0.50552068865314226</v>
      </c>
      <c r="Z1106" t="str">
        <f>HYPERLINK("Melting_Curves/meltCurve_sp_P52597_HNRPF_HUMAN_.pdf", "Melting_Curves/meltCurve_sp_P52597_HNRPF_HUMAN_.pdf")</f>
        <v>Melting_Curves/meltCurve_sp_P52597_HNRPF_HUMAN_.pdf</v>
      </c>
      <c r="AA1106" t="s">
        <v>11971</v>
      </c>
      <c r="AB1106" t="s">
        <v>15532</v>
      </c>
    </row>
    <row r="1107" spans="1:28" x14ac:dyDescent="0.25">
      <c r="A1107" t="s">
        <v>1111</v>
      </c>
      <c r="B1107">
        <v>0.98018197421672304</v>
      </c>
      <c r="C1107">
        <v>0.89630552505738204</v>
      </c>
      <c r="D1107">
        <v>0.82701055048516603</v>
      </c>
      <c r="E1107">
        <v>0.47126864663364998</v>
      </c>
      <c r="F1107">
        <v>0.18524165028574799</v>
      </c>
      <c r="G1107">
        <v>0.1059289846182</v>
      </c>
      <c r="H1107">
        <v>6.2664259710884698E-2</v>
      </c>
      <c r="I1107">
        <v>5.48182871899816E-2</v>
      </c>
      <c r="J1107">
        <v>5.7583211128764099E-2</v>
      </c>
      <c r="K1107">
        <v>5.8105436253070998E-2</v>
      </c>
      <c r="L1107">
        <v>1010.48015077165</v>
      </c>
      <c r="M1107">
        <v>20.5444210664525</v>
      </c>
      <c r="N1107">
        <v>49.424338287110899</v>
      </c>
      <c r="O1107">
        <v>48.726232095117801</v>
      </c>
      <c r="P1107">
        <v>-0.100422093518985</v>
      </c>
      <c r="Q1107">
        <v>4.7323331588986703E-2</v>
      </c>
      <c r="R1107">
        <v>0.995507609604244</v>
      </c>
      <c r="S1107" t="s">
        <v>4736</v>
      </c>
      <c r="T1107" t="s">
        <v>7256</v>
      </c>
      <c r="U1107" t="s">
        <v>7256</v>
      </c>
      <c r="V1107" t="s">
        <v>7256</v>
      </c>
      <c r="W1107">
        <v>7</v>
      </c>
      <c r="X1107" t="s">
        <v>8363</v>
      </c>
      <c r="Y1107">
        <v>0.35162507744774191</v>
      </c>
      <c r="Z1107" t="str">
        <f>HYPERLINK("Melting_Curves/meltCurve_sp_P52630_4_STAT2_HUMAN_.pdf", "Melting_Curves/meltCurve_sp_P52630_4_STAT2_HUMAN_.pdf")</f>
        <v>Melting_Curves/meltCurve_sp_P52630_4_STAT2_HUMAN_.pdf</v>
      </c>
      <c r="AA1107" t="s">
        <v>11972</v>
      </c>
      <c r="AB1107" t="s">
        <v>15533</v>
      </c>
    </row>
    <row r="1108" spans="1:28" x14ac:dyDescent="0.25">
      <c r="A1108" t="s">
        <v>1112</v>
      </c>
      <c r="B1108">
        <v>0.98018197421672304</v>
      </c>
      <c r="C1108">
        <v>0.73552491587052604</v>
      </c>
      <c r="D1108">
        <v>0.75515221078794803</v>
      </c>
      <c r="E1108">
        <v>0.75566940410549099</v>
      </c>
      <c r="F1108">
        <v>0.52461412240558802</v>
      </c>
      <c r="G1108">
        <v>0.21568555931894301</v>
      </c>
      <c r="H1108">
        <v>8.67236344471536E-2</v>
      </c>
      <c r="I1108">
        <v>6.6566561263712395E-2</v>
      </c>
      <c r="J1108">
        <v>8.1070163263447306E-2</v>
      </c>
      <c r="K1108">
        <v>4.9063919887776301E-2</v>
      </c>
      <c r="L1108">
        <v>599.34991278964003</v>
      </c>
      <c r="M1108">
        <v>11.484461086406199</v>
      </c>
      <c r="N1108">
        <v>52.187892618722202</v>
      </c>
      <c r="O1108">
        <v>50.6807792910286</v>
      </c>
      <c r="P1108">
        <v>-5.6667154814060101E-2</v>
      </c>
      <c r="Q1108">
        <v>0</v>
      </c>
      <c r="R1108">
        <v>0.93815269854420602</v>
      </c>
      <c r="S1108" t="s">
        <v>4737</v>
      </c>
      <c r="T1108" t="s">
        <v>7256</v>
      </c>
      <c r="U1108" t="s">
        <v>7256</v>
      </c>
      <c r="V1108" t="s">
        <v>7256</v>
      </c>
      <c r="W1108">
        <v>2</v>
      </c>
      <c r="X1108" t="s">
        <v>8364</v>
      </c>
      <c r="Y1108">
        <v>0.43815396172123172</v>
      </c>
      <c r="Z1108" t="str">
        <f>HYPERLINK("Melting_Curves/meltCurve_sp_P52732_KIF11_HUMAN_.pdf", "Melting_Curves/meltCurve_sp_P52732_KIF11_HUMAN_.pdf")</f>
        <v>Melting_Curves/meltCurve_sp_P52732_KIF11_HUMAN_.pdf</v>
      </c>
      <c r="AA1108" t="s">
        <v>11973</v>
      </c>
      <c r="AB1108" t="s">
        <v>15534</v>
      </c>
    </row>
    <row r="1109" spans="1:28" x14ac:dyDescent="0.25">
      <c r="A1109" t="s">
        <v>1113</v>
      </c>
      <c r="B1109">
        <v>0.98018197421672304</v>
      </c>
      <c r="C1109">
        <v>0.95257595054912603</v>
      </c>
      <c r="D1109">
        <v>0.91168194880400599</v>
      </c>
      <c r="E1109">
        <v>0.690708812550483</v>
      </c>
      <c r="F1109">
        <v>0.17958556238172099</v>
      </c>
      <c r="G1109">
        <v>9.7879390670711997E-2</v>
      </c>
      <c r="H1109">
        <v>5.3687745983925603E-2</v>
      </c>
      <c r="I1109">
        <v>4.4277949613726199E-2</v>
      </c>
      <c r="J1109">
        <v>4.5729988148686902E-2</v>
      </c>
      <c r="K1109">
        <v>3.7405713343100097E-2</v>
      </c>
      <c r="L1109">
        <v>2072.3620503684901</v>
      </c>
      <c r="M1109">
        <v>40.787510554919201</v>
      </c>
      <c r="N1109">
        <v>50.942222049909702</v>
      </c>
      <c r="O1109">
        <v>50.687079201381202</v>
      </c>
      <c r="P1109">
        <v>-0.19097623647496301</v>
      </c>
      <c r="Q1109">
        <v>5.0689192420377498E-2</v>
      </c>
      <c r="R1109">
        <v>0.99364596534101102</v>
      </c>
      <c r="S1109" t="s">
        <v>4738</v>
      </c>
      <c r="T1109" t="s">
        <v>7256</v>
      </c>
      <c r="U1109" t="s">
        <v>7256</v>
      </c>
      <c r="V1109" t="s">
        <v>7256</v>
      </c>
      <c r="W1109">
        <v>13</v>
      </c>
      <c r="X1109" t="s">
        <v>8365</v>
      </c>
      <c r="Y1109">
        <v>0.3959232919198527</v>
      </c>
      <c r="Z1109" t="str">
        <f>HYPERLINK("Melting_Curves/meltCurve_sp_P52735_3_VAV2_HUMAN_.pdf", "Melting_Curves/meltCurve_sp_P52735_3_VAV2_HUMAN_.pdf")</f>
        <v>Melting_Curves/meltCurve_sp_P52735_3_VAV2_HUMAN_.pdf</v>
      </c>
      <c r="AA1109" t="s">
        <v>11974</v>
      </c>
      <c r="AB1109" t="s">
        <v>15535</v>
      </c>
    </row>
    <row r="1110" spans="1:28" x14ac:dyDescent="0.25">
      <c r="A1110" t="s">
        <v>1114</v>
      </c>
      <c r="B1110">
        <v>0.98018197421672304</v>
      </c>
      <c r="C1110">
        <v>0.92964941663982703</v>
      </c>
      <c r="D1110">
        <v>0.99140979428528597</v>
      </c>
      <c r="E1110">
        <v>0.85427924521507403</v>
      </c>
      <c r="F1110">
        <v>0.83298980919909205</v>
      </c>
      <c r="G1110">
        <v>0.69609473214487005</v>
      </c>
      <c r="H1110">
        <v>0.52790160431845101</v>
      </c>
      <c r="I1110">
        <v>0.548836032218877</v>
      </c>
      <c r="J1110">
        <v>0.51832595116412306</v>
      </c>
      <c r="K1110">
        <v>0.79858528569555498</v>
      </c>
      <c r="L1110">
        <v>1075.5836620749701</v>
      </c>
      <c r="M1110">
        <v>20.409338238042501</v>
      </c>
      <c r="O1110">
        <v>52.202442666680099</v>
      </c>
      <c r="P1110">
        <v>-3.9260915290324203E-2</v>
      </c>
      <c r="Q1110">
        <v>0.59833013758421805</v>
      </c>
      <c r="R1110">
        <v>0.77661718501097099</v>
      </c>
      <c r="S1110" t="s">
        <v>4739</v>
      </c>
      <c r="T1110" t="s">
        <v>7256</v>
      </c>
      <c r="U1110" t="s">
        <v>7256</v>
      </c>
      <c r="V1110" t="s">
        <v>7256</v>
      </c>
      <c r="W1110">
        <v>11</v>
      </c>
      <c r="X1110" t="s">
        <v>8366</v>
      </c>
      <c r="Y1110">
        <v>0.77372326808920711</v>
      </c>
      <c r="Z1110" t="str">
        <f>HYPERLINK("Melting_Curves/meltCurve_sp_P52758_UK114_HUMAN_.pdf", "Melting_Curves/meltCurve_sp_P52758_UK114_HUMAN_.pdf")</f>
        <v>Melting_Curves/meltCurve_sp_P52758_UK114_HUMAN_.pdf</v>
      </c>
      <c r="AA1110" t="s">
        <v>11975</v>
      </c>
      <c r="AB1110" t="s">
        <v>15536</v>
      </c>
    </row>
    <row r="1111" spans="1:28" x14ac:dyDescent="0.25">
      <c r="A1111" t="s">
        <v>1115</v>
      </c>
      <c r="B1111">
        <v>0.98018197421672304</v>
      </c>
      <c r="C1111">
        <v>0.83477679664541304</v>
      </c>
      <c r="D1111">
        <v>0.91512255369194495</v>
      </c>
      <c r="E1111">
        <v>0.81554748638152796</v>
      </c>
      <c r="F1111">
        <v>0.56056207938009095</v>
      </c>
      <c r="G1111">
        <v>0.21370784339603399</v>
      </c>
      <c r="H1111">
        <v>9.8329364591903196E-2</v>
      </c>
      <c r="I1111">
        <v>6.1674588216466299E-2</v>
      </c>
      <c r="J1111">
        <v>5.2095647930184702E-2</v>
      </c>
      <c r="K1111">
        <v>4.6535989297277702E-2</v>
      </c>
      <c r="L1111">
        <v>1040.34524843704</v>
      </c>
      <c r="M1111">
        <v>19.5054239121453</v>
      </c>
      <c r="N1111">
        <v>53.484874009867497</v>
      </c>
      <c r="O1111">
        <v>52.7850833085364</v>
      </c>
      <c r="P1111">
        <v>-8.9946836396428906E-2</v>
      </c>
      <c r="Q1111">
        <v>2.6387626011355199E-2</v>
      </c>
      <c r="R1111">
        <v>0.98008498465141203</v>
      </c>
      <c r="S1111" t="s">
        <v>4740</v>
      </c>
      <c r="T1111" t="s">
        <v>7256</v>
      </c>
      <c r="U1111" t="s">
        <v>7256</v>
      </c>
      <c r="V1111" t="s">
        <v>7256</v>
      </c>
      <c r="W1111">
        <v>8</v>
      </c>
      <c r="X1111" t="s">
        <v>8367</v>
      </c>
      <c r="Y1111">
        <v>0.47311282512083569</v>
      </c>
      <c r="Z1111" t="str">
        <f>HYPERLINK("Melting_Curves/meltCurve_sp_P52788_SPSY_HUMAN_.pdf", "Melting_Curves/meltCurve_sp_P52788_SPSY_HUMAN_.pdf")</f>
        <v>Melting_Curves/meltCurve_sp_P52788_SPSY_HUMAN_.pdf</v>
      </c>
      <c r="AA1111" t="s">
        <v>11976</v>
      </c>
      <c r="AB1111" t="s">
        <v>15537</v>
      </c>
    </row>
    <row r="1112" spans="1:28" x14ac:dyDescent="0.25">
      <c r="A1112" t="s">
        <v>1116</v>
      </c>
      <c r="B1112">
        <v>0.98018197421672304</v>
      </c>
      <c r="C1112">
        <v>0.87554862824024904</v>
      </c>
      <c r="D1112">
        <v>0.83873522066541195</v>
      </c>
      <c r="E1112">
        <v>0.65103825151811001</v>
      </c>
      <c r="F1112">
        <v>0.23653430547628901</v>
      </c>
      <c r="G1112">
        <v>0.14393189300505699</v>
      </c>
      <c r="H1112">
        <v>7.0950570021401704E-2</v>
      </c>
      <c r="I1112">
        <v>4.8537429361053999E-2</v>
      </c>
      <c r="J1112">
        <v>7.1198706610281201E-2</v>
      </c>
      <c r="K1112">
        <v>4.3975832525552198E-2</v>
      </c>
      <c r="L1112">
        <v>953.29177980579198</v>
      </c>
      <c r="M1112">
        <v>18.887429480898501</v>
      </c>
      <c r="N1112">
        <v>50.682981692281302</v>
      </c>
      <c r="O1112">
        <v>49.916708914306298</v>
      </c>
      <c r="P1112">
        <v>-9.1026527687089701E-2</v>
      </c>
      <c r="Q1112">
        <v>3.7760225119477298E-2</v>
      </c>
      <c r="R1112">
        <v>0.982352563972823</v>
      </c>
      <c r="S1112" t="s">
        <v>4741</v>
      </c>
      <c r="T1112" t="s">
        <v>7256</v>
      </c>
      <c r="U1112" t="s">
        <v>7256</v>
      </c>
      <c r="V1112" t="s">
        <v>7256</v>
      </c>
      <c r="W1112">
        <v>5</v>
      </c>
      <c r="X1112" t="s">
        <v>8368</v>
      </c>
      <c r="Y1112">
        <v>0.38856581279004487</v>
      </c>
      <c r="Z1112" t="str">
        <f>HYPERLINK("Melting_Curves/meltCurve_sp_P52790_HXK3_HUMAN_.pdf", "Melting_Curves/meltCurve_sp_P52790_HXK3_HUMAN_.pdf")</f>
        <v>Melting_Curves/meltCurve_sp_P52790_HXK3_HUMAN_.pdf</v>
      </c>
      <c r="AA1112" t="s">
        <v>11977</v>
      </c>
      <c r="AB1112" t="s">
        <v>15538</v>
      </c>
    </row>
    <row r="1113" spans="1:28" x14ac:dyDescent="0.25">
      <c r="A1113" t="s">
        <v>1117</v>
      </c>
      <c r="B1113">
        <v>0.98018197421672304</v>
      </c>
      <c r="C1113">
        <v>0.81044558144437895</v>
      </c>
      <c r="D1113">
        <v>0.88547074709622997</v>
      </c>
      <c r="E1113">
        <v>0.76185256767646703</v>
      </c>
      <c r="F1113">
        <v>0.75137439295269703</v>
      </c>
      <c r="G1113">
        <v>0.54914946079229698</v>
      </c>
      <c r="H1113">
        <v>0.573183650567748</v>
      </c>
      <c r="I1113">
        <v>0.513702246183803</v>
      </c>
      <c r="J1113">
        <v>0.42478200716713899</v>
      </c>
      <c r="K1113">
        <v>0.45054426761613198</v>
      </c>
      <c r="L1113">
        <v>324.96721714824702</v>
      </c>
      <c r="M1113">
        <v>5.6741322356213999</v>
      </c>
      <c r="N1113">
        <v>64.031133269584004</v>
      </c>
      <c r="O1113">
        <v>51.349110860636003</v>
      </c>
      <c r="P1113">
        <v>-2.14853281794514E-2</v>
      </c>
      <c r="Q1113">
        <v>0.22531642749608199</v>
      </c>
      <c r="R1113">
        <v>0.93609496946733395</v>
      </c>
      <c r="S1113" t="s">
        <v>4742</v>
      </c>
      <c r="T1113" t="s">
        <v>7256</v>
      </c>
      <c r="U1113" t="s">
        <v>7256</v>
      </c>
      <c r="V1113" t="s">
        <v>7256</v>
      </c>
      <c r="W1113">
        <v>3</v>
      </c>
      <c r="X1113" t="s">
        <v>8369</v>
      </c>
      <c r="Y1113">
        <v>0.66976870338468042</v>
      </c>
      <c r="Z1113" t="str">
        <f>HYPERLINK("Melting_Curves/meltCurve_sp_P52815_RM12_HUMAN_.pdf", "Melting_Curves/meltCurve_sp_P52815_RM12_HUMAN_.pdf")</f>
        <v>Melting_Curves/meltCurve_sp_P52815_RM12_HUMAN_.pdf</v>
      </c>
      <c r="AA1113" t="s">
        <v>11978</v>
      </c>
      <c r="AB1113" t="s">
        <v>15539</v>
      </c>
    </row>
    <row r="1114" spans="1:28" x14ac:dyDescent="0.25">
      <c r="A1114" t="s">
        <v>1118</v>
      </c>
      <c r="B1114">
        <v>0.98018197421672304</v>
      </c>
      <c r="C1114">
        <v>0.93455782842914803</v>
      </c>
      <c r="D1114">
        <v>0.96039927330644004</v>
      </c>
      <c r="E1114">
        <v>0.83311816275741601</v>
      </c>
      <c r="F1114">
        <v>0.79219694883742897</v>
      </c>
      <c r="G1114">
        <v>0.71825382591124598</v>
      </c>
      <c r="H1114">
        <v>0.37312845827563001</v>
      </c>
      <c r="I1114">
        <v>9.8461362559634502E-2</v>
      </c>
      <c r="J1114">
        <v>4.24936107639481E-2</v>
      </c>
      <c r="K1114">
        <v>5.3928015583673501E-2</v>
      </c>
      <c r="L1114">
        <v>1043.1335704231899</v>
      </c>
      <c r="M1114">
        <v>17.798724322719998</v>
      </c>
      <c r="N1114">
        <v>58.607210730537503</v>
      </c>
      <c r="O1114">
        <v>57.8824123344707</v>
      </c>
      <c r="P1114">
        <v>-7.6878458242675293E-2</v>
      </c>
      <c r="Q1114">
        <v>0</v>
      </c>
      <c r="R1114">
        <v>0.966407176878747</v>
      </c>
      <c r="S1114" t="s">
        <v>4743</v>
      </c>
      <c r="T1114" t="s">
        <v>7256</v>
      </c>
      <c r="U1114" t="s">
        <v>7256</v>
      </c>
      <c r="V1114" t="s">
        <v>7256</v>
      </c>
      <c r="W1114">
        <v>21</v>
      </c>
      <c r="X1114" t="s">
        <v>8370</v>
      </c>
      <c r="Y1114">
        <v>0.63164459414103669</v>
      </c>
      <c r="Z1114" t="str">
        <f>HYPERLINK("Melting_Curves/meltCurve_sp_P52888_THOP1_HUMAN_.pdf", "Melting_Curves/meltCurve_sp_P52888_THOP1_HUMAN_.pdf")</f>
        <v>Melting_Curves/meltCurve_sp_P52888_THOP1_HUMAN_.pdf</v>
      </c>
      <c r="AA1114" t="s">
        <v>11979</v>
      </c>
      <c r="AB1114" t="s">
        <v>15540</v>
      </c>
    </row>
    <row r="1115" spans="1:28" x14ac:dyDescent="0.25">
      <c r="A1115" t="s">
        <v>1119</v>
      </c>
      <c r="B1115">
        <v>0.98018197421672304</v>
      </c>
      <c r="C1115">
        <v>0.96164677944590604</v>
      </c>
      <c r="D1115">
        <v>0.95620281595307299</v>
      </c>
      <c r="E1115">
        <v>0.843986267699673</v>
      </c>
      <c r="F1115">
        <v>0.76722091741740595</v>
      </c>
      <c r="G1115">
        <v>0.55990915468908298</v>
      </c>
      <c r="H1115">
        <v>0.28915142449468401</v>
      </c>
      <c r="I1115">
        <v>0.13315656921004199</v>
      </c>
      <c r="J1115">
        <v>8.2001567122313004E-2</v>
      </c>
      <c r="K1115">
        <v>5.8331081152851301E-2</v>
      </c>
      <c r="L1115">
        <v>850.84872741702395</v>
      </c>
      <c r="M1115">
        <v>14.872462224823201</v>
      </c>
      <c r="N1115">
        <v>57.2096748484134</v>
      </c>
      <c r="O1115">
        <v>56.205233736265903</v>
      </c>
      <c r="P1115">
        <v>-6.6159389675024702E-2</v>
      </c>
      <c r="Q1115">
        <v>0</v>
      </c>
      <c r="R1115">
        <v>0.99388701137198199</v>
      </c>
      <c r="S1115" t="s">
        <v>4744</v>
      </c>
      <c r="T1115" t="s">
        <v>7256</v>
      </c>
      <c r="U1115" t="s">
        <v>7256</v>
      </c>
      <c r="V1115" t="s">
        <v>7256</v>
      </c>
      <c r="W1115">
        <v>9</v>
      </c>
      <c r="X1115" t="s">
        <v>8371</v>
      </c>
      <c r="Y1115">
        <v>0.58908060220216651</v>
      </c>
      <c r="Z1115" t="str">
        <f>HYPERLINK("Melting_Curves/meltCurve_sp_P52907_CAZA1_HUMAN_.pdf", "Melting_Curves/meltCurve_sp_P52907_CAZA1_HUMAN_.pdf")</f>
        <v>Melting_Curves/meltCurve_sp_P52907_CAZA1_HUMAN_.pdf</v>
      </c>
      <c r="AA1115" t="s">
        <v>11980</v>
      </c>
      <c r="AB1115" t="s">
        <v>15541</v>
      </c>
    </row>
    <row r="1116" spans="1:28" x14ac:dyDescent="0.25">
      <c r="A1116" t="s">
        <v>1120</v>
      </c>
      <c r="B1116">
        <v>0.98018197421672304</v>
      </c>
      <c r="C1116">
        <v>1.0219563188090901</v>
      </c>
      <c r="D1116">
        <v>0.96090574965144604</v>
      </c>
      <c r="E1116">
        <v>0.82720607344470898</v>
      </c>
      <c r="F1116">
        <v>0.84652423575049895</v>
      </c>
      <c r="G1116">
        <v>0.671423646633872</v>
      </c>
      <c r="H1116">
        <v>0.56754806288762505</v>
      </c>
      <c r="I1116">
        <v>0.69165907941571103</v>
      </c>
      <c r="J1116">
        <v>0.63647797245691295</v>
      </c>
      <c r="K1116">
        <v>1.01315648082301</v>
      </c>
      <c r="L1116">
        <v>1229.3458121926301</v>
      </c>
      <c r="M1116">
        <v>24.706422174796302</v>
      </c>
      <c r="O1116">
        <v>49.435601254443498</v>
      </c>
      <c r="P1116">
        <v>-3.4621293552327098E-2</v>
      </c>
      <c r="Q1116">
        <v>0.72290600698246699</v>
      </c>
      <c r="R1116">
        <v>0.50455662411298297</v>
      </c>
      <c r="S1116" t="s">
        <v>4745</v>
      </c>
      <c r="T1116" t="s">
        <v>7256</v>
      </c>
      <c r="U1116" t="s">
        <v>7256</v>
      </c>
      <c r="V1116" t="s">
        <v>7256</v>
      </c>
      <c r="W1116">
        <v>4</v>
      </c>
      <c r="X1116" t="s">
        <v>8372</v>
      </c>
      <c r="Y1116">
        <v>0.81556721750583605</v>
      </c>
      <c r="Z1116" t="str">
        <f>HYPERLINK("Melting_Curves/meltCurve_sp_P52943_CRIP2_HUMAN_.pdf", "Melting_Curves/meltCurve_sp_P52943_CRIP2_HUMAN_.pdf")</f>
        <v>Melting_Curves/meltCurve_sp_P52943_CRIP2_HUMAN_.pdf</v>
      </c>
      <c r="AA1116" t="s">
        <v>11981</v>
      </c>
      <c r="AB1116" t="s">
        <v>15542</v>
      </c>
    </row>
    <row r="1117" spans="1:28" x14ac:dyDescent="0.25">
      <c r="A1117" t="s">
        <v>1121</v>
      </c>
      <c r="B1117">
        <v>0.98018197421672304</v>
      </c>
      <c r="C1117">
        <v>0.91883555808581896</v>
      </c>
      <c r="D1117">
        <v>0.89336344889124997</v>
      </c>
      <c r="E1117">
        <v>0.66052191803339</v>
      </c>
      <c r="F1117">
        <v>0.38566101990832702</v>
      </c>
      <c r="G1117">
        <v>0.18004460091687599</v>
      </c>
      <c r="H1117">
        <v>0.12560347317633799</v>
      </c>
      <c r="I1117">
        <v>7.2264450643901093E-2</v>
      </c>
      <c r="J1117">
        <v>0.20873349173741401</v>
      </c>
      <c r="K1117">
        <v>5.2796401870663603E-2</v>
      </c>
      <c r="L1117">
        <v>987.54511414617798</v>
      </c>
      <c r="M1117">
        <v>19.351942218818198</v>
      </c>
      <c r="N1117">
        <v>51.5886300010486</v>
      </c>
      <c r="O1117">
        <v>50.495272767243797</v>
      </c>
      <c r="P1117">
        <v>-8.6768919576432402E-2</v>
      </c>
      <c r="Q1117">
        <v>9.4404922869672905E-2</v>
      </c>
      <c r="R1117">
        <v>0.984686589817233</v>
      </c>
      <c r="S1117" t="s">
        <v>4746</v>
      </c>
      <c r="T1117" t="s">
        <v>7256</v>
      </c>
      <c r="U1117" t="s">
        <v>7256</v>
      </c>
      <c r="V1117" t="s">
        <v>7256</v>
      </c>
      <c r="W1117">
        <v>3</v>
      </c>
      <c r="X1117" t="s">
        <v>8373</v>
      </c>
      <c r="Y1117">
        <v>0.44075037044165749</v>
      </c>
      <c r="Z1117" t="str">
        <f>HYPERLINK("Melting_Curves/meltCurve_sp_P53004_BIEA_HUMAN_.pdf", "Melting_Curves/meltCurve_sp_P53004_BIEA_HUMAN_.pdf")</f>
        <v>Melting_Curves/meltCurve_sp_P53004_BIEA_HUMAN_.pdf</v>
      </c>
      <c r="AA1117" t="s">
        <v>11982</v>
      </c>
      <c r="AB1117" t="s">
        <v>15543</v>
      </c>
    </row>
    <row r="1118" spans="1:28" x14ac:dyDescent="0.25">
      <c r="A1118" t="s">
        <v>1122</v>
      </c>
      <c r="B1118">
        <v>0.98018197421672304</v>
      </c>
      <c r="C1118">
        <v>0.93800942631078399</v>
      </c>
      <c r="D1118">
        <v>0.92849587779241505</v>
      </c>
      <c r="E1118">
        <v>0.58336767061106798</v>
      </c>
      <c r="F1118">
        <v>0.24829600143119601</v>
      </c>
      <c r="G1118">
        <v>0.12635235865295699</v>
      </c>
      <c r="H1118">
        <v>9.0064705959975802E-2</v>
      </c>
      <c r="I1118">
        <v>7.9284783476771703E-2</v>
      </c>
      <c r="J1118">
        <v>9.4271006625499906E-2</v>
      </c>
      <c r="K1118">
        <v>7.0264720911595899E-2</v>
      </c>
      <c r="L1118">
        <v>1350.9705650025001</v>
      </c>
      <c r="M1118">
        <v>26.879705487728302</v>
      </c>
      <c r="N1118">
        <v>50.590395497287503</v>
      </c>
      <c r="O1118">
        <v>49.984168861119002</v>
      </c>
      <c r="P1118">
        <v>-0.12361600348913999</v>
      </c>
      <c r="Q1118">
        <v>8.0528563213237606E-2</v>
      </c>
      <c r="R1118">
        <v>0.99728229548006497</v>
      </c>
      <c r="S1118" t="s">
        <v>4747</v>
      </c>
      <c r="T1118" t="s">
        <v>7256</v>
      </c>
      <c r="U1118" t="s">
        <v>7256</v>
      </c>
      <c r="V1118" t="s">
        <v>7256</v>
      </c>
      <c r="W1118">
        <v>4</v>
      </c>
      <c r="X1118" t="s">
        <v>8374</v>
      </c>
      <c r="Y1118">
        <v>0.40210933699320128</v>
      </c>
      <c r="Z1118" t="str">
        <f>HYPERLINK("Melting_Curves/meltCurve_sp_P53367_ARFP1_HUMAN_.pdf", "Melting_Curves/meltCurve_sp_P53367_ARFP1_HUMAN_.pdf")</f>
        <v>Melting_Curves/meltCurve_sp_P53367_ARFP1_HUMAN_.pdf</v>
      </c>
      <c r="AA1118" t="s">
        <v>11983</v>
      </c>
      <c r="AB1118" t="s">
        <v>15544</v>
      </c>
    </row>
    <row r="1119" spans="1:28" x14ac:dyDescent="0.25">
      <c r="A1119" t="s">
        <v>1123</v>
      </c>
      <c r="B1119">
        <v>0.98018197421672304</v>
      </c>
      <c r="C1119">
        <v>0.93439092326134199</v>
      </c>
      <c r="D1119">
        <v>0.90497785950177501</v>
      </c>
      <c r="E1119">
        <v>0.80422894845679804</v>
      </c>
      <c r="F1119">
        <v>0.71041358645653896</v>
      </c>
      <c r="G1119">
        <v>0.48266566700555202</v>
      </c>
      <c r="H1119">
        <v>0.207021913520155</v>
      </c>
      <c r="I1119">
        <v>9.7072123535058397E-2</v>
      </c>
      <c r="J1119">
        <v>7.6965973188786896E-2</v>
      </c>
      <c r="K1119">
        <v>6.7729960840678394E-2</v>
      </c>
      <c r="L1119">
        <v>785.73640015503702</v>
      </c>
      <c r="M1119">
        <v>14.0613032247518</v>
      </c>
      <c r="N1119">
        <v>55.879344011166999</v>
      </c>
      <c r="O1119">
        <v>54.785541852019897</v>
      </c>
      <c r="P1119">
        <v>-6.4173528719549205E-2</v>
      </c>
      <c r="Q1119">
        <v>0</v>
      </c>
      <c r="R1119">
        <v>0.99006718762142498</v>
      </c>
      <c r="S1119" t="s">
        <v>4748</v>
      </c>
      <c r="T1119" t="s">
        <v>7256</v>
      </c>
      <c r="U1119" t="s">
        <v>7256</v>
      </c>
      <c r="V1119" t="s">
        <v>7256</v>
      </c>
      <c r="W1119">
        <v>9</v>
      </c>
      <c r="X1119" t="s">
        <v>8375</v>
      </c>
      <c r="Y1119">
        <v>0.54822790479048178</v>
      </c>
      <c r="Z1119" t="str">
        <f>HYPERLINK("Melting_Curves/meltCurve_sp_P53370_NUDT6_HUMAN_.pdf", "Melting_Curves/meltCurve_sp_P53370_NUDT6_HUMAN_.pdf")</f>
        <v>Melting_Curves/meltCurve_sp_P53370_NUDT6_HUMAN_.pdf</v>
      </c>
      <c r="AA1119" t="s">
        <v>11984</v>
      </c>
      <c r="AB1119" t="s">
        <v>15545</v>
      </c>
    </row>
    <row r="1120" spans="1:28" x14ac:dyDescent="0.25">
      <c r="A1120" t="s">
        <v>1124</v>
      </c>
      <c r="B1120">
        <v>0.98018197421672304</v>
      </c>
      <c r="C1120">
        <v>1.0154080461322901</v>
      </c>
      <c r="D1120">
        <v>0.89073937707249595</v>
      </c>
      <c r="E1120">
        <v>0.59870420629909804</v>
      </c>
      <c r="F1120">
        <v>0.28450604945514302</v>
      </c>
      <c r="G1120">
        <v>0.114647970747126</v>
      </c>
      <c r="H1120">
        <v>4.75828263202243E-2</v>
      </c>
      <c r="I1120">
        <v>3.6724370991187201E-2</v>
      </c>
      <c r="J1120">
        <v>2.8475422233721102E-2</v>
      </c>
      <c r="K1120">
        <v>1.95983395744177E-2</v>
      </c>
      <c r="L1120">
        <v>1114.48192666366</v>
      </c>
      <c r="M1120">
        <v>21.9747547898242</v>
      </c>
      <c r="N1120">
        <v>50.830819879862197</v>
      </c>
      <c r="O1120">
        <v>50.302092853830899</v>
      </c>
      <c r="P1120">
        <v>-0.10658245506014299</v>
      </c>
      <c r="Q1120">
        <v>2.4116945984755701E-2</v>
      </c>
      <c r="R1120">
        <v>0.99872120357078997</v>
      </c>
      <c r="S1120" t="s">
        <v>4749</v>
      </c>
      <c r="T1120" t="s">
        <v>7256</v>
      </c>
      <c r="U1120" t="s">
        <v>7256</v>
      </c>
      <c r="V1120" t="s">
        <v>7256</v>
      </c>
      <c r="W1120">
        <v>3</v>
      </c>
      <c r="X1120" t="s">
        <v>8376</v>
      </c>
      <c r="Y1120">
        <v>0.38403492728894478</v>
      </c>
      <c r="Z1120" t="str">
        <f>HYPERLINK("Melting_Curves/meltCurve_sp_P53384_2_NUBP1_HUMAN_.pdf", "Melting_Curves/meltCurve_sp_P53384_2_NUBP1_HUMAN_.pdf")</f>
        <v>Melting_Curves/meltCurve_sp_P53384_2_NUBP1_HUMAN_.pdf</v>
      </c>
      <c r="AA1120" t="s">
        <v>11985</v>
      </c>
      <c r="AB1120" t="s">
        <v>15546</v>
      </c>
    </row>
    <row r="1121" spans="1:28" x14ac:dyDescent="0.25">
      <c r="A1121" t="s">
        <v>1125</v>
      </c>
      <c r="B1121">
        <v>0.98018197421672304</v>
      </c>
      <c r="C1121">
        <v>0.98003342696180196</v>
      </c>
      <c r="D1121">
        <v>0.87649383905387301</v>
      </c>
      <c r="E1121">
        <v>0.62432417196305601</v>
      </c>
      <c r="F1121">
        <v>0.20537794433605999</v>
      </c>
      <c r="G1121">
        <v>0.125062579439573</v>
      </c>
      <c r="H1121">
        <v>7.9412180390947398E-2</v>
      </c>
      <c r="I1121">
        <v>5.9707914598044698E-2</v>
      </c>
      <c r="J1121">
        <v>7.2184214159677504E-2</v>
      </c>
      <c r="K1121">
        <v>6.9406247970274101E-2</v>
      </c>
      <c r="L1121">
        <v>1387.8568387404</v>
      </c>
      <c r="M1121">
        <v>27.559069719223199</v>
      </c>
      <c r="N1121">
        <v>50.622207078830698</v>
      </c>
      <c r="O1121">
        <v>50.096438652192298</v>
      </c>
      <c r="P1121">
        <v>-0.12836258403713199</v>
      </c>
      <c r="Q1121">
        <v>6.6666791861041103E-2</v>
      </c>
      <c r="R1121">
        <v>0.99384388306662697</v>
      </c>
      <c r="S1121" t="s">
        <v>4750</v>
      </c>
      <c r="T1121" t="s">
        <v>7256</v>
      </c>
      <c r="U1121" t="s">
        <v>7256</v>
      </c>
      <c r="V1121" t="s">
        <v>7256</v>
      </c>
      <c r="W1121">
        <v>33</v>
      </c>
      <c r="X1121" t="s">
        <v>8377</v>
      </c>
      <c r="Y1121">
        <v>0.39584614962152809</v>
      </c>
      <c r="Z1121" t="str">
        <f>HYPERLINK("Melting_Curves/meltCurve_sp_P53396_ACLY_HUMAN_.pdf", "Melting_Curves/meltCurve_sp_P53396_ACLY_HUMAN_.pdf")</f>
        <v>Melting_Curves/meltCurve_sp_P53396_ACLY_HUMAN_.pdf</v>
      </c>
      <c r="AA1121" t="s">
        <v>11986</v>
      </c>
      <c r="AB1121" t="s">
        <v>15547</v>
      </c>
    </row>
    <row r="1122" spans="1:28" x14ac:dyDescent="0.25">
      <c r="A1122" t="s">
        <v>1126</v>
      </c>
      <c r="B1122">
        <v>0.98018197421672304</v>
      </c>
      <c r="C1122">
        <v>0.77511798449900904</v>
      </c>
      <c r="D1122">
        <v>0.97023048311607796</v>
      </c>
      <c r="E1122">
        <v>0.57297758553476497</v>
      </c>
      <c r="F1122">
        <v>0.13010328536210899</v>
      </c>
      <c r="G1122">
        <v>7.5108672363307399E-2</v>
      </c>
      <c r="H1122">
        <v>4.3396925185368099E-2</v>
      </c>
      <c r="I1122">
        <v>3.3138656244347801E-2</v>
      </c>
      <c r="J1122">
        <v>4.3746133768363601E-2</v>
      </c>
      <c r="K1122">
        <v>2.38672331099558E-2</v>
      </c>
      <c r="L1122">
        <v>2029.96216252563</v>
      </c>
      <c r="M1122">
        <v>40.403965121343703</v>
      </c>
      <c r="N1122">
        <v>50.345427689538603</v>
      </c>
      <c r="O1122">
        <v>50.119053950043003</v>
      </c>
      <c r="P1122">
        <v>-0.19348657605741201</v>
      </c>
      <c r="Q1122">
        <v>3.9961100017891597E-2</v>
      </c>
      <c r="R1122">
        <v>0.96604404331442595</v>
      </c>
      <c r="S1122" t="s">
        <v>4751</v>
      </c>
      <c r="T1122" t="s">
        <v>7256</v>
      </c>
      <c r="U1122" t="s">
        <v>7256</v>
      </c>
      <c r="V1122" t="s">
        <v>7256</v>
      </c>
      <c r="W1122">
        <v>10</v>
      </c>
      <c r="X1122" t="s">
        <v>8378</v>
      </c>
      <c r="Y1122">
        <v>0.37097535716671132</v>
      </c>
      <c r="Z1122" t="str">
        <f>HYPERLINK("Melting_Curves/meltCurve_sp_P53597_SUCA_HUMAN_.pdf", "Melting_Curves/meltCurve_sp_P53597_SUCA_HUMAN_.pdf")</f>
        <v>Melting_Curves/meltCurve_sp_P53597_SUCA_HUMAN_.pdf</v>
      </c>
      <c r="AA1122" t="s">
        <v>11987</v>
      </c>
      <c r="AB1122" t="s">
        <v>15548</v>
      </c>
    </row>
    <row r="1123" spans="1:28" x14ac:dyDescent="0.25">
      <c r="A1123" t="s">
        <v>1127</v>
      </c>
      <c r="B1123">
        <v>0.98018197421672304</v>
      </c>
      <c r="C1123">
        <v>0.93907884194955404</v>
      </c>
      <c r="D1123">
        <v>0.937183745043628</v>
      </c>
      <c r="E1123">
        <v>0.75667507839826198</v>
      </c>
      <c r="F1123">
        <v>0.31122495193783001</v>
      </c>
      <c r="G1123">
        <v>0.120938882851017</v>
      </c>
      <c r="H1123">
        <v>6.9864975220762404E-2</v>
      </c>
      <c r="I1123">
        <v>5.5568452954687098E-2</v>
      </c>
      <c r="J1123">
        <v>6.1548049227808203E-2</v>
      </c>
      <c r="K1123">
        <v>4.7392355911123701E-2</v>
      </c>
      <c r="L1123">
        <v>1647.76963450315</v>
      </c>
      <c r="M1123">
        <v>32.002290358918799</v>
      </c>
      <c r="N1123">
        <v>51.692845824056</v>
      </c>
      <c r="O1123">
        <v>51.289333779388699</v>
      </c>
      <c r="P1123">
        <v>-0.14674743684885</v>
      </c>
      <c r="Q1123">
        <v>5.9250141123782199E-2</v>
      </c>
      <c r="R1123">
        <v>0.99558272653068902</v>
      </c>
      <c r="S1123" t="s">
        <v>4752</v>
      </c>
      <c r="T1123" t="s">
        <v>7256</v>
      </c>
      <c r="U1123" t="s">
        <v>7256</v>
      </c>
      <c r="V1123" t="s">
        <v>7256</v>
      </c>
      <c r="W1123">
        <v>10</v>
      </c>
      <c r="X1123" t="s">
        <v>8379</v>
      </c>
      <c r="Y1123">
        <v>0.42476980838193262</v>
      </c>
      <c r="Z1123" t="str">
        <f>HYPERLINK("Melting_Curves/meltCurve_sp_P53602_MVD1_HUMAN_.pdf", "Melting_Curves/meltCurve_sp_P53602_MVD1_HUMAN_.pdf")</f>
        <v>Melting_Curves/meltCurve_sp_P53602_MVD1_HUMAN_.pdf</v>
      </c>
      <c r="AA1123" t="s">
        <v>11988</v>
      </c>
      <c r="AB1123" t="s">
        <v>15549</v>
      </c>
    </row>
    <row r="1124" spans="1:28" x14ac:dyDescent="0.25">
      <c r="A1124" t="s">
        <v>1128</v>
      </c>
      <c r="B1124">
        <v>0.98018197421672304</v>
      </c>
      <c r="C1124">
        <v>0.93060799643924097</v>
      </c>
      <c r="D1124">
        <v>0.95914715151401297</v>
      </c>
      <c r="E1124">
        <v>0.82305531032178803</v>
      </c>
      <c r="F1124">
        <v>0.61803868477121904</v>
      </c>
      <c r="G1124">
        <v>0.22805058134513201</v>
      </c>
      <c r="H1124">
        <v>7.3139476066853698E-2</v>
      </c>
      <c r="I1124">
        <v>4.8475091524910897E-2</v>
      </c>
      <c r="J1124">
        <v>3.31195177265848E-2</v>
      </c>
      <c r="K1124">
        <v>4.3383203792984701E-2</v>
      </c>
      <c r="L1124">
        <v>1172.80487384445</v>
      </c>
      <c r="M1124">
        <v>21.797751782632499</v>
      </c>
      <c r="N1124">
        <v>53.901267314678996</v>
      </c>
      <c r="O1124">
        <v>53.357241444002199</v>
      </c>
      <c r="P1124">
        <v>-0.100162584299787</v>
      </c>
      <c r="Q1124">
        <v>1.9297862946070599E-2</v>
      </c>
      <c r="R1124">
        <v>0.99573669520377195</v>
      </c>
      <c r="S1124" t="s">
        <v>4753</v>
      </c>
      <c r="T1124" t="s">
        <v>7256</v>
      </c>
      <c r="U1124" t="s">
        <v>7256</v>
      </c>
      <c r="V1124" t="s">
        <v>7256</v>
      </c>
      <c r="W1124">
        <v>3</v>
      </c>
      <c r="X1124" t="s">
        <v>8380</v>
      </c>
      <c r="Y1124">
        <v>0.4821224610106209</v>
      </c>
      <c r="Z1124" t="str">
        <f>HYPERLINK("Melting_Curves/meltCurve_sp_P53609_PGTB1_HUMAN_.pdf", "Melting_Curves/meltCurve_sp_P53609_PGTB1_HUMAN_.pdf")</f>
        <v>Melting_Curves/meltCurve_sp_P53609_PGTB1_HUMAN_.pdf</v>
      </c>
      <c r="AA1124" t="s">
        <v>11989</v>
      </c>
      <c r="AB1124" t="s">
        <v>15550</v>
      </c>
    </row>
    <row r="1125" spans="1:28" x14ac:dyDescent="0.25">
      <c r="A1125" t="s">
        <v>1129</v>
      </c>
      <c r="B1125">
        <v>0.98018197421672304</v>
      </c>
      <c r="C1125">
        <v>0.93580790534254499</v>
      </c>
      <c r="D1125">
        <v>0.92306651608806101</v>
      </c>
      <c r="E1125">
        <v>0.75912996919426301</v>
      </c>
      <c r="F1125">
        <v>0.58929087544318404</v>
      </c>
      <c r="G1125">
        <v>0.20915466505102401</v>
      </c>
      <c r="H1125">
        <v>6.5997424865895798E-2</v>
      </c>
      <c r="I1125">
        <v>4.3214549559315703E-2</v>
      </c>
      <c r="J1125">
        <v>3.8853794769784497E-2</v>
      </c>
      <c r="K1125">
        <v>2.6686533490161101E-2</v>
      </c>
      <c r="L1125">
        <v>987.49728100482002</v>
      </c>
      <c r="M1125">
        <v>18.4806288227858</v>
      </c>
      <c r="N1125">
        <v>53.434182515329297</v>
      </c>
      <c r="O1125">
        <v>52.820292024367198</v>
      </c>
      <c r="P1125">
        <v>-8.74732133846087E-2</v>
      </c>
      <c r="Q1125">
        <v>0</v>
      </c>
      <c r="R1125">
        <v>0.99417424363316798</v>
      </c>
      <c r="S1125" t="s">
        <v>4754</v>
      </c>
      <c r="T1125" t="s">
        <v>7256</v>
      </c>
      <c r="U1125" t="s">
        <v>7256</v>
      </c>
      <c r="V1125" t="s">
        <v>7256</v>
      </c>
      <c r="W1125">
        <v>5</v>
      </c>
      <c r="X1125" t="s">
        <v>8381</v>
      </c>
      <c r="Y1125">
        <v>0.46337704837155907</v>
      </c>
      <c r="Z1125" t="str">
        <f>HYPERLINK("Melting_Curves/meltCurve_sp_P53611_PGTB2_HUMAN_.pdf", "Melting_Curves/meltCurve_sp_P53611_PGTB2_HUMAN_.pdf")</f>
        <v>Melting_Curves/meltCurve_sp_P53611_PGTB2_HUMAN_.pdf</v>
      </c>
      <c r="AA1125" t="s">
        <v>11990</v>
      </c>
      <c r="AB1125" t="s">
        <v>15551</v>
      </c>
    </row>
    <row r="1126" spans="1:28" x14ac:dyDescent="0.25">
      <c r="A1126" t="s">
        <v>1130</v>
      </c>
      <c r="B1126">
        <v>0.98018197421672304</v>
      </c>
      <c r="C1126">
        <v>0.88586615335405805</v>
      </c>
      <c r="D1126">
        <v>0.904509628247677</v>
      </c>
      <c r="E1126">
        <v>0.66891826888908601</v>
      </c>
      <c r="F1126">
        <v>0.33737388224439002</v>
      </c>
      <c r="G1126">
        <v>0.139747393897795</v>
      </c>
      <c r="H1126">
        <v>7.4837522028396497E-2</v>
      </c>
      <c r="I1126">
        <v>5.75331942555996E-2</v>
      </c>
      <c r="J1126">
        <v>6.7561772206460799E-2</v>
      </c>
      <c r="K1126">
        <v>5.0529869622610003E-2</v>
      </c>
      <c r="L1126">
        <v>1051.4654500737399</v>
      </c>
      <c r="M1126">
        <v>20.552031491647799</v>
      </c>
      <c r="N1126">
        <v>51.395617792940797</v>
      </c>
      <c r="O1126">
        <v>50.684155565012603</v>
      </c>
      <c r="P1126">
        <v>-9.6839523998920304E-2</v>
      </c>
      <c r="Q1126">
        <v>4.4749164494931201E-2</v>
      </c>
      <c r="R1126">
        <v>0.99183766278057905</v>
      </c>
      <c r="S1126" t="s">
        <v>4755</v>
      </c>
      <c r="T1126" t="s">
        <v>7256</v>
      </c>
      <c r="U1126" t="s">
        <v>7256</v>
      </c>
      <c r="V1126" t="s">
        <v>7256</v>
      </c>
      <c r="W1126">
        <v>30</v>
      </c>
      <c r="X1126" t="s">
        <v>8382</v>
      </c>
      <c r="Y1126">
        <v>0.4127369051063407</v>
      </c>
      <c r="Z1126" t="str">
        <f>HYPERLINK("Melting_Curves/meltCurve_sp_P53618_COPB_HUMAN_.pdf", "Melting_Curves/meltCurve_sp_P53618_COPB_HUMAN_.pdf")</f>
        <v>Melting_Curves/meltCurve_sp_P53618_COPB_HUMAN_.pdf</v>
      </c>
      <c r="AA1126" t="s">
        <v>11991</v>
      </c>
      <c r="AB1126" t="s">
        <v>15308</v>
      </c>
    </row>
    <row r="1127" spans="1:28" x14ac:dyDescent="0.25">
      <c r="A1127" t="s">
        <v>1131</v>
      </c>
      <c r="B1127">
        <v>0.98018197421672304</v>
      </c>
      <c r="C1127">
        <v>0.88641498277163</v>
      </c>
      <c r="D1127">
        <v>0.90488377935851805</v>
      </c>
      <c r="E1127">
        <v>0.67766774105751704</v>
      </c>
      <c r="F1127">
        <v>0.31313191011758801</v>
      </c>
      <c r="G1127">
        <v>0.122217504265429</v>
      </c>
      <c r="H1127">
        <v>8.3616159608918994E-2</v>
      </c>
      <c r="I1127">
        <v>6.3341162991988706E-2</v>
      </c>
      <c r="J1127">
        <v>6.3609892154354794E-2</v>
      </c>
      <c r="K1127">
        <v>6.1597827437878498E-2</v>
      </c>
      <c r="L1127">
        <v>1176.81147399515</v>
      </c>
      <c r="M1127">
        <v>23.0517000413214</v>
      </c>
      <c r="N1127">
        <v>51.309822454354901</v>
      </c>
      <c r="O1127">
        <v>50.671404046282703</v>
      </c>
      <c r="P1127">
        <v>-0.107490049363862</v>
      </c>
      <c r="Q1127">
        <v>5.4894340424918503E-2</v>
      </c>
      <c r="R1127">
        <v>0.99044345229089703</v>
      </c>
      <c r="S1127" t="s">
        <v>4756</v>
      </c>
      <c r="T1127" t="s">
        <v>7256</v>
      </c>
      <c r="U1127" t="s">
        <v>7256</v>
      </c>
      <c r="V1127" t="s">
        <v>7256</v>
      </c>
      <c r="W1127">
        <v>37</v>
      </c>
      <c r="X1127" t="s">
        <v>8383</v>
      </c>
      <c r="Y1127">
        <v>0.41304744600690219</v>
      </c>
      <c r="Z1127" t="str">
        <f>HYPERLINK("Melting_Curves/meltCurve_sp_P53621_COPA_HUMAN_.pdf", "Melting_Curves/meltCurve_sp_P53621_COPA_HUMAN_.pdf")</f>
        <v>Melting_Curves/meltCurve_sp_P53621_COPA_HUMAN_.pdf</v>
      </c>
      <c r="AA1127" t="s">
        <v>11992</v>
      </c>
      <c r="AB1127" t="s">
        <v>15552</v>
      </c>
    </row>
    <row r="1128" spans="1:28" x14ac:dyDescent="0.25">
      <c r="A1128" t="s">
        <v>1132</v>
      </c>
      <c r="B1128">
        <v>0.98018197421672304</v>
      </c>
      <c r="C1128">
        <v>0.98835791371278703</v>
      </c>
      <c r="D1128">
        <v>0.91106248324257699</v>
      </c>
      <c r="E1128">
        <v>0.780928374205899</v>
      </c>
      <c r="F1128">
        <v>0.70331009920503895</v>
      </c>
      <c r="G1128">
        <v>0.57486081111660003</v>
      </c>
      <c r="H1128">
        <v>0.352267165008322</v>
      </c>
      <c r="I1128">
        <v>0.28044962221173803</v>
      </c>
      <c r="J1128">
        <v>0.25299807826044701</v>
      </c>
      <c r="K1128">
        <v>0.26268877097558102</v>
      </c>
      <c r="L1128">
        <v>607.78087472662696</v>
      </c>
      <c r="M1128">
        <v>10.8901841809949</v>
      </c>
      <c r="N1128">
        <v>57.582952360588699</v>
      </c>
      <c r="O1128">
        <v>54.027021296106298</v>
      </c>
      <c r="P1128">
        <v>-4.32295027335707E-2</v>
      </c>
      <c r="Q1128">
        <v>0.14244148695776199</v>
      </c>
      <c r="R1128">
        <v>0.99053384880279505</v>
      </c>
      <c r="S1128" t="s">
        <v>4757</v>
      </c>
      <c r="T1128" t="s">
        <v>7256</v>
      </c>
      <c r="U1128" t="s">
        <v>7256</v>
      </c>
      <c r="V1128" t="s">
        <v>7256</v>
      </c>
      <c r="W1128">
        <v>6</v>
      </c>
      <c r="X1128" t="s">
        <v>8384</v>
      </c>
      <c r="Y1128">
        <v>0.6130139567530819</v>
      </c>
      <c r="Z1128" t="str">
        <f>HYPERLINK("Melting_Curves/meltCurve_sp_P53634_CATC_HUMAN_.pdf", "Melting_Curves/meltCurve_sp_P53634_CATC_HUMAN_.pdf")</f>
        <v>Melting_Curves/meltCurve_sp_P53634_CATC_HUMAN_.pdf</v>
      </c>
      <c r="AA1128" t="s">
        <v>11993</v>
      </c>
      <c r="AB1128" t="s">
        <v>15553</v>
      </c>
    </row>
    <row r="1129" spans="1:28" x14ac:dyDescent="0.25">
      <c r="A1129" t="s">
        <v>1133</v>
      </c>
      <c r="B1129">
        <v>0.98018197421672304</v>
      </c>
      <c r="C1129">
        <v>0.87555214608455201</v>
      </c>
      <c r="D1129">
        <v>0.82524109993403805</v>
      </c>
      <c r="E1129">
        <v>0.46487897076147</v>
      </c>
      <c r="F1129">
        <v>7.6978078107864598E-2</v>
      </c>
      <c r="G1129">
        <v>5.5555015247665603E-2</v>
      </c>
      <c r="H1129">
        <v>3.2673252100267301E-2</v>
      </c>
      <c r="I1129">
        <v>1.79717642866025E-2</v>
      </c>
      <c r="J1129">
        <v>0</v>
      </c>
      <c r="K1129">
        <v>1.64216516566233E-2</v>
      </c>
      <c r="L1129">
        <v>1126.79458277866</v>
      </c>
      <c r="M1129">
        <v>22.9282546628741</v>
      </c>
      <c r="N1129">
        <v>49.163053535298303</v>
      </c>
      <c r="O1129">
        <v>48.775110401363797</v>
      </c>
      <c r="P1129">
        <v>-0.117012640661714</v>
      </c>
      <c r="Q1129">
        <v>4.3382903977806997E-3</v>
      </c>
      <c r="R1129">
        <v>0.98693958493173695</v>
      </c>
      <c r="S1129" t="s">
        <v>4758</v>
      </c>
      <c r="T1129" t="s">
        <v>7256</v>
      </c>
      <c r="U1129" t="s">
        <v>7256</v>
      </c>
      <c r="V1129" t="s">
        <v>7256</v>
      </c>
      <c r="W1129">
        <v>9</v>
      </c>
      <c r="X1129" t="s">
        <v>8385</v>
      </c>
      <c r="Y1129">
        <v>0.31837422718951519</v>
      </c>
      <c r="Z1129" t="str">
        <f>HYPERLINK("Melting_Curves/meltCurve_sp_P53675_2_CLH2_HUMAN_.pdf", "Melting_Curves/meltCurve_sp_P53675_2_CLH2_HUMAN_.pdf")</f>
        <v>Melting_Curves/meltCurve_sp_P53675_2_CLH2_HUMAN_.pdf</v>
      </c>
      <c r="AA1129" t="s">
        <v>11994</v>
      </c>
      <c r="AB1129" t="s">
        <v>15554</v>
      </c>
    </row>
    <row r="1130" spans="1:28" x14ac:dyDescent="0.25">
      <c r="A1130" t="s">
        <v>1134</v>
      </c>
      <c r="B1130">
        <v>0.98018197421672304</v>
      </c>
      <c r="C1130">
        <v>0.91084329380238005</v>
      </c>
      <c r="D1130">
        <v>0.89092189842128999</v>
      </c>
      <c r="E1130">
        <v>0.69707047329433103</v>
      </c>
      <c r="F1130">
        <v>0.42467570836381202</v>
      </c>
      <c r="G1130">
        <v>0.203894143607349</v>
      </c>
      <c r="H1130">
        <v>0.114603901675893</v>
      </c>
      <c r="I1130">
        <v>0.116139757720933</v>
      </c>
      <c r="J1130">
        <v>7.8244227076636405E-2</v>
      </c>
      <c r="K1130">
        <v>6.7892075458753795E-2</v>
      </c>
      <c r="L1130">
        <v>880.24419131233105</v>
      </c>
      <c r="M1130">
        <v>17.013034846463</v>
      </c>
      <c r="N1130">
        <v>52.120869961099899</v>
      </c>
      <c r="O1130">
        <v>51.0404231561022</v>
      </c>
      <c r="P1130">
        <v>-7.8457916808268399E-2</v>
      </c>
      <c r="Q1130">
        <v>5.8538680727513802E-2</v>
      </c>
      <c r="R1130">
        <v>0.99535088875381095</v>
      </c>
      <c r="S1130" t="s">
        <v>4759</v>
      </c>
      <c r="T1130" t="s">
        <v>7256</v>
      </c>
      <c r="U1130" t="s">
        <v>7256</v>
      </c>
      <c r="V1130" t="s">
        <v>7256</v>
      </c>
      <c r="W1130">
        <v>2</v>
      </c>
      <c r="X1130" t="s">
        <v>8386</v>
      </c>
      <c r="Y1130">
        <v>0.44425530814710179</v>
      </c>
      <c r="Z1130" t="str">
        <f>HYPERLINK("Melting_Curves/meltCurve_sp_P53680_AP2S1_HUMAN_.pdf", "Melting_Curves/meltCurve_sp_P53680_AP2S1_HUMAN_.pdf")</f>
        <v>Melting_Curves/meltCurve_sp_P53680_AP2S1_HUMAN_.pdf</v>
      </c>
      <c r="AA1130" t="s">
        <v>11995</v>
      </c>
      <c r="AB1130" t="s">
        <v>15555</v>
      </c>
    </row>
    <row r="1131" spans="1:28" x14ac:dyDescent="0.25">
      <c r="A1131" t="s">
        <v>1135</v>
      </c>
      <c r="B1131">
        <v>0.98018197421672304</v>
      </c>
      <c r="C1131">
        <v>1.0254316534925301</v>
      </c>
      <c r="D1131">
        <v>0.93545140731475895</v>
      </c>
      <c r="E1131">
        <v>0.76148356590291</v>
      </c>
      <c r="F1131">
        <v>0.48152605220526601</v>
      </c>
      <c r="G1131">
        <v>0.15759018402108901</v>
      </c>
      <c r="H1131">
        <v>0.10241785139221</v>
      </c>
      <c r="I1131">
        <v>8.2348248174448802E-2</v>
      </c>
      <c r="J1131">
        <v>0.15667245773438601</v>
      </c>
      <c r="K1131">
        <v>6.73278971060534E-2</v>
      </c>
      <c r="L1131">
        <v>1293.5098999079901</v>
      </c>
      <c r="M1131">
        <v>24.787927101549901</v>
      </c>
      <c r="N1131">
        <v>52.5954274102168</v>
      </c>
      <c r="O1131">
        <v>51.847005050172498</v>
      </c>
      <c r="P1131">
        <v>-0.108970527779667</v>
      </c>
      <c r="Q1131">
        <v>8.8311775430454098E-2</v>
      </c>
      <c r="R1131">
        <v>0.99410287076681103</v>
      </c>
      <c r="S1131" t="s">
        <v>4760</v>
      </c>
      <c r="T1131" t="s">
        <v>7256</v>
      </c>
      <c r="U1131" t="s">
        <v>7256</v>
      </c>
      <c r="V1131" t="s">
        <v>7256</v>
      </c>
      <c r="W1131">
        <v>6</v>
      </c>
      <c r="X1131" t="s">
        <v>8387</v>
      </c>
      <c r="Y1131">
        <v>0.46702470696306969</v>
      </c>
      <c r="Z1131" t="str">
        <f>HYPERLINK("Melting_Curves/meltCurve_sp_P53990_2_IST1_HUMAN_.pdf", "Melting_Curves/meltCurve_sp_P53990_2_IST1_HUMAN_.pdf")</f>
        <v>Melting_Curves/meltCurve_sp_P53990_2_IST1_HUMAN_.pdf</v>
      </c>
      <c r="AA1131" t="s">
        <v>11996</v>
      </c>
      <c r="AB1131" t="s">
        <v>15556</v>
      </c>
    </row>
    <row r="1132" spans="1:28" x14ac:dyDescent="0.25">
      <c r="A1132" t="s">
        <v>1136</v>
      </c>
      <c r="B1132">
        <v>0.98018197421672304</v>
      </c>
      <c r="C1132">
        <v>0.99041125576976796</v>
      </c>
      <c r="D1132">
        <v>0.93185889432825497</v>
      </c>
      <c r="E1132">
        <v>0.79385035995196396</v>
      </c>
      <c r="F1132">
        <v>0.693593144204664</v>
      </c>
      <c r="G1132">
        <v>0.53232649231692297</v>
      </c>
      <c r="H1132">
        <v>0.35643955709063102</v>
      </c>
      <c r="I1132">
        <v>0.38930796759855701</v>
      </c>
      <c r="J1132">
        <v>0.40290969706722701</v>
      </c>
      <c r="K1132">
        <v>0.53354345591625996</v>
      </c>
      <c r="L1132">
        <v>970.77990708602397</v>
      </c>
      <c r="M1132">
        <v>18.6508101756021</v>
      </c>
      <c r="N1132">
        <v>57.440804063745503</v>
      </c>
      <c r="O1132">
        <v>51.4629520338937</v>
      </c>
      <c r="P1132">
        <v>-5.31738103676343E-2</v>
      </c>
      <c r="Q1132">
        <v>0.41313756945479002</v>
      </c>
      <c r="R1132">
        <v>0.95267703638843804</v>
      </c>
      <c r="S1132" t="s">
        <v>4761</v>
      </c>
      <c r="T1132" t="s">
        <v>7256</v>
      </c>
      <c r="U1132" t="s">
        <v>7256</v>
      </c>
      <c r="V1132" t="s">
        <v>7256</v>
      </c>
      <c r="W1132">
        <v>8</v>
      </c>
      <c r="X1132" t="s">
        <v>8388</v>
      </c>
      <c r="Y1132">
        <v>0.6580480964508123</v>
      </c>
      <c r="Z1132" t="str">
        <f>HYPERLINK("Melting_Curves/meltCurve_sp_P53999_TCP4_HUMAN_.pdf", "Melting_Curves/meltCurve_sp_P53999_TCP4_HUMAN_.pdf")</f>
        <v>Melting_Curves/meltCurve_sp_P53999_TCP4_HUMAN_.pdf</v>
      </c>
      <c r="AA1132" t="s">
        <v>11997</v>
      </c>
      <c r="AB1132" t="s">
        <v>15557</v>
      </c>
    </row>
    <row r="1133" spans="1:28" x14ac:dyDescent="0.25">
      <c r="A1133" t="s">
        <v>1137</v>
      </c>
      <c r="B1133">
        <v>0.98018197421672304</v>
      </c>
      <c r="C1133">
        <v>0.85931271953692601</v>
      </c>
      <c r="D1133">
        <v>0.601625466797994</v>
      </c>
      <c r="E1133">
        <v>0.32826314459448902</v>
      </c>
      <c r="F1133">
        <v>0.20122454558625899</v>
      </c>
      <c r="G1133">
        <v>0.11945292426073099</v>
      </c>
      <c r="H1133">
        <v>4.21702118991567E-2</v>
      </c>
      <c r="I1133">
        <v>3.8789959908883398E-2</v>
      </c>
      <c r="J1133">
        <v>0.101405111698635</v>
      </c>
      <c r="K1133">
        <v>6.5497177468256396E-2</v>
      </c>
      <c r="L1133">
        <v>787.25507022816896</v>
      </c>
      <c r="M1133">
        <v>16.6964509913599</v>
      </c>
      <c r="N1133">
        <v>47.4978270106294</v>
      </c>
      <c r="O1133">
        <v>46.490218055450697</v>
      </c>
      <c r="P1133">
        <v>-8.4638289032757302E-2</v>
      </c>
      <c r="Q1133">
        <v>5.7382227688743397E-2</v>
      </c>
      <c r="R1133">
        <v>0.99520834236294997</v>
      </c>
      <c r="S1133" t="s">
        <v>4762</v>
      </c>
      <c r="T1133" t="s">
        <v>7256</v>
      </c>
      <c r="U1133" t="s">
        <v>7256</v>
      </c>
      <c r="V1133" t="s">
        <v>7256</v>
      </c>
      <c r="W1133">
        <v>1</v>
      </c>
      <c r="X1133" t="s">
        <v>8389</v>
      </c>
      <c r="Y1133">
        <v>0.30236066011538021</v>
      </c>
      <c r="Z1133" t="str">
        <f>HYPERLINK("Melting_Curves/meltCurve_sp_P54098_DPOG1_HUMAN_.pdf", "Melting_Curves/meltCurve_sp_P54098_DPOG1_HUMAN_.pdf")</f>
        <v>Melting_Curves/meltCurve_sp_P54098_DPOG1_HUMAN_.pdf</v>
      </c>
      <c r="AA1133" t="s">
        <v>11998</v>
      </c>
      <c r="AB1133" t="s">
        <v>15558</v>
      </c>
    </row>
    <row r="1134" spans="1:28" x14ac:dyDescent="0.25">
      <c r="A1134" t="s">
        <v>1138</v>
      </c>
      <c r="B1134">
        <v>0.98018197421672304</v>
      </c>
      <c r="C1134">
        <v>0.83890703284169099</v>
      </c>
      <c r="D1134">
        <v>0.44789436832406199</v>
      </c>
      <c r="E1134">
        <v>0.140648455340323</v>
      </c>
      <c r="F1134">
        <v>6.7527179634289794E-2</v>
      </c>
      <c r="G1134">
        <v>4.5771434327417697E-2</v>
      </c>
      <c r="H1134">
        <v>3.1034562822252601E-2</v>
      </c>
      <c r="I1134">
        <v>2.6329860571501801E-2</v>
      </c>
      <c r="J1134">
        <v>2.7001453401525499E-2</v>
      </c>
      <c r="K1134">
        <v>1.7207692123479001E-2</v>
      </c>
      <c r="L1134">
        <v>1131.58611689288</v>
      </c>
      <c r="M1134">
        <v>24.8279659871069</v>
      </c>
      <c r="N1134">
        <v>45.692700086594201</v>
      </c>
      <c r="O1134">
        <v>45.284474762821802</v>
      </c>
      <c r="P1134">
        <v>-0.13289593563424601</v>
      </c>
      <c r="Q1134">
        <v>3.0441552112791901E-2</v>
      </c>
      <c r="R1134">
        <v>0.99929343614299004</v>
      </c>
      <c r="S1134" t="s">
        <v>4763</v>
      </c>
      <c r="T1134" t="s">
        <v>7256</v>
      </c>
      <c r="U1134" t="s">
        <v>7256</v>
      </c>
      <c r="V1134" t="s">
        <v>7256</v>
      </c>
      <c r="W1134">
        <v>19</v>
      </c>
      <c r="X1134" t="s">
        <v>8390</v>
      </c>
      <c r="Y1134">
        <v>0.22002503995207251</v>
      </c>
      <c r="Z1134" t="str">
        <f>HYPERLINK("Melting_Curves/meltCurve_sp_P54136_SYRC_HUMAN_.pdf", "Melting_Curves/meltCurve_sp_P54136_SYRC_HUMAN_.pdf")</f>
        <v>Melting_Curves/meltCurve_sp_P54136_SYRC_HUMAN_.pdf</v>
      </c>
      <c r="AA1134" t="s">
        <v>11999</v>
      </c>
      <c r="AB1134" t="s">
        <v>15559</v>
      </c>
    </row>
    <row r="1135" spans="1:28" x14ac:dyDescent="0.25">
      <c r="A1135" t="s">
        <v>1139</v>
      </c>
      <c r="B1135">
        <v>0.98018197421672304</v>
      </c>
      <c r="C1135">
        <v>0.87494186925707895</v>
      </c>
      <c r="D1135">
        <v>0.70642266093620398</v>
      </c>
      <c r="E1135">
        <v>0.31918825596283501</v>
      </c>
      <c r="F1135">
        <v>0.148766292368776</v>
      </c>
      <c r="G1135">
        <v>9.9159450176775105E-2</v>
      </c>
      <c r="H1135">
        <v>6.8005162364503602E-2</v>
      </c>
      <c r="I1135">
        <v>5.44556492750191E-2</v>
      </c>
      <c r="J1135">
        <v>7.7538913634117301E-2</v>
      </c>
      <c r="K1135">
        <v>4.7351283100194201E-2</v>
      </c>
      <c r="L1135">
        <v>945.41854884612997</v>
      </c>
      <c r="M1135">
        <v>19.851246440604399</v>
      </c>
      <c r="N1135">
        <v>47.907570271034203</v>
      </c>
      <c r="O1135">
        <v>47.1497644913836</v>
      </c>
      <c r="P1135">
        <v>-9.9447543588919801E-2</v>
      </c>
      <c r="Q1135">
        <v>5.5219014399571401E-2</v>
      </c>
      <c r="R1135">
        <v>0.99823930273487904</v>
      </c>
      <c r="S1135" t="s">
        <v>4764</v>
      </c>
      <c r="T1135" t="s">
        <v>7256</v>
      </c>
      <c r="U1135" t="s">
        <v>7256</v>
      </c>
      <c r="V1135" t="s">
        <v>7256</v>
      </c>
      <c r="W1135">
        <v>20</v>
      </c>
      <c r="X1135" t="s">
        <v>8391</v>
      </c>
      <c r="Y1135">
        <v>0.30912148067877621</v>
      </c>
      <c r="Z1135" t="str">
        <f>HYPERLINK("Melting_Curves/meltCurve_sp_P54577_SYYC_HUMAN_.pdf", "Melting_Curves/meltCurve_sp_P54577_SYYC_HUMAN_.pdf")</f>
        <v>Melting_Curves/meltCurve_sp_P54577_SYYC_HUMAN_.pdf</v>
      </c>
      <c r="AA1135" t="s">
        <v>12000</v>
      </c>
      <c r="AB1135" t="s">
        <v>15560</v>
      </c>
    </row>
    <row r="1136" spans="1:28" x14ac:dyDescent="0.25">
      <c r="A1136" t="s">
        <v>1140</v>
      </c>
      <c r="B1136">
        <v>0.98018197421672304</v>
      </c>
      <c r="C1136">
        <v>0.93577013259186503</v>
      </c>
      <c r="D1136">
        <v>0.94259462613420897</v>
      </c>
      <c r="E1136">
        <v>0.84511130869985396</v>
      </c>
      <c r="F1136">
        <v>0.46401612908016898</v>
      </c>
      <c r="G1136">
        <v>0.15159297361070001</v>
      </c>
      <c r="H1136">
        <v>7.3040563551670101E-2</v>
      </c>
      <c r="I1136">
        <v>5.2078585904302199E-2</v>
      </c>
      <c r="J1136">
        <v>4.9794513512018003E-2</v>
      </c>
      <c r="K1136">
        <v>3.7888485708774497E-2</v>
      </c>
      <c r="L1136">
        <v>1486.24743656586</v>
      </c>
      <c r="M1136">
        <v>28.238563738805201</v>
      </c>
      <c r="N1136">
        <v>52.814546373418104</v>
      </c>
      <c r="O1136">
        <v>52.3700097150966</v>
      </c>
      <c r="P1136">
        <v>-0.128531073729999</v>
      </c>
      <c r="Q1136">
        <v>4.6535388950969002E-2</v>
      </c>
      <c r="R1136">
        <v>0.99583079505553296</v>
      </c>
      <c r="S1136" t="s">
        <v>4765</v>
      </c>
      <c r="T1136" t="s">
        <v>7256</v>
      </c>
      <c r="U1136" t="s">
        <v>7256</v>
      </c>
      <c r="V1136" t="s">
        <v>7256</v>
      </c>
      <c r="W1136">
        <v>7</v>
      </c>
      <c r="X1136" t="s">
        <v>8392</v>
      </c>
      <c r="Y1136">
        <v>0.45492711365464789</v>
      </c>
      <c r="Z1136" t="str">
        <f>HYPERLINK("Melting_Curves/meltCurve_sp_P54578_2_UBP14_HUMAN_.pdf", "Melting_Curves/meltCurve_sp_P54578_2_UBP14_HUMAN_.pdf")</f>
        <v>Melting_Curves/meltCurve_sp_P54578_2_UBP14_HUMAN_.pdf</v>
      </c>
      <c r="AA1136" t="s">
        <v>12001</v>
      </c>
      <c r="AB1136" t="s">
        <v>15561</v>
      </c>
    </row>
    <row r="1137" spans="1:28" x14ac:dyDescent="0.25">
      <c r="A1137" t="s">
        <v>1141</v>
      </c>
      <c r="B1137">
        <v>0.98018197421672304</v>
      </c>
      <c r="C1137">
        <v>0.91587468606172795</v>
      </c>
      <c r="D1137">
        <v>0.714275564634125</v>
      </c>
      <c r="E1137">
        <v>0.62863217165790297</v>
      </c>
      <c r="F1137">
        <v>0.27852424129796199</v>
      </c>
      <c r="G1137">
        <v>9.2316066143763101E-2</v>
      </c>
      <c r="H1137">
        <v>4.8645459146698301E-2</v>
      </c>
      <c r="I1137">
        <v>3.3508673322608998E-2</v>
      </c>
      <c r="J1137">
        <v>3.1905620828845099E-2</v>
      </c>
      <c r="K1137">
        <v>2.01333603571426E-2</v>
      </c>
      <c r="L1137">
        <v>754.34219806062504</v>
      </c>
      <c r="M1137">
        <v>15.0264755714263</v>
      </c>
      <c r="N1137">
        <v>50.200870913332203</v>
      </c>
      <c r="O1137">
        <v>49.336946115648701</v>
      </c>
      <c r="P1137">
        <v>-7.6149736002329493E-2</v>
      </c>
      <c r="Q1137">
        <v>0</v>
      </c>
      <c r="R1137">
        <v>0.98274446914096503</v>
      </c>
      <c r="S1137" t="s">
        <v>4766</v>
      </c>
      <c r="T1137" t="s">
        <v>7256</v>
      </c>
      <c r="U1137" t="s">
        <v>7256</v>
      </c>
      <c r="V1137" t="s">
        <v>7256</v>
      </c>
      <c r="W1137">
        <v>10</v>
      </c>
      <c r="X1137" t="s">
        <v>8393</v>
      </c>
      <c r="Y1137">
        <v>0.3636495608485254</v>
      </c>
      <c r="Z1137" t="str">
        <f>HYPERLINK("Melting_Curves/meltCurve_sp_P54619_2_AAKG1_HUMAN_.pdf", "Melting_Curves/meltCurve_sp_P54619_2_AAKG1_HUMAN_.pdf")</f>
        <v>Melting_Curves/meltCurve_sp_P54619_2_AAKG1_HUMAN_.pdf</v>
      </c>
      <c r="AA1137" t="s">
        <v>12002</v>
      </c>
      <c r="AB1137" t="s">
        <v>15562</v>
      </c>
    </row>
    <row r="1138" spans="1:28" x14ac:dyDescent="0.25">
      <c r="A1138" t="s">
        <v>1142</v>
      </c>
      <c r="B1138">
        <v>0.98018197421672304</v>
      </c>
      <c r="C1138">
        <v>0.97030758828250396</v>
      </c>
      <c r="D1138">
        <v>0.90797758838302201</v>
      </c>
      <c r="E1138">
        <v>0.86356189156428498</v>
      </c>
      <c r="F1138">
        <v>0.86143067983826804</v>
      </c>
      <c r="G1138">
        <v>0.686222624869817</v>
      </c>
      <c r="H1138">
        <v>0.62498250014932</v>
      </c>
      <c r="I1138">
        <v>0.65067521502538705</v>
      </c>
      <c r="J1138">
        <v>0.71684777395634303</v>
      </c>
      <c r="K1138">
        <v>0.81369602626895798</v>
      </c>
      <c r="L1138">
        <v>800.48166727741898</v>
      </c>
      <c r="M1138">
        <v>15.884177769444699</v>
      </c>
      <c r="O1138">
        <v>49.616450072876901</v>
      </c>
      <c r="P1138">
        <v>-2.4500330288514199E-2</v>
      </c>
      <c r="Q1138">
        <v>0.69390387539158105</v>
      </c>
      <c r="R1138">
        <v>0.78105706209939396</v>
      </c>
      <c r="S1138" t="s">
        <v>4767</v>
      </c>
      <c r="T1138" t="s">
        <v>7256</v>
      </c>
      <c r="U1138" t="s">
        <v>7256</v>
      </c>
      <c r="V1138" t="s">
        <v>7256</v>
      </c>
      <c r="W1138">
        <v>14</v>
      </c>
      <c r="X1138" t="s">
        <v>8394</v>
      </c>
      <c r="Y1138">
        <v>0.80648605005355634</v>
      </c>
      <c r="Z1138" t="str">
        <f>HYPERLINK("Melting_Curves/meltCurve_sp_P54727_RD23B_HUMAN_.pdf", "Melting_Curves/meltCurve_sp_P54727_RD23B_HUMAN_.pdf")</f>
        <v>Melting_Curves/meltCurve_sp_P54727_RD23B_HUMAN_.pdf</v>
      </c>
      <c r="AA1138" t="s">
        <v>12003</v>
      </c>
      <c r="AB1138" t="s">
        <v>15563</v>
      </c>
    </row>
    <row r="1139" spans="1:28" x14ac:dyDescent="0.25">
      <c r="A1139" t="s">
        <v>1143</v>
      </c>
      <c r="B1139">
        <v>0.98018197421672304</v>
      </c>
      <c r="C1139">
        <v>0.86242408035461204</v>
      </c>
      <c r="D1139">
        <v>0.90315537823008196</v>
      </c>
      <c r="E1139">
        <v>0.80879555055660901</v>
      </c>
      <c r="F1139">
        <v>0.75099054157828904</v>
      </c>
      <c r="G1139">
        <v>0.59893702243083502</v>
      </c>
      <c r="H1139">
        <v>0.25667605803085702</v>
      </c>
      <c r="I1139">
        <v>7.77425744644588E-2</v>
      </c>
      <c r="J1139">
        <v>6.3210621563633995E-2</v>
      </c>
      <c r="K1139">
        <v>4.2870411257848899E-2</v>
      </c>
      <c r="L1139">
        <v>851.32163696894804</v>
      </c>
      <c r="M1139">
        <v>14.9671630977801</v>
      </c>
      <c r="N1139">
        <v>56.879291798270899</v>
      </c>
      <c r="O1139">
        <v>55.892887835329098</v>
      </c>
      <c r="P1139">
        <v>-6.6952562423808204E-2</v>
      </c>
      <c r="Q1139">
        <v>0</v>
      </c>
      <c r="R1139">
        <v>0.96407503653667403</v>
      </c>
      <c r="S1139" t="s">
        <v>4768</v>
      </c>
      <c r="T1139" t="s">
        <v>7256</v>
      </c>
      <c r="U1139" t="s">
        <v>7256</v>
      </c>
      <c r="V1139" t="s">
        <v>7256</v>
      </c>
      <c r="W1139">
        <v>15</v>
      </c>
      <c r="X1139" t="s">
        <v>8395</v>
      </c>
      <c r="Y1139">
        <v>0.57873919717529854</v>
      </c>
      <c r="Z1139" t="str">
        <f>HYPERLINK("Melting_Curves/meltCurve_sp_P54802_ANAG_HUMAN_.pdf", "Melting_Curves/meltCurve_sp_P54802_ANAG_HUMAN_.pdf")</f>
        <v>Melting_Curves/meltCurve_sp_P54802_ANAG_HUMAN_.pdf</v>
      </c>
      <c r="AA1139" t="s">
        <v>12004</v>
      </c>
      <c r="AB1139" t="s">
        <v>15564</v>
      </c>
    </row>
    <row r="1140" spans="1:28" x14ac:dyDescent="0.25">
      <c r="A1140" t="s">
        <v>1144</v>
      </c>
      <c r="B1140">
        <v>0.98018197421672304</v>
      </c>
      <c r="C1140">
        <v>0.99027534870777101</v>
      </c>
      <c r="D1140">
        <v>0.977013120787522</v>
      </c>
      <c r="E1140">
        <v>0.82322913847919799</v>
      </c>
      <c r="F1140">
        <v>0.81899543869176095</v>
      </c>
      <c r="G1140">
        <v>0.719506146973238</v>
      </c>
      <c r="H1140">
        <v>0.31332665490305101</v>
      </c>
      <c r="I1140">
        <v>9.8405329037328099E-2</v>
      </c>
      <c r="J1140">
        <v>8.3796689240075398E-2</v>
      </c>
      <c r="K1140">
        <v>7.1809012519025606E-2</v>
      </c>
      <c r="L1140">
        <v>1060.29814747257</v>
      </c>
      <c r="M1140">
        <v>18.121191379295201</v>
      </c>
      <c r="N1140">
        <v>58.511504303974199</v>
      </c>
      <c r="O1140">
        <v>57.812909049147997</v>
      </c>
      <c r="P1140">
        <v>-7.8365120571287999E-2</v>
      </c>
      <c r="Q1140">
        <v>0</v>
      </c>
      <c r="R1140">
        <v>0.97366404719650801</v>
      </c>
      <c r="S1140" t="s">
        <v>4769</v>
      </c>
      <c r="T1140" t="s">
        <v>7256</v>
      </c>
      <c r="U1140" t="s">
        <v>7256</v>
      </c>
      <c r="V1140" t="s">
        <v>7256</v>
      </c>
      <c r="W1140">
        <v>14</v>
      </c>
      <c r="X1140" t="s">
        <v>8396</v>
      </c>
      <c r="Y1140">
        <v>0.62852676750094172</v>
      </c>
      <c r="Z1140" t="str">
        <f>HYPERLINK("Melting_Curves/meltCurve_sp_P54819_5_KAD2_HUMAN_.pdf", "Melting_Curves/meltCurve_sp_P54819_5_KAD2_HUMAN_.pdf")</f>
        <v>Melting_Curves/meltCurve_sp_P54819_5_KAD2_HUMAN_.pdf</v>
      </c>
      <c r="AA1140" t="s">
        <v>12005</v>
      </c>
      <c r="AB1140" t="s">
        <v>15565</v>
      </c>
    </row>
    <row r="1141" spans="1:28" x14ac:dyDescent="0.25">
      <c r="A1141" t="s">
        <v>1145</v>
      </c>
      <c r="B1141">
        <v>0.98018197421672304</v>
      </c>
      <c r="C1141">
        <v>0.86248131538018102</v>
      </c>
      <c r="D1141">
        <v>0.652119340042978</v>
      </c>
      <c r="E1141">
        <v>0.45055666888696499</v>
      </c>
      <c r="F1141">
        <v>0.24316312471378801</v>
      </c>
      <c r="G1141">
        <v>0.10951939176895099</v>
      </c>
      <c r="H1141">
        <v>6.8297973931431902E-2</v>
      </c>
      <c r="I1141">
        <v>5.5741624262924797E-2</v>
      </c>
      <c r="J1141">
        <v>5.0271918662737697E-2</v>
      </c>
      <c r="K1141">
        <v>4.0282028769608597E-2</v>
      </c>
      <c r="L1141">
        <v>673.43432196584899</v>
      </c>
      <c r="M1141">
        <v>13.8856457984639</v>
      </c>
      <c r="N1141">
        <v>48.648617803628497</v>
      </c>
      <c r="O1141">
        <v>47.525918154222801</v>
      </c>
      <c r="P1141">
        <v>-7.1521328083346894E-2</v>
      </c>
      <c r="Q1141">
        <v>2.0959500305393699E-2</v>
      </c>
      <c r="R1141">
        <v>0.99631947561022105</v>
      </c>
      <c r="S1141" t="s">
        <v>4770</v>
      </c>
      <c r="T1141" t="s">
        <v>7256</v>
      </c>
      <c r="U1141" t="s">
        <v>7256</v>
      </c>
      <c r="V1141" t="s">
        <v>7256</v>
      </c>
      <c r="W1141">
        <v>8</v>
      </c>
      <c r="X1141" t="s">
        <v>8397</v>
      </c>
      <c r="Y1141">
        <v>0.32684724261096221</v>
      </c>
      <c r="Z1141" t="str">
        <f>HYPERLINK("Melting_Curves/meltCurve_sp_P54840_GYS2_HUMAN_.pdf", "Melting_Curves/meltCurve_sp_P54840_GYS2_HUMAN_.pdf")</f>
        <v>Melting_Curves/meltCurve_sp_P54840_GYS2_HUMAN_.pdf</v>
      </c>
      <c r="AA1141" t="s">
        <v>12006</v>
      </c>
      <c r="AB1141" t="s">
        <v>15566</v>
      </c>
    </row>
    <row r="1142" spans="1:28" x14ac:dyDescent="0.25">
      <c r="A1142" t="s">
        <v>1146</v>
      </c>
      <c r="B1142">
        <v>0.98018197421672304</v>
      </c>
      <c r="C1142">
        <v>0.85471019737463405</v>
      </c>
      <c r="D1142">
        <v>0.86450885028240598</v>
      </c>
      <c r="E1142">
        <v>0.273896538208729</v>
      </c>
      <c r="F1142">
        <v>8.2821097144132799E-2</v>
      </c>
      <c r="G1142">
        <v>4.9634401521734497E-2</v>
      </c>
      <c r="H1142">
        <v>2.9016612676898E-2</v>
      </c>
      <c r="I1142">
        <v>2.3404848017481699E-2</v>
      </c>
      <c r="J1142">
        <v>2.2541405787482E-2</v>
      </c>
      <c r="K1142">
        <v>1.7964705103964598E-2</v>
      </c>
      <c r="L1142">
        <v>1475.0129037025599</v>
      </c>
      <c r="M1142">
        <v>30.506577664756598</v>
      </c>
      <c r="N1142">
        <v>48.429590205130502</v>
      </c>
      <c r="O1142">
        <v>48.144319191047302</v>
      </c>
      <c r="P1142">
        <v>-0.15457090680216001</v>
      </c>
      <c r="Q1142">
        <v>2.4254382243520101E-2</v>
      </c>
      <c r="R1142">
        <v>0.98821881323134997</v>
      </c>
      <c r="S1142" t="s">
        <v>4771</v>
      </c>
      <c r="T1142" t="s">
        <v>7256</v>
      </c>
      <c r="U1142" t="s">
        <v>7256</v>
      </c>
      <c r="V1142" t="s">
        <v>7256</v>
      </c>
      <c r="W1142">
        <v>27</v>
      </c>
      <c r="X1142" t="s">
        <v>8398</v>
      </c>
      <c r="Y1142">
        <v>0.3015505516464056</v>
      </c>
      <c r="Z1142" t="str">
        <f>HYPERLINK("Melting_Curves/meltCurve_sp_P54868_HMCS2_HUMAN_.pdf", "Melting_Curves/meltCurve_sp_P54868_HMCS2_HUMAN_.pdf")</f>
        <v>Melting_Curves/meltCurve_sp_P54868_HMCS2_HUMAN_.pdf</v>
      </c>
      <c r="AA1142" t="s">
        <v>12007</v>
      </c>
      <c r="AB1142" t="s">
        <v>15567</v>
      </c>
    </row>
    <row r="1143" spans="1:28" x14ac:dyDescent="0.25">
      <c r="A1143" t="s">
        <v>1147</v>
      </c>
      <c r="B1143">
        <v>0.98018197421672304</v>
      </c>
      <c r="C1143">
        <v>1.0137018899738699</v>
      </c>
      <c r="D1143">
        <v>0.72456869516938605</v>
      </c>
      <c r="E1143">
        <v>0.304678645917424</v>
      </c>
      <c r="F1143">
        <v>9.6195471856314205E-2</v>
      </c>
      <c r="G1143">
        <v>5.1134428827246399E-2</v>
      </c>
      <c r="H1143">
        <v>3.2564273974077802E-2</v>
      </c>
      <c r="I1143">
        <v>2.02890419597434E-2</v>
      </c>
      <c r="J1143">
        <v>2.0463088015727899E-2</v>
      </c>
      <c r="K1143">
        <v>8.9243970793548601E-3</v>
      </c>
      <c r="L1143">
        <v>1191.36488780522</v>
      </c>
      <c r="M1143">
        <v>24.808298432677301</v>
      </c>
      <c r="N1143">
        <v>48.104631395216202</v>
      </c>
      <c r="O1143">
        <v>47.714084296270499</v>
      </c>
      <c r="P1143">
        <v>-0.12730217050546699</v>
      </c>
      <c r="Q1143">
        <v>2.06471402417518E-2</v>
      </c>
      <c r="R1143">
        <v>0.99642100738691897</v>
      </c>
      <c r="S1143" t="s">
        <v>4772</v>
      </c>
      <c r="T1143" t="s">
        <v>7256</v>
      </c>
      <c r="U1143" t="s">
        <v>7256</v>
      </c>
      <c r="V1143" t="s">
        <v>7256</v>
      </c>
      <c r="W1143">
        <v>15</v>
      </c>
      <c r="X1143" t="s">
        <v>8399</v>
      </c>
      <c r="Y1143">
        <v>0.29135169850721282</v>
      </c>
      <c r="Z1143" t="str">
        <f>HYPERLINK("Melting_Curves/meltCurve_sp_P54886_2_P5CS_HUMAN_.pdf", "Melting_Curves/meltCurve_sp_P54886_2_P5CS_HUMAN_.pdf")</f>
        <v>Melting_Curves/meltCurve_sp_P54886_2_P5CS_HUMAN_.pdf</v>
      </c>
      <c r="AA1143" t="s">
        <v>12008</v>
      </c>
      <c r="AB1143" t="s">
        <v>15568</v>
      </c>
    </row>
    <row r="1144" spans="1:28" x14ac:dyDescent="0.25">
      <c r="A1144" t="s">
        <v>1148</v>
      </c>
      <c r="B1144">
        <v>0.98018197421672304</v>
      </c>
      <c r="C1144">
        <v>0.97692469107794999</v>
      </c>
      <c r="D1144">
        <v>0.91667538589957198</v>
      </c>
      <c r="E1144">
        <v>0.76124931429103804</v>
      </c>
      <c r="F1144">
        <v>0.62365036180122302</v>
      </c>
      <c r="G1144">
        <v>0.33862362605052998</v>
      </c>
      <c r="H1144">
        <v>0.108382461360092</v>
      </c>
      <c r="I1144">
        <v>9.0060146776922506E-2</v>
      </c>
      <c r="J1144">
        <v>9.1010966495230494E-2</v>
      </c>
      <c r="K1144">
        <v>7.9788920484916204E-2</v>
      </c>
      <c r="L1144">
        <v>854.21903241307302</v>
      </c>
      <c r="M1144">
        <v>15.8185422736058</v>
      </c>
      <c r="N1144">
        <v>54.205623521655298</v>
      </c>
      <c r="O1144">
        <v>53.160214199230801</v>
      </c>
      <c r="P1144">
        <v>-7.2242021211117294E-2</v>
      </c>
      <c r="Q1144">
        <v>2.8966056841020799E-2</v>
      </c>
      <c r="R1144">
        <v>0.99459894606810795</v>
      </c>
      <c r="S1144" t="s">
        <v>4773</v>
      </c>
      <c r="T1144" t="s">
        <v>7256</v>
      </c>
      <c r="U1144" t="s">
        <v>7256</v>
      </c>
      <c r="V1144" t="s">
        <v>7256</v>
      </c>
      <c r="W1144">
        <v>16</v>
      </c>
      <c r="X1144" t="s">
        <v>8400</v>
      </c>
      <c r="Y1144">
        <v>0.50076726173628339</v>
      </c>
      <c r="Z1144" t="str">
        <f>HYPERLINK("Melting_Curves/meltCurve_sp_P54920_SNAA_HUMAN_.pdf", "Melting_Curves/meltCurve_sp_P54920_SNAA_HUMAN_.pdf")</f>
        <v>Melting_Curves/meltCurve_sp_P54920_SNAA_HUMAN_.pdf</v>
      </c>
      <c r="AA1144" t="s">
        <v>12009</v>
      </c>
      <c r="AB1144" t="s">
        <v>15569</v>
      </c>
    </row>
    <row r="1145" spans="1:28" x14ac:dyDescent="0.25">
      <c r="A1145" t="s">
        <v>1149</v>
      </c>
      <c r="B1145">
        <v>0.98018197421672304</v>
      </c>
      <c r="C1145">
        <v>0.98037916669751202</v>
      </c>
      <c r="D1145">
        <v>0.90060067767547802</v>
      </c>
      <c r="E1145">
        <v>0.73175500536167104</v>
      </c>
      <c r="F1145">
        <v>0.65356369245383095</v>
      </c>
      <c r="G1145">
        <v>0.52093799291403697</v>
      </c>
      <c r="H1145">
        <v>0.34702557768832498</v>
      </c>
      <c r="I1145">
        <v>0.31925539500130601</v>
      </c>
      <c r="J1145">
        <v>0.291369854205417</v>
      </c>
      <c r="K1145">
        <v>0.27359389827797098</v>
      </c>
      <c r="L1145">
        <v>597.33635537158898</v>
      </c>
      <c r="M1145">
        <v>11.080131251750601</v>
      </c>
      <c r="N1145">
        <v>56.6435358109484</v>
      </c>
      <c r="O1145">
        <v>52.243888418729099</v>
      </c>
      <c r="P1145">
        <v>-4.2057100950346198E-2</v>
      </c>
      <c r="Q1145">
        <v>0.20704698920182299</v>
      </c>
      <c r="R1145">
        <v>0.994569029031246</v>
      </c>
      <c r="S1145" t="s">
        <v>4774</v>
      </c>
      <c r="T1145" t="s">
        <v>7256</v>
      </c>
      <c r="U1145" t="s">
        <v>7256</v>
      </c>
      <c r="V1145" t="s">
        <v>7256</v>
      </c>
      <c r="W1145">
        <v>2</v>
      </c>
      <c r="X1145" t="s">
        <v>8401</v>
      </c>
      <c r="Y1145">
        <v>0.59714592297668934</v>
      </c>
      <c r="Z1145" t="str">
        <f>HYPERLINK("Melting_Curves/meltCurve_sp_P55008_AIF1_HUMAN_.pdf", "Melting_Curves/meltCurve_sp_P55008_AIF1_HUMAN_.pdf")</f>
        <v>Melting_Curves/meltCurve_sp_P55008_AIF1_HUMAN_.pdf</v>
      </c>
      <c r="AA1145" t="s">
        <v>12010</v>
      </c>
      <c r="AB1145" t="s">
        <v>15570</v>
      </c>
    </row>
    <row r="1146" spans="1:28" x14ac:dyDescent="0.25">
      <c r="A1146" t="s">
        <v>1150</v>
      </c>
      <c r="B1146">
        <v>0.98018197421672304</v>
      </c>
      <c r="C1146">
        <v>1.0014975585707999</v>
      </c>
      <c r="D1146">
        <v>0.94739499235850599</v>
      </c>
      <c r="E1146">
        <v>0.80500938969575198</v>
      </c>
      <c r="F1146">
        <v>0.64864338251369502</v>
      </c>
      <c r="G1146">
        <v>0.26712247651958998</v>
      </c>
      <c r="H1146">
        <v>0.13856825329497899</v>
      </c>
      <c r="I1146">
        <v>0.111494693889817</v>
      </c>
      <c r="J1146">
        <v>0.140848437611542</v>
      </c>
      <c r="K1146">
        <v>0.103016153435631</v>
      </c>
      <c r="L1146">
        <v>1148.6949981011701</v>
      </c>
      <c r="M1146">
        <v>21.429073612110301</v>
      </c>
      <c r="N1146">
        <v>54.137640911107603</v>
      </c>
      <c r="O1146">
        <v>53.144248971990301</v>
      </c>
      <c r="P1146">
        <v>-9.1219639506830194E-2</v>
      </c>
      <c r="Q1146">
        <v>9.5121170206945493E-2</v>
      </c>
      <c r="R1146">
        <v>0.99520487469340602</v>
      </c>
      <c r="S1146" t="s">
        <v>4775</v>
      </c>
      <c r="T1146" t="s">
        <v>7256</v>
      </c>
      <c r="U1146" t="s">
        <v>7256</v>
      </c>
      <c r="V1146" t="s">
        <v>7256</v>
      </c>
      <c r="W1146">
        <v>10</v>
      </c>
      <c r="X1146" t="s">
        <v>8402</v>
      </c>
      <c r="Y1146">
        <v>0.51647828896387626</v>
      </c>
      <c r="Z1146" t="str">
        <f>HYPERLINK("Melting_Curves/meltCurve_sp_P55010_IF5_HUMAN_.pdf", "Melting_Curves/meltCurve_sp_P55010_IF5_HUMAN_.pdf")</f>
        <v>Melting_Curves/meltCurve_sp_P55010_IF5_HUMAN_.pdf</v>
      </c>
      <c r="AA1146" t="s">
        <v>12011</v>
      </c>
      <c r="AB1146" t="s">
        <v>15571</v>
      </c>
    </row>
    <row r="1147" spans="1:28" x14ac:dyDescent="0.25">
      <c r="A1147" t="s">
        <v>1151</v>
      </c>
      <c r="B1147">
        <v>0.98018197421672304</v>
      </c>
      <c r="C1147">
        <v>0.93795282493536403</v>
      </c>
      <c r="D1147">
        <v>0.75923029613611004</v>
      </c>
      <c r="E1147">
        <v>0.58515445448337999</v>
      </c>
      <c r="F1147">
        <v>0.53419025918862095</v>
      </c>
      <c r="G1147">
        <v>0.382094767772516</v>
      </c>
      <c r="H1147">
        <v>0.33420997167967198</v>
      </c>
      <c r="I1147">
        <v>0.31804493165729603</v>
      </c>
      <c r="J1147">
        <v>0.36938789270872502</v>
      </c>
      <c r="K1147">
        <v>0.41988170604939801</v>
      </c>
      <c r="L1147">
        <v>735.07362749614299</v>
      </c>
      <c r="M1147">
        <v>15.241892237542601</v>
      </c>
      <c r="N1147">
        <v>52.358436409950599</v>
      </c>
      <c r="O1147">
        <v>47.419861284568597</v>
      </c>
      <c r="P1147">
        <v>-5.2252495862675601E-2</v>
      </c>
      <c r="Q1147">
        <v>0.34979932906600802</v>
      </c>
      <c r="R1147">
        <v>0.97654893782545904</v>
      </c>
      <c r="S1147" t="s">
        <v>4776</v>
      </c>
      <c r="T1147" t="s">
        <v>7256</v>
      </c>
      <c r="U1147" t="s">
        <v>7256</v>
      </c>
      <c r="V1147" t="s">
        <v>7256</v>
      </c>
      <c r="W1147">
        <v>9</v>
      </c>
      <c r="X1147" t="s">
        <v>8403</v>
      </c>
      <c r="Y1147">
        <v>0.54415668229678793</v>
      </c>
      <c r="Z1147" t="str">
        <f>HYPERLINK("Melting_Curves/meltCurve_sp_P55036_PSMD4_HUMAN_.pdf", "Melting_Curves/meltCurve_sp_P55036_PSMD4_HUMAN_.pdf")</f>
        <v>Melting_Curves/meltCurve_sp_P55036_PSMD4_HUMAN_.pdf</v>
      </c>
      <c r="AA1147" t="s">
        <v>12012</v>
      </c>
      <c r="AB1147" t="s">
        <v>15572</v>
      </c>
    </row>
    <row r="1148" spans="1:28" x14ac:dyDescent="0.25">
      <c r="A1148" t="s">
        <v>1152</v>
      </c>
      <c r="B1148">
        <v>0.98018197421672304</v>
      </c>
      <c r="C1148">
        <v>0.83478368373132805</v>
      </c>
      <c r="D1148">
        <v>0.71110225144633898</v>
      </c>
      <c r="E1148">
        <v>0.28821410067415898</v>
      </c>
      <c r="F1148">
        <v>0.123474259900458</v>
      </c>
      <c r="G1148">
        <v>7.38305777779249E-2</v>
      </c>
      <c r="H1148">
        <v>5.8146333314228797E-2</v>
      </c>
      <c r="I1148">
        <v>4.4340954692185998E-2</v>
      </c>
      <c r="J1148">
        <v>4.9921484635845503E-2</v>
      </c>
      <c r="K1148">
        <v>2.8324371208207501E-2</v>
      </c>
      <c r="L1148">
        <v>932.56835742726798</v>
      </c>
      <c r="M1148">
        <v>19.631357596347499</v>
      </c>
      <c r="N1148">
        <v>47.681518081172101</v>
      </c>
      <c r="O1148">
        <v>47.019309678731901</v>
      </c>
      <c r="P1148">
        <v>-0.1007047157021</v>
      </c>
      <c r="Q1148">
        <v>3.5236861063354601E-2</v>
      </c>
      <c r="R1148">
        <v>0.99475856323585798</v>
      </c>
      <c r="S1148" t="s">
        <v>4777</v>
      </c>
      <c r="T1148" t="s">
        <v>7256</v>
      </c>
      <c r="U1148" t="s">
        <v>7256</v>
      </c>
      <c r="V1148" t="s">
        <v>7256</v>
      </c>
      <c r="W1148">
        <v>5</v>
      </c>
      <c r="X1148" t="s">
        <v>8404</v>
      </c>
      <c r="Y1148">
        <v>0.29100689623832199</v>
      </c>
      <c r="Z1148" t="str">
        <f>HYPERLINK("Melting_Curves/meltCurve_sp_P55039_DRG2_HUMAN_.pdf", "Melting_Curves/meltCurve_sp_P55039_DRG2_HUMAN_.pdf")</f>
        <v>Melting_Curves/meltCurve_sp_P55039_DRG2_HUMAN_.pdf</v>
      </c>
      <c r="AA1148" t="s">
        <v>12013</v>
      </c>
      <c r="AB1148" t="s">
        <v>15573</v>
      </c>
    </row>
    <row r="1149" spans="1:28" x14ac:dyDescent="0.25">
      <c r="A1149" t="s">
        <v>1153</v>
      </c>
      <c r="B1149">
        <v>0.98018197421672304</v>
      </c>
      <c r="C1149">
        <v>0.93767834792675497</v>
      </c>
      <c r="D1149">
        <v>0.91177794476907503</v>
      </c>
      <c r="E1149">
        <v>0.78781786320160496</v>
      </c>
      <c r="F1149">
        <v>0.23826507589067999</v>
      </c>
      <c r="G1149">
        <v>0.101726351601732</v>
      </c>
      <c r="H1149">
        <v>5.2582572879403301E-2</v>
      </c>
      <c r="I1149">
        <v>3.9654567279586501E-2</v>
      </c>
      <c r="J1149">
        <v>4.87132570481476E-2</v>
      </c>
      <c r="K1149">
        <v>3.5208100333053501E-2</v>
      </c>
      <c r="L1149">
        <v>2213.1926217283199</v>
      </c>
      <c r="M1149">
        <v>43.085070100751402</v>
      </c>
      <c r="N1149">
        <v>51.496841975627902</v>
      </c>
      <c r="O1149">
        <v>51.257682126883402</v>
      </c>
      <c r="P1149">
        <v>-0.19940055828703601</v>
      </c>
      <c r="Q1149">
        <v>5.11057248268139E-2</v>
      </c>
      <c r="R1149">
        <v>0.99213853039973998</v>
      </c>
      <c r="S1149" t="s">
        <v>4778</v>
      </c>
      <c r="T1149" t="s">
        <v>7256</v>
      </c>
      <c r="U1149" t="s">
        <v>7256</v>
      </c>
      <c r="V1149" t="s">
        <v>7256</v>
      </c>
      <c r="W1149">
        <v>20</v>
      </c>
      <c r="X1149" t="s">
        <v>8405</v>
      </c>
      <c r="Y1149">
        <v>0.41357307742838939</v>
      </c>
      <c r="Z1149" t="str">
        <f>HYPERLINK("Melting_Curves/meltCurve_sp_P55060_3_XPO2_HUMAN_.pdf", "Melting_Curves/meltCurve_sp_P55060_3_XPO2_HUMAN_.pdf")</f>
        <v>Melting_Curves/meltCurve_sp_P55060_3_XPO2_HUMAN_.pdf</v>
      </c>
      <c r="AA1149" t="s">
        <v>12014</v>
      </c>
      <c r="AB1149" t="s">
        <v>15574</v>
      </c>
    </row>
    <row r="1150" spans="1:28" x14ac:dyDescent="0.25">
      <c r="A1150" t="s">
        <v>1154</v>
      </c>
      <c r="B1150">
        <v>0.98018197421672304</v>
      </c>
      <c r="C1150">
        <v>0.96846983770677897</v>
      </c>
      <c r="D1150">
        <v>0.89444808800375097</v>
      </c>
      <c r="E1150">
        <v>0.79237131555784501</v>
      </c>
      <c r="F1150">
        <v>0.71243517099967701</v>
      </c>
      <c r="G1150">
        <v>0.58834690535299194</v>
      </c>
      <c r="H1150">
        <v>0.466902503398191</v>
      </c>
      <c r="I1150">
        <v>0.42086912159685502</v>
      </c>
      <c r="J1150">
        <v>0.20856047920836801</v>
      </c>
      <c r="K1150">
        <v>4.89727887634092E-2</v>
      </c>
      <c r="L1150">
        <v>539.752003382363</v>
      </c>
      <c r="M1150">
        <v>9.1871246389917793</v>
      </c>
      <c r="N1150">
        <v>58.750917277037097</v>
      </c>
      <c r="O1150">
        <v>56.168300110300699</v>
      </c>
      <c r="P1150">
        <v>-4.0918526279341401E-2</v>
      </c>
      <c r="Q1150">
        <v>0</v>
      </c>
      <c r="R1150">
        <v>0.96076247507400603</v>
      </c>
      <c r="S1150" t="s">
        <v>4779</v>
      </c>
      <c r="T1150" t="s">
        <v>7256</v>
      </c>
      <c r="U1150" t="s">
        <v>7256</v>
      </c>
      <c r="V1150" t="s">
        <v>7256</v>
      </c>
      <c r="W1150">
        <v>44</v>
      </c>
      <c r="X1150" t="s">
        <v>8406</v>
      </c>
      <c r="Y1150">
        <v>0.62736664179405599</v>
      </c>
      <c r="Z1150" t="str">
        <f>HYPERLINK("Melting_Curves/meltCurve_sp_P55072_TERA_HUMAN_.pdf", "Melting_Curves/meltCurve_sp_P55072_TERA_HUMAN_.pdf")</f>
        <v>Melting_Curves/meltCurve_sp_P55072_TERA_HUMAN_.pdf</v>
      </c>
      <c r="AA1150" t="s">
        <v>12015</v>
      </c>
      <c r="AB1150" t="s">
        <v>15575</v>
      </c>
    </row>
    <row r="1151" spans="1:28" x14ac:dyDescent="0.25">
      <c r="A1151" t="s">
        <v>1155</v>
      </c>
      <c r="B1151">
        <v>0.98018197421672304</v>
      </c>
      <c r="C1151">
        <v>0.82475650700573</v>
      </c>
      <c r="D1151">
        <v>0.93875491227474905</v>
      </c>
      <c r="E1151">
        <v>0.86609195659593596</v>
      </c>
      <c r="F1151">
        <v>0.86672348809868605</v>
      </c>
      <c r="G1151">
        <v>0.71371803214233398</v>
      </c>
      <c r="H1151">
        <v>0.57423212398339796</v>
      </c>
      <c r="I1151">
        <v>0.56055400376810005</v>
      </c>
      <c r="J1151">
        <v>0.55370420779177199</v>
      </c>
      <c r="K1151">
        <v>0.381260856431613</v>
      </c>
      <c r="L1151">
        <v>363.81536428707898</v>
      </c>
      <c r="M1151">
        <v>5.4661818539524001</v>
      </c>
      <c r="N1151">
        <v>66.557493696082602</v>
      </c>
      <c r="O1151">
        <v>59.233690605269402</v>
      </c>
      <c r="P1151">
        <v>-2.3174249181687399E-2</v>
      </c>
      <c r="Q1151">
        <v>0</v>
      </c>
      <c r="R1151">
        <v>0.91599163464290001</v>
      </c>
      <c r="S1151" t="s">
        <v>4780</v>
      </c>
      <c r="T1151" t="s">
        <v>7256</v>
      </c>
      <c r="U1151" t="s">
        <v>7256</v>
      </c>
      <c r="V1151" t="s">
        <v>7256</v>
      </c>
      <c r="W1151">
        <v>3</v>
      </c>
      <c r="X1151" t="s">
        <v>8407</v>
      </c>
      <c r="Y1151">
        <v>0.73955834286755417</v>
      </c>
      <c r="Z1151" t="str">
        <f>HYPERLINK("Melting_Curves/meltCurve_sp_P55081_MFAP1_HUMAN_.pdf", "Melting_Curves/meltCurve_sp_P55081_MFAP1_HUMAN_.pdf")</f>
        <v>Melting_Curves/meltCurve_sp_P55081_MFAP1_HUMAN_.pdf</v>
      </c>
      <c r="AA1151" t="s">
        <v>12016</v>
      </c>
      <c r="AB1151" t="s">
        <v>15576</v>
      </c>
    </row>
    <row r="1152" spans="1:28" x14ac:dyDescent="0.25">
      <c r="A1152" t="s">
        <v>1156</v>
      </c>
      <c r="B1152">
        <v>0.98018197421672304</v>
      </c>
      <c r="C1152">
        <v>0.87364820099251395</v>
      </c>
      <c r="D1152">
        <v>0.981256314327691</v>
      </c>
      <c r="E1152">
        <v>0.86443354345356904</v>
      </c>
      <c r="F1152">
        <v>0.90639368063801995</v>
      </c>
      <c r="G1152">
        <v>0.74723966123424101</v>
      </c>
      <c r="H1152">
        <v>0.58422086099872805</v>
      </c>
      <c r="I1152">
        <v>0.65257549470975995</v>
      </c>
      <c r="J1152">
        <v>0.68825522909648595</v>
      </c>
      <c r="K1152">
        <v>0.96010582694494095</v>
      </c>
      <c r="L1152">
        <v>1009.06682826151</v>
      </c>
      <c r="M1152">
        <v>19.601381146215999</v>
      </c>
      <c r="O1152">
        <v>50.9525454706001</v>
      </c>
      <c r="P1152">
        <v>-2.6538840902944501E-2</v>
      </c>
      <c r="Q1152">
        <v>0.72406559314950303</v>
      </c>
      <c r="R1152">
        <v>0.42598248766861002</v>
      </c>
      <c r="S1152" t="s">
        <v>4781</v>
      </c>
      <c r="T1152" t="s">
        <v>7256</v>
      </c>
      <c r="U1152" t="s">
        <v>7256</v>
      </c>
      <c r="V1152" t="s">
        <v>7256</v>
      </c>
      <c r="W1152">
        <v>14</v>
      </c>
      <c r="X1152" t="s">
        <v>8408</v>
      </c>
      <c r="Y1152">
        <v>0.833619631806918</v>
      </c>
      <c r="Z1152" t="str">
        <f>HYPERLINK("Melting_Curves/meltCurve_sp_P55145_MANF_HUMAN_.pdf", "Melting_Curves/meltCurve_sp_P55145_MANF_HUMAN_.pdf")</f>
        <v>Melting_Curves/meltCurve_sp_P55145_MANF_HUMAN_.pdf</v>
      </c>
      <c r="AA1152" t="s">
        <v>12017</v>
      </c>
      <c r="AB1152" t="s">
        <v>15577</v>
      </c>
    </row>
    <row r="1153" spans="1:28" x14ac:dyDescent="0.25">
      <c r="A1153" t="s">
        <v>1157</v>
      </c>
      <c r="B1153">
        <v>0.98018197421672304</v>
      </c>
      <c r="C1153">
        <v>0.961780499951712</v>
      </c>
      <c r="D1153">
        <v>0.924189308185561</v>
      </c>
      <c r="E1153">
        <v>0.798953017799368</v>
      </c>
      <c r="F1153">
        <v>0.59372504215530197</v>
      </c>
      <c r="G1153">
        <v>0.239253385754613</v>
      </c>
      <c r="H1153">
        <v>8.1820676063247999E-2</v>
      </c>
      <c r="I1153">
        <v>6.0201855824399901E-2</v>
      </c>
      <c r="J1153">
        <v>5.5690863023220898E-2</v>
      </c>
      <c r="K1153">
        <v>4.07163996907162E-2</v>
      </c>
      <c r="L1153">
        <v>1045.15175029803</v>
      </c>
      <c r="M1153">
        <v>19.498417664280801</v>
      </c>
      <c r="N1153">
        <v>53.7216084573394</v>
      </c>
      <c r="O1153">
        <v>53.0476333218608</v>
      </c>
      <c r="P1153">
        <v>-8.9940443409806003E-2</v>
      </c>
      <c r="Q1153">
        <v>2.1263232038862601E-2</v>
      </c>
      <c r="R1153">
        <v>0.99694469480266301</v>
      </c>
      <c r="S1153" t="s">
        <v>4782</v>
      </c>
      <c r="T1153" t="s">
        <v>7256</v>
      </c>
      <c r="U1153" t="s">
        <v>7256</v>
      </c>
      <c r="V1153" t="s">
        <v>7256</v>
      </c>
      <c r="W1153">
        <v>33</v>
      </c>
      <c r="X1153" t="s">
        <v>8409</v>
      </c>
      <c r="Y1153">
        <v>0.47896327944680872</v>
      </c>
      <c r="Z1153" t="str">
        <f>HYPERLINK("Melting_Curves/meltCurve_sp_P55157_MTP_HUMAN_.pdf", "Melting_Curves/meltCurve_sp_P55157_MTP_HUMAN_.pdf")</f>
        <v>Melting_Curves/meltCurve_sp_P55157_MTP_HUMAN_.pdf</v>
      </c>
      <c r="AA1153" t="s">
        <v>12018</v>
      </c>
      <c r="AB1153" t="s">
        <v>15578</v>
      </c>
    </row>
    <row r="1154" spans="1:28" x14ac:dyDescent="0.25">
      <c r="A1154" t="s">
        <v>1158</v>
      </c>
      <c r="B1154">
        <v>0.98018197421672304</v>
      </c>
      <c r="C1154">
        <v>0.98336396392301995</v>
      </c>
      <c r="D1154">
        <v>0.93394476437219198</v>
      </c>
      <c r="E1154">
        <v>0.76242461443119203</v>
      </c>
      <c r="F1154">
        <v>0.55568688102493502</v>
      </c>
      <c r="G1154">
        <v>0.36993311108124699</v>
      </c>
      <c r="H1154">
        <v>0.32010758352003099</v>
      </c>
      <c r="I1154">
        <v>0.30192931252483701</v>
      </c>
      <c r="J1154">
        <v>0.38043106793890902</v>
      </c>
      <c r="K1154">
        <v>0.43999549501074797</v>
      </c>
      <c r="L1154">
        <v>1283.7736737405601</v>
      </c>
      <c r="M1154">
        <v>25.1457716764975</v>
      </c>
      <c r="N1154">
        <v>53.6714349148289</v>
      </c>
      <c r="O1154">
        <v>50.733663870646097</v>
      </c>
      <c r="P1154">
        <v>-8.0126222617491194E-2</v>
      </c>
      <c r="Q1154">
        <v>0.35336351510070102</v>
      </c>
      <c r="R1154">
        <v>0.97881677203963602</v>
      </c>
      <c r="S1154" t="s">
        <v>4783</v>
      </c>
      <c r="T1154" t="s">
        <v>7256</v>
      </c>
      <c r="U1154" t="s">
        <v>7256</v>
      </c>
      <c r="V1154" t="s">
        <v>7256</v>
      </c>
      <c r="W1154">
        <v>35</v>
      </c>
      <c r="X1154" t="s">
        <v>8410</v>
      </c>
      <c r="Y1154">
        <v>0.59739024447490374</v>
      </c>
      <c r="Z1154" t="str">
        <f>HYPERLINK("Melting_Curves/meltCurve_sp_P55196_AFAD_HUMAN_.pdf", "Melting_Curves/meltCurve_sp_P55196_AFAD_HUMAN_.pdf")</f>
        <v>Melting_Curves/meltCurve_sp_P55196_AFAD_HUMAN_.pdf</v>
      </c>
      <c r="AA1154" t="s">
        <v>12019</v>
      </c>
      <c r="AB1154" t="s">
        <v>15579</v>
      </c>
    </row>
    <row r="1155" spans="1:28" x14ac:dyDescent="0.25">
      <c r="A1155" t="s">
        <v>1159</v>
      </c>
      <c r="B1155">
        <v>0.98018197421672304</v>
      </c>
      <c r="C1155">
        <v>0.98267061938859002</v>
      </c>
      <c r="D1155">
        <v>0.84049977477988602</v>
      </c>
      <c r="E1155">
        <v>0.63223458939864996</v>
      </c>
      <c r="F1155">
        <v>0.49998853318671799</v>
      </c>
      <c r="G1155">
        <v>0.338987595358343</v>
      </c>
      <c r="H1155">
        <v>0.20420998399368501</v>
      </c>
      <c r="I1155">
        <v>0.171608440390807</v>
      </c>
      <c r="J1155">
        <v>0.167209517982192</v>
      </c>
      <c r="K1155">
        <v>0.16912056582774901</v>
      </c>
      <c r="L1155">
        <v>689.97299616586395</v>
      </c>
      <c r="M1155">
        <v>13.3876080361741</v>
      </c>
      <c r="N1155">
        <v>52.705384917181597</v>
      </c>
      <c r="O1155">
        <v>50.428987975872801</v>
      </c>
      <c r="P1155">
        <v>-5.78637165622055E-2</v>
      </c>
      <c r="Q1155">
        <v>0.12828370889180199</v>
      </c>
      <c r="R1155">
        <v>0.99639987057143398</v>
      </c>
      <c r="S1155" t="s">
        <v>4784</v>
      </c>
      <c r="T1155" t="s">
        <v>7256</v>
      </c>
      <c r="U1155" t="s">
        <v>7256</v>
      </c>
      <c r="V1155" t="s">
        <v>7256</v>
      </c>
      <c r="W1155">
        <v>8</v>
      </c>
      <c r="X1155" t="s">
        <v>8411</v>
      </c>
      <c r="Y1155">
        <v>0.48710786760730168</v>
      </c>
      <c r="Z1155" t="str">
        <f>HYPERLINK("Melting_Curves/meltCurve_sp_P55210_CASP7_HUMAN_.pdf", "Melting_Curves/meltCurve_sp_P55210_CASP7_HUMAN_.pdf")</f>
        <v>Melting_Curves/meltCurve_sp_P55210_CASP7_HUMAN_.pdf</v>
      </c>
      <c r="AA1155" t="s">
        <v>12020</v>
      </c>
      <c r="AB1155" t="s">
        <v>15580</v>
      </c>
    </row>
    <row r="1156" spans="1:28" x14ac:dyDescent="0.25">
      <c r="A1156" t="s">
        <v>1160</v>
      </c>
      <c r="B1156">
        <v>0.98018197421672304</v>
      </c>
      <c r="C1156">
        <v>0.99455057627047905</v>
      </c>
      <c r="D1156">
        <v>0.86449371509345097</v>
      </c>
      <c r="E1156">
        <v>0.653708530027452</v>
      </c>
      <c r="F1156">
        <v>0.56518473886800602</v>
      </c>
      <c r="G1156">
        <v>0.43238704755742202</v>
      </c>
      <c r="H1156">
        <v>0.31613154372218899</v>
      </c>
      <c r="I1156">
        <v>0.31980019220143602</v>
      </c>
      <c r="J1156">
        <v>0.30295729596079002</v>
      </c>
      <c r="K1156">
        <v>0.29878907852270298</v>
      </c>
      <c r="L1156">
        <v>719.69109570322803</v>
      </c>
      <c r="M1156">
        <v>14.132270649341701</v>
      </c>
      <c r="N1156">
        <v>54.062814687426197</v>
      </c>
      <c r="O1156">
        <v>49.938226675953203</v>
      </c>
      <c r="P1156">
        <v>-5.0958647939247599E-2</v>
      </c>
      <c r="Q1156">
        <v>0.279815676175796</v>
      </c>
      <c r="R1156">
        <v>0.99360913092507497</v>
      </c>
      <c r="S1156" t="s">
        <v>4785</v>
      </c>
      <c r="T1156" t="s">
        <v>7256</v>
      </c>
      <c r="U1156" t="s">
        <v>7256</v>
      </c>
      <c r="V1156" t="s">
        <v>7256</v>
      </c>
      <c r="W1156">
        <v>10</v>
      </c>
      <c r="X1156" t="s">
        <v>8412</v>
      </c>
      <c r="Y1156">
        <v>0.56047745469797694</v>
      </c>
      <c r="Z1156" t="str">
        <f>HYPERLINK("Melting_Curves/meltCurve_sp_P55212_CASP6_HUMAN_.pdf", "Melting_Curves/meltCurve_sp_P55212_CASP6_HUMAN_.pdf")</f>
        <v>Melting_Curves/meltCurve_sp_P55212_CASP6_HUMAN_.pdf</v>
      </c>
      <c r="AA1156" t="s">
        <v>12021</v>
      </c>
      <c r="AB1156" t="s">
        <v>15581</v>
      </c>
    </row>
    <row r="1157" spans="1:28" x14ac:dyDescent="0.25">
      <c r="A1157" t="s">
        <v>1161</v>
      </c>
      <c r="B1157">
        <v>0.98018197421672304</v>
      </c>
      <c r="C1157">
        <v>0.95773231421337202</v>
      </c>
      <c r="D1157">
        <v>0.899691347549188</v>
      </c>
      <c r="E1157">
        <v>0.682796285679797</v>
      </c>
      <c r="F1157">
        <v>0.35364589227885601</v>
      </c>
      <c r="G1157">
        <v>0.11047990061758201</v>
      </c>
      <c r="H1157">
        <v>6.7451056567423104E-2</v>
      </c>
      <c r="I1157">
        <v>5.2655271539522701E-2</v>
      </c>
      <c r="J1157">
        <v>7.1378641466545906E-2</v>
      </c>
      <c r="K1157">
        <v>4.4189042367458901E-2</v>
      </c>
      <c r="L1157">
        <v>1164.7541027289601</v>
      </c>
      <c r="M1157">
        <v>22.6990929503248</v>
      </c>
      <c r="N1157">
        <v>51.520903817234903</v>
      </c>
      <c r="O1157">
        <v>50.919551446339398</v>
      </c>
      <c r="P1157">
        <v>-0.10656636660185199</v>
      </c>
      <c r="Q1157">
        <v>4.38028215972769E-2</v>
      </c>
      <c r="R1157">
        <v>0.99727110583406697</v>
      </c>
      <c r="S1157" t="s">
        <v>4786</v>
      </c>
      <c r="T1157" t="s">
        <v>7256</v>
      </c>
      <c r="U1157" t="s">
        <v>7256</v>
      </c>
      <c r="V1157" t="s">
        <v>7256</v>
      </c>
      <c r="W1157">
        <v>19</v>
      </c>
      <c r="X1157" t="s">
        <v>8413</v>
      </c>
      <c r="Y1157">
        <v>0.41482781468957147</v>
      </c>
      <c r="Z1157" t="str">
        <f>HYPERLINK("Melting_Curves/meltCurve_sp_P55263_ADK_HUMAN_.pdf", "Melting_Curves/meltCurve_sp_P55263_ADK_HUMAN_.pdf")</f>
        <v>Melting_Curves/meltCurve_sp_P55263_ADK_HUMAN_.pdf</v>
      </c>
      <c r="AA1157" t="s">
        <v>12022</v>
      </c>
      <c r="AB1157" t="s">
        <v>15582</v>
      </c>
    </row>
    <row r="1158" spans="1:28" x14ac:dyDescent="0.25">
      <c r="A1158" t="s">
        <v>1162</v>
      </c>
      <c r="B1158">
        <v>0.98018197421672304</v>
      </c>
      <c r="C1158">
        <v>0.87903135383564301</v>
      </c>
      <c r="D1158">
        <v>0.87659601172440205</v>
      </c>
      <c r="E1158">
        <v>0.72940830690991099</v>
      </c>
      <c r="F1158">
        <v>0.65834013421551096</v>
      </c>
      <c r="G1158">
        <v>0.36237413552804898</v>
      </c>
      <c r="H1158">
        <v>0.17554169905434899</v>
      </c>
      <c r="I1158">
        <v>0.15778602436266601</v>
      </c>
      <c r="J1158">
        <v>0.17579753545592999</v>
      </c>
      <c r="K1158">
        <v>0.15947533561414901</v>
      </c>
      <c r="L1158">
        <v>667.35682166961396</v>
      </c>
      <c r="M1158">
        <v>12.4168653264339</v>
      </c>
      <c r="N1158">
        <v>54.438422237037699</v>
      </c>
      <c r="O1158">
        <v>52.409056462151597</v>
      </c>
      <c r="P1158">
        <v>-5.4915591062285697E-2</v>
      </c>
      <c r="Q1158">
        <v>7.3045703173020102E-2</v>
      </c>
      <c r="R1158">
        <v>0.97898431409204301</v>
      </c>
      <c r="S1158" t="s">
        <v>4787</v>
      </c>
      <c r="T1158" t="s">
        <v>7256</v>
      </c>
      <c r="U1158" t="s">
        <v>7256</v>
      </c>
      <c r="V1158" t="s">
        <v>7256</v>
      </c>
      <c r="W1158">
        <v>7</v>
      </c>
      <c r="X1158" t="s">
        <v>8414</v>
      </c>
      <c r="Y1158">
        <v>0.52173299458038613</v>
      </c>
      <c r="Z1158" t="str">
        <f>HYPERLINK("Melting_Curves/meltCurve_sp_P55265_5_DSRAD_HUMAN_.pdf", "Melting_Curves/meltCurve_sp_P55265_5_DSRAD_HUMAN_.pdf")</f>
        <v>Melting_Curves/meltCurve_sp_P55265_5_DSRAD_HUMAN_.pdf</v>
      </c>
      <c r="AA1158" t="s">
        <v>12023</v>
      </c>
      <c r="AB1158" t="s">
        <v>15583</v>
      </c>
    </row>
    <row r="1159" spans="1:28" x14ac:dyDescent="0.25">
      <c r="A1159" t="s">
        <v>1163</v>
      </c>
      <c r="B1159">
        <v>0.98018197421672304</v>
      </c>
      <c r="C1159">
        <v>1.08498574441133</v>
      </c>
      <c r="D1159">
        <v>1.0074659681596601</v>
      </c>
      <c r="E1159">
        <v>0.67421957666153898</v>
      </c>
      <c r="F1159">
        <v>0.391066038129389</v>
      </c>
      <c r="G1159">
        <v>0.32700223763477798</v>
      </c>
      <c r="H1159">
        <v>0.19419147731960801</v>
      </c>
      <c r="I1159">
        <v>0.202219528630147</v>
      </c>
      <c r="J1159">
        <v>0.102756599969659</v>
      </c>
      <c r="K1159">
        <v>0.23111559487640099</v>
      </c>
      <c r="L1159">
        <v>1345.75422634136</v>
      </c>
      <c r="M1159">
        <v>26.424722090362302</v>
      </c>
      <c r="N1159">
        <v>51.899939465012999</v>
      </c>
      <c r="O1159">
        <v>50.638864650551803</v>
      </c>
      <c r="P1159">
        <v>-0.104993325839648</v>
      </c>
      <c r="Q1159">
        <v>0.19519526307419399</v>
      </c>
      <c r="R1159">
        <v>0.97741394819925498</v>
      </c>
      <c r="S1159" t="s">
        <v>4788</v>
      </c>
      <c r="T1159" t="s">
        <v>7256</v>
      </c>
      <c r="U1159" t="s">
        <v>7256</v>
      </c>
      <c r="V1159" t="s">
        <v>7256</v>
      </c>
      <c r="W1159">
        <v>2</v>
      </c>
      <c r="X1159" t="s">
        <v>8415</v>
      </c>
      <c r="Y1159">
        <v>0.49486534673448002</v>
      </c>
      <c r="Z1159" t="str">
        <f>HYPERLINK("Melting_Curves/meltCurve_sp_P55268_LAMB2_HUMAN_.pdf", "Melting_Curves/meltCurve_sp_P55268_LAMB2_HUMAN_.pdf")</f>
        <v>Melting_Curves/meltCurve_sp_P55268_LAMB2_HUMAN_.pdf</v>
      </c>
      <c r="AA1159" t="s">
        <v>12024</v>
      </c>
      <c r="AB1159" t="s">
        <v>15584</v>
      </c>
    </row>
    <row r="1160" spans="1:28" x14ac:dyDescent="0.25">
      <c r="A1160" t="s">
        <v>1164</v>
      </c>
      <c r="B1160">
        <v>0.98018197421672304</v>
      </c>
      <c r="C1160">
        <v>0.98990161001233501</v>
      </c>
      <c r="D1160">
        <v>0.92864727692385896</v>
      </c>
      <c r="E1160">
        <v>0.81548760340735105</v>
      </c>
      <c r="F1160">
        <v>0.59059389683471297</v>
      </c>
      <c r="G1160">
        <v>0.176640424697251</v>
      </c>
      <c r="H1160">
        <v>5.98011291682672E-2</v>
      </c>
      <c r="I1160">
        <v>3.67730873545122E-2</v>
      </c>
      <c r="J1160">
        <v>3.8292717521148802E-2</v>
      </c>
      <c r="K1160">
        <v>3.3914075956425101E-2</v>
      </c>
      <c r="L1160">
        <v>1243.79876582662</v>
      </c>
      <c r="M1160">
        <v>23.275051392045299</v>
      </c>
      <c r="N1160">
        <v>53.524276534200702</v>
      </c>
      <c r="O1160">
        <v>53.049344598074903</v>
      </c>
      <c r="P1160">
        <v>-0.107694405648976</v>
      </c>
      <c r="Q1160">
        <v>1.8173449487602501E-2</v>
      </c>
      <c r="R1160">
        <v>0.99673103991487999</v>
      </c>
      <c r="S1160" t="s">
        <v>4789</v>
      </c>
      <c r="T1160" t="s">
        <v>7256</v>
      </c>
      <c r="U1160" t="s">
        <v>7256</v>
      </c>
      <c r="V1160" t="s">
        <v>7256</v>
      </c>
      <c r="W1160">
        <v>7</v>
      </c>
      <c r="X1160" t="s">
        <v>8416</v>
      </c>
      <c r="Y1160">
        <v>0.46833470308337999</v>
      </c>
      <c r="Z1160" t="str">
        <f>HYPERLINK("Melting_Curves/meltCurve_sp_P55735_SEC13_HUMAN_.pdf", "Melting_Curves/meltCurve_sp_P55735_SEC13_HUMAN_.pdf")</f>
        <v>Melting_Curves/meltCurve_sp_P55735_SEC13_HUMAN_.pdf</v>
      </c>
      <c r="AA1160" t="s">
        <v>12025</v>
      </c>
      <c r="AB1160" t="s">
        <v>15585</v>
      </c>
    </row>
    <row r="1161" spans="1:28" x14ac:dyDescent="0.25">
      <c r="A1161" t="s">
        <v>1165</v>
      </c>
      <c r="B1161">
        <v>0.98018197421672304</v>
      </c>
      <c r="C1161">
        <v>1.0560488102115</v>
      </c>
      <c r="D1161">
        <v>0.84686449981699696</v>
      </c>
      <c r="E1161">
        <v>0.44360216804277602</v>
      </c>
      <c r="F1161">
        <v>0.23686705559514101</v>
      </c>
      <c r="G1161">
        <v>0.14148224589563599</v>
      </c>
      <c r="H1161">
        <v>6.2042525457260099E-2</v>
      </c>
      <c r="I1161">
        <v>4.4503223324381898E-2</v>
      </c>
      <c r="J1161">
        <v>8.6879779976823598E-2</v>
      </c>
      <c r="K1161">
        <v>5.7479755672600601E-2</v>
      </c>
      <c r="L1161">
        <v>1164.12166967455</v>
      </c>
      <c r="M1161">
        <v>23.5991198098545</v>
      </c>
      <c r="N1161">
        <v>49.6378796411271</v>
      </c>
      <c r="O1161">
        <v>48.978922110520799</v>
      </c>
      <c r="P1161">
        <v>-0.11223250602905099</v>
      </c>
      <c r="Q1161">
        <v>6.8281654192003993E-2</v>
      </c>
      <c r="R1161">
        <v>0.99309798386904702</v>
      </c>
      <c r="S1161" t="s">
        <v>4790</v>
      </c>
      <c r="T1161" t="s">
        <v>7256</v>
      </c>
      <c r="U1161" t="s">
        <v>7256</v>
      </c>
      <c r="V1161" t="s">
        <v>7256</v>
      </c>
      <c r="W1161">
        <v>3</v>
      </c>
      <c r="X1161" t="s">
        <v>8417</v>
      </c>
      <c r="Y1161">
        <v>0.3673259082799773</v>
      </c>
      <c r="Z1161" t="str">
        <f>HYPERLINK("Melting_Curves/meltCurve_sp_P55769_NH2L1_HUMAN_.pdf", "Melting_Curves/meltCurve_sp_P55769_NH2L1_HUMAN_.pdf")</f>
        <v>Melting_Curves/meltCurve_sp_P55769_NH2L1_HUMAN_.pdf</v>
      </c>
      <c r="AA1161" t="s">
        <v>12026</v>
      </c>
      <c r="AB1161" t="s">
        <v>15586</v>
      </c>
    </row>
    <row r="1162" spans="1:28" x14ac:dyDescent="0.25">
      <c r="A1162" t="s">
        <v>1166</v>
      </c>
      <c r="B1162">
        <v>0.98018197421672304</v>
      </c>
      <c r="C1162">
        <v>1.0028059156692499</v>
      </c>
      <c r="D1162">
        <v>0.84771959605421499</v>
      </c>
      <c r="E1162">
        <v>0.492435780017694</v>
      </c>
      <c r="F1162">
        <v>0.32850274219963999</v>
      </c>
      <c r="G1162">
        <v>0.23520743268247701</v>
      </c>
      <c r="H1162">
        <v>0.17675718523881601</v>
      </c>
      <c r="I1162">
        <v>0.16485285210053099</v>
      </c>
      <c r="J1162">
        <v>0.21027510882411901</v>
      </c>
      <c r="K1162">
        <v>0.195017487958658</v>
      </c>
      <c r="L1162">
        <v>1116.0194415291901</v>
      </c>
      <c r="M1162">
        <v>22.767393014238301</v>
      </c>
      <c r="N1162">
        <v>50.055900126840399</v>
      </c>
      <c r="O1162">
        <v>48.644831850315903</v>
      </c>
      <c r="P1162">
        <v>-9.5000583837688404E-2</v>
      </c>
      <c r="Q1162">
        <v>0.18810208920722199</v>
      </c>
      <c r="R1162">
        <v>0.996692548012862</v>
      </c>
      <c r="S1162" t="s">
        <v>4791</v>
      </c>
      <c r="T1162" t="s">
        <v>7256</v>
      </c>
      <c r="U1162" t="s">
        <v>7256</v>
      </c>
      <c r="V1162" t="s">
        <v>7256</v>
      </c>
      <c r="W1162">
        <v>9</v>
      </c>
      <c r="X1162" t="s">
        <v>8418</v>
      </c>
      <c r="Y1162">
        <v>0.44089055051601472</v>
      </c>
      <c r="Z1162" t="str">
        <f>HYPERLINK("Melting_Curves/meltCurve_sp_P55795_HNRH2_HUMAN_.pdf", "Melting_Curves/meltCurve_sp_P55795_HNRH2_HUMAN_.pdf")</f>
        <v>Melting_Curves/meltCurve_sp_P55795_HNRH2_HUMAN_.pdf</v>
      </c>
      <c r="AA1162" t="s">
        <v>12027</v>
      </c>
      <c r="AB1162" t="s">
        <v>15587</v>
      </c>
    </row>
    <row r="1163" spans="1:28" x14ac:dyDescent="0.25">
      <c r="A1163" t="s">
        <v>1167</v>
      </c>
      <c r="B1163">
        <v>0.98018197421672304</v>
      </c>
      <c r="C1163">
        <v>0.91021639278425204</v>
      </c>
      <c r="D1163">
        <v>0.93983867660026899</v>
      </c>
      <c r="E1163">
        <v>0.83477978122334495</v>
      </c>
      <c r="F1163">
        <v>0.85161969028382301</v>
      </c>
      <c r="G1163">
        <v>0.71036326531453597</v>
      </c>
      <c r="H1163">
        <v>0.50541024475540897</v>
      </c>
      <c r="I1163">
        <v>0.54038686355463295</v>
      </c>
      <c r="J1163">
        <v>0.56591182164226195</v>
      </c>
      <c r="K1163">
        <v>0.70181099516221102</v>
      </c>
      <c r="L1163">
        <v>755.453996370033</v>
      </c>
      <c r="M1163">
        <v>14.293699753976499</v>
      </c>
      <c r="O1163">
        <v>51.850033479901697</v>
      </c>
      <c r="P1163">
        <v>-3.0067667494952901E-2</v>
      </c>
      <c r="Q1163">
        <v>0.56377442289575697</v>
      </c>
      <c r="R1163">
        <v>0.83215789313390898</v>
      </c>
      <c r="S1163" t="s">
        <v>4792</v>
      </c>
      <c r="T1163" t="s">
        <v>7256</v>
      </c>
      <c r="U1163" t="s">
        <v>7256</v>
      </c>
      <c r="V1163" t="s">
        <v>7256</v>
      </c>
      <c r="W1163">
        <v>3</v>
      </c>
      <c r="X1163" t="s">
        <v>8419</v>
      </c>
      <c r="Y1163">
        <v>0.76075368226745488</v>
      </c>
      <c r="Z1163" t="str">
        <f>HYPERLINK("Melting_Curves/meltCurve_sp_P55854_SUMO3_HUMAN_.pdf", "Melting_Curves/meltCurve_sp_P55854_SUMO3_HUMAN_.pdf")</f>
        <v>Melting_Curves/meltCurve_sp_P55854_SUMO3_HUMAN_.pdf</v>
      </c>
      <c r="AA1163" t="s">
        <v>12028</v>
      </c>
      <c r="AB1163" t="s">
        <v>15588</v>
      </c>
    </row>
    <row r="1164" spans="1:28" x14ac:dyDescent="0.25">
      <c r="A1164" t="s">
        <v>1168</v>
      </c>
      <c r="B1164">
        <v>0.98018197421672304</v>
      </c>
      <c r="C1164">
        <v>0.83934395331807998</v>
      </c>
      <c r="D1164">
        <v>0.91057973296747996</v>
      </c>
      <c r="E1164">
        <v>0.282960202268566</v>
      </c>
      <c r="F1164">
        <v>0.39033861845863399</v>
      </c>
      <c r="G1164">
        <v>0.17541682401068801</v>
      </c>
      <c r="H1164">
        <v>0.11209537105810601</v>
      </c>
      <c r="I1164">
        <v>8.6535077581696096E-2</v>
      </c>
      <c r="J1164">
        <v>7.7334249998254501E-2</v>
      </c>
      <c r="K1164">
        <v>5.2421709668024397E-2</v>
      </c>
      <c r="L1164">
        <v>842.52710262729704</v>
      </c>
      <c r="M1164">
        <v>17.221592659417698</v>
      </c>
      <c r="N1164">
        <v>49.409427486600201</v>
      </c>
      <c r="O1164">
        <v>48.277354603004802</v>
      </c>
      <c r="P1164">
        <v>-8.2227750833320401E-2</v>
      </c>
      <c r="Q1164">
        <v>7.8016663029003702E-2</v>
      </c>
      <c r="R1164">
        <v>0.94242247970990201</v>
      </c>
      <c r="S1164" t="s">
        <v>4793</v>
      </c>
      <c r="T1164" t="s">
        <v>7256</v>
      </c>
      <c r="U1164" t="s">
        <v>7256</v>
      </c>
      <c r="V1164" t="s">
        <v>7256</v>
      </c>
      <c r="W1164">
        <v>5</v>
      </c>
      <c r="X1164" t="s">
        <v>8420</v>
      </c>
      <c r="Y1164">
        <v>0.36970095610854692</v>
      </c>
      <c r="Z1164" t="str">
        <f>HYPERLINK("Melting_Curves/meltCurve_sp_P55884_EIF3B_HUMAN_.pdf", "Melting_Curves/meltCurve_sp_P55884_EIF3B_HUMAN_.pdf")</f>
        <v>Melting_Curves/meltCurve_sp_P55884_EIF3B_HUMAN_.pdf</v>
      </c>
      <c r="AA1164" t="s">
        <v>12029</v>
      </c>
      <c r="AB1164" t="s">
        <v>15589</v>
      </c>
    </row>
    <row r="1165" spans="1:28" x14ac:dyDescent="0.25">
      <c r="A1165" t="s">
        <v>1169</v>
      </c>
      <c r="B1165">
        <v>0.98018197421672304</v>
      </c>
      <c r="C1165">
        <v>0.997437250573463</v>
      </c>
      <c r="D1165">
        <v>0.93458177204164405</v>
      </c>
      <c r="E1165">
        <v>0.83098662298839199</v>
      </c>
      <c r="F1165">
        <v>0.761616237799004</v>
      </c>
      <c r="G1165">
        <v>0.57009879937255303</v>
      </c>
      <c r="H1165">
        <v>0.51340530381377603</v>
      </c>
      <c r="I1165">
        <v>0.52849527558770903</v>
      </c>
      <c r="J1165">
        <v>0.66986767957006998</v>
      </c>
      <c r="K1165">
        <v>0.83155291641276297</v>
      </c>
      <c r="L1165">
        <v>1282.7355454388601</v>
      </c>
      <c r="M1165">
        <v>25.413291069845901</v>
      </c>
      <c r="O1165">
        <v>50.165558397182998</v>
      </c>
      <c r="P1165">
        <v>-4.7460746005456002E-2</v>
      </c>
      <c r="Q1165">
        <v>0.62525675058811303</v>
      </c>
      <c r="R1165">
        <v>0.74537839973150799</v>
      </c>
      <c r="S1165" t="s">
        <v>4794</v>
      </c>
      <c r="T1165" t="s">
        <v>7256</v>
      </c>
      <c r="U1165" t="s">
        <v>7256</v>
      </c>
      <c r="V1165" t="s">
        <v>7256</v>
      </c>
      <c r="W1165">
        <v>10</v>
      </c>
      <c r="X1165" t="s">
        <v>8421</v>
      </c>
      <c r="Y1165">
        <v>0.75936241304066054</v>
      </c>
      <c r="Z1165" t="str">
        <f>HYPERLINK("Melting_Curves/meltCurve_sp_P56181_2_NDUV3_HUMAN_.pdf", "Melting_Curves/meltCurve_sp_P56181_2_NDUV3_HUMAN_.pdf")</f>
        <v>Melting_Curves/meltCurve_sp_P56181_2_NDUV3_HUMAN_.pdf</v>
      </c>
      <c r="AA1165" t="s">
        <v>12030</v>
      </c>
      <c r="AB1165" t="s">
        <v>15590</v>
      </c>
    </row>
    <row r="1166" spans="1:28" x14ac:dyDescent="0.25">
      <c r="A1166" t="s">
        <v>1170</v>
      </c>
      <c r="B1166">
        <v>0.98018197421672304</v>
      </c>
      <c r="C1166">
        <v>0.77237310802583103</v>
      </c>
      <c r="D1166">
        <v>0.76914148335508803</v>
      </c>
      <c r="E1166">
        <v>0.610652903025384</v>
      </c>
      <c r="F1166">
        <v>0.47007627260678497</v>
      </c>
      <c r="G1166">
        <v>0.27650169767975602</v>
      </c>
      <c r="H1166">
        <v>0.37635049128331499</v>
      </c>
      <c r="I1166">
        <v>0.217046897340055</v>
      </c>
      <c r="J1166">
        <v>0.173384951090129</v>
      </c>
      <c r="K1166">
        <v>0.30041659345433402</v>
      </c>
      <c r="L1166">
        <v>502.99678395374599</v>
      </c>
      <c r="M1166">
        <v>10.1635176264357</v>
      </c>
      <c r="N1166">
        <v>51.889695378476397</v>
      </c>
      <c r="O1166">
        <v>47.689156170754103</v>
      </c>
      <c r="P1166">
        <v>-4.3310874417206199E-2</v>
      </c>
      <c r="Q1166">
        <v>0.18748001068935999</v>
      </c>
      <c r="R1166">
        <v>0.94519986569576198</v>
      </c>
      <c r="S1166" t="s">
        <v>4795</v>
      </c>
      <c r="T1166" t="s">
        <v>7256</v>
      </c>
      <c r="U1166" t="s">
        <v>7256</v>
      </c>
      <c r="V1166" t="s">
        <v>7256</v>
      </c>
      <c r="W1166">
        <v>1</v>
      </c>
      <c r="X1166" t="s">
        <v>8422</v>
      </c>
      <c r="Y1166">
        <v>0.48190024991816199</v>
      </c>
      <c r="Z1166" t="str">
        <f>HYPERLINK("Melting_Curves/meltCurve_sp_P56181_NDUV3_HUMAN_.pdf", "Melting_Curves/meltCurve_sp_P56181_NDUV3_HUMAN_.pdf")</f>
        <v>Melting_Curves/meltCurve_sp_P56181_NDUV3_HUMAN_.pdf</v>
      </c>
      <c r="AA1166" t="s">
        <v>12030</v>
      </c>
      <c r="AB1166" t="s">
        <v>15591</v>
      </c>
    </row>
    <row r="1167" spans="1:28" x14ac:dyDescent="0.25">
      <c r="A1167" t="s">
        <v>1171</v>
      </c>
      <c r="B1167">
        <v>0.98018197421672304</v>
      </c>
      <c r="C1167">
        <v>0.78134241163412899</v>
      </c>
      <c r="D1167">
        <v>0.50171898599293896</v>
      </c>
      <c r="E1167">
        <v>0.28098004843373903</v>
      </c>
      <c r="F1167">
        <v>0.18957262373342901</v>
      </c>
      <c r="G1167">
        <v>0.113498428001549</v>
      </c>
      <c r="H1167">
        <v>9.4492863132914898E-2</v>
      </c>
      <c r="I1167">
        <v>7.7219578194572897E-2</v>
      </c>
      <c r="J1167">
        <v>8.9355698565961802E-2</v>
      </c>
      <c r="K1167">
        <v>5.1540581633350901E-2</v>
      </c>
      <c r="L1167">
        <v>773.28317983483203</v>
      </c>
      <c r="M1167">
        <v>16.835176402319799</v>
      </c>
      <c r="N1167">
        <v>46.3937684585703</v>
      </c>
      <c r="O1167">
        <v>45.299177695005298</v>
      </c>
      <c r="P1167">
        <v>-8.5757833215747495E-2</v>
      </c>
      <c r="Q1167">
        <v>7.7049200309306801E-2</v>
      </c>
      <c r="R1167">
        <v>0.99455566054894295</v>
      </c>
      <c r="S1167" t="s">
        <v>4796</v>
      </c>
      <c r="T1167" t="s">
        <v>7256</v>
      </c>
      <c r="U1167" t="s">
        <v>7256</v>
      </c>
      <c r="V1167" t="s">
        <v>7256</v>
      </c>
      <c r="W1167">
        <v>10</v>
      </c>
      <c r="X1167" t="s">
        <v>8423</v>
      </c>
      <c r="Y1167">
        <v>0.28070281103563549</v>
      </c>
      <c r="Z1167" t="str">
        <f>HYPERLINK("Melting_Curves/meltCurve_sp_P56192_SYMC_HUMAN_.pdf", "Melting_Curves/meltCurve_sp_P56192_SYMC_HUMAN_.pdf")</f>
        <v>Melting_Curves/meltCurve_sp_P56192_SYMC_HUMAN_.pdf</v>
      </c>
      <c r="AA1167" t="s">
        <v>12031</v>
      </c>
      <c r="AB1167" t="s">
        <v>15592</v>
      </c>
    </row>
    <row r="1168" spans="1:28" x14ac:dyDescent="0.25">
      <c r="A1168" t="s">
        <v>1172</v>
      </c>
      <c r="B1168">
        <v>0.98018197421672304</v>
      </c>
      <c r="C1168">
        <v>1.02694702788125</v>
      </c>
      <c r="D1168">
        <v>0.80561820849876897</v>
      </c>
      <c r="E1168">
        <v>0.824124831879116</v>
      </c>
      <c r="F1168">
        <v>0.59807902719152395</v>
      </c>
      <c r="G1168">
        <v>0.56694269932159402</v>
      </c>
      <c r="H1168">
        <v>0.35305944194315902</v>
      </c>
      <c r="I1168">
        <v>0.35258860461378499</v>
      </c>
      <c r="J1168">
        <v>0.34825116384103899</v>
      </c>
      <c r="K1168">
        <v>0.40505702463925303</v>
      </c>
      <c r="L1168">
        <v>666.72962715120798</v>
      </c>
      <c r="M1168">
        <v>12.719882016680099</v>
      </c>
      <c r="N1168">
        <v>57.017835381082101</v>
      </c>
      <c r="O1168">
        <v>51.1714585809057</v>
      </c>
      <c r="P1168">
        <v>-4.2211220804223598E-2</v>
      </c>
      <c r="Q1168">
        <v>0.320876013838714</v>
      </c>
      <c r="R1168">
        <v>0.94996138112334905</v>
      </c>
      <c r="S1168" t="s">
        <v>4797</v>
      </c>
      <c r="T1168" t="s">
        <v>7256</v>
      </c>
      <c r="U1168" t="s">
        <v>7256</v>
      </c>
      <c r="V1168" t="s">
        <v>7256</v>
      </c>
      <c r="W1168">
        <v>3</v>
      </c>
      <c r="X1168" t="s">
        <v>8424</v>
      </c>
      <c r="Y1168">
        <v>0.62072603485928757</v>
      </c>
      <c r="Z1168" t="str">
        <f>HYPERLINK("Melting_Curves/meltCurve_sp_P56211_2_ARP19_HUMAN_.pdf", "Melting_Curves/meltCurve_sp_P56211_2_ARP19_HUMAN_.pdf")</f>
        <v>Melting_Curves/meltCurve_sp_P56211_2_ARP19_HUMAN_.pdf</v>
      </c>
      <c r="AA1168" t="s">
        <v>12032</v>
      </c>
      <c r="AB1168" t="s">
        <v>15593</v>
      </c>
    </row>
    <row r="1169" spans="1:28" x14ac:dyDescent="0.25">
      <c r="A1169" t="s">
        <v>1173</v>
      </c>
      <c r="B1169">
        <v>0.98018197421672304</v>
      </c>
      <c r="C1169">
        <v>1.0571575460468601</v>
      </c>
      <c r="D1169">
        <v>0.941090558117053</v>
      </c>
      <c r="E1169">
        <v>0.85207999963120196</v>
      </c>
      <c r="F1169">
        <v>0.86478576257221396</v>
      </c>
      <c r="G1169">
        <v>0.72218853236389602</v>
      </c>
      <c r="H1169">
        <v>0.51593096572318198</v>
      </c>
      <c r="I1169">
        <v>0.59849898555911596</v>
      </c>
      <c r="J1169">
        <v>0.62349029782938103</v>
      </c>
      <c r="K1169">
        <v>0.88201449129805398</v>
      </c>
      <c r="L1169">
        <v>1101.5173947186399</v>
      </c>
      <c r="M1169">
        <v>21.1830515483665</v>
      </c>
      <c r="O1169">
        <v>51.5431955267616</v>
      </c>
      <c r="P1169">
        <v>-3.4896662740881601E-2</v>
      </c>
      <c r="Q1169">
        <v>0.66036280677163495</v>
      </c>
      <c r="R1169">
        <v>0.68158988347943295</v>
      </c>
      <c r="S1169" t="s">
        <v>4798</v>
      </c>
      <c r="T1169" t="s">
        <v>7256</v>
      </c>
      <c r="U1169" t="s">
        <v>7256</v>
      </c>
      <c r="V1169" t="s">
        <v>7256</v>
      </c>
      <c r="W1169">
        <v>5</v>
      </c>
      <c r="X1169" t="s">
        <v>8425</v>
      </c>
      <c r="Y1169">
        <v>0.80045209711467602</v>
      </c>
      <c r="Z1169" t="str">
        <f>HYPERLINK("Melting_Curves/meltCurve_sp_P56277_CMC4_HUMAN_.pdf", "Melting_Curves/meltCurve_sp_P56277_CMC4_HUMAN_.pdf")</f>
        <v>Melting_Curves/meltCurve_sp_P56277_CMC4_HUMAN_.pdf</v>
      </c>
      <c r="AA1169" t="s">
        <v>12033</v>
      </c>
      <c r="AB1169" t="s">
        <v>15594</v>
      </c>
    </row>
    <row r="1170" spans="1:28" x14ac:dyDescent="0.25">
      <c r="A1170" t="s">
        <v>1174</v>
      </c>
      <c r="B1170">
        <v>0.98018197421672304</v>
      </c>
      <c r="C1170">
        <v>1.0527853735665</v>
      </c>
      <c r="D1170">
        <v>0.95928413550400604</v>
      </c>
      <c r="E1170">
        <v>0.82619455660838503</v>
      </c>
      <c r="F1170">
        <v>0.75830906411775401</v>
      </c>
      <c r="G1170">
        <v>0.40958658949221199</v>
      </c>
      <c r="H1170">
        <v>0.15538414318586299</v>
      </c>
      <c r="I1170">
        <v>0.10805293571095601</v>
      </c>
      <c r="J1170">
        <v>0.110829237366392</v>
      </c>
      <c r="K1170">
        <v>9.9110208245632506E-2</v>
      </c>
      <c r="L1170">
        <v>1066.4794552933299</v>
      </c>
      <c r="M1170">
        <v>19.294454270318699</v>
      </c>
      <c r="N1170">
        <v>55.659568874503698</v>
      </c>
      <c r="O1170">
        <v>54.690394588582599</v>
      </c>
      <c r="P1170">
        <v>-8.2682816659131006E-2</v>
      </c>
      <c r="Q1170">
        <v>6.25727051422095E-2</v>
      </c>
      <c r="R1170">
        <v>0.99137166106816998</v>
      </c>
      <c r="S1170" t="s">
        <v>4799</v>
      </c>
      <c r="T1170" t="s">
        <v>7256</v>
      </c>
      <c r="U1170" t="s">
        <v>7256</v>
      </c>
      <c r="V1170" t="s">
        <v>7256</v>
      </c>
      <c r="W1170">
        <v>6</v>
      </c>
      <c r="X1170" t="s">
        <v>8426</v>
      </c>
      <c r="Y1170">
        <v>0.55288721009822461</v>
      </c>
      <c r="Z1170" t="str">
        <f>HYPERLINK("Melting_Curves/meltCurve_sp_P56470_LEG4_HUMAN_.pdf", "Melting_Curves/meltCurve_sp_P56470_LEG4_HUMAN_.pdf")</f>
        <v>Melting_Curves/meltCurve_sp_P56470_LEG4_HUMAN_.pdf</v>
      </c>
      <c r="AA1170" t="s">
        <v>12034</v>
      </c>
      <c r="AB1170" t="s">
        <v>15595</v>
      </c>
    </row>
    <row r="1171" spans="1:28" x14ac:dyDescent="0.25">
      <c r="A1171" t="s">
        <v>1175</v>
      </c>
      <c r="B1171">
        <v>0.98018197421672304</v>
      </c>
      <c r="C1171">
        <v>1.0465169689937699</v>
      </c>
      <c r="D1171">
        <v>0.91797689876262301</v>
      </c>
      <c r="E1171">
        <v>0.84356498677327096</v>
      </c>
      <c r="F1171">
        <v>0.80239231273840095</v>
      </c>
      <c r="G1171">
        <v>0.55964444020713899</v>
      </c>
      <c r="H1171">
        <v>0.17725260787918901</v>
      </c>
      <c r="I1171">
        <v>5.7997387225675698E-2</v>
      </c>
      <c r="J1171">
        <v>5.1392545165676498E-2</v>
      </c>
      <c r="K1171">
        <v>3.9159151718117201E-2</v>
      </c>
      <c r="L1171">
        <v>1081.44903674528</v>
      </c>
      <c r="M1171">
        <v>19.0123228797775</v>
      </c>
      <c r="N1171">
        <v>56.881478454741597</v>
      </c>
      <c r="O1171">
        <v>56.263397418189598</v>
      </c>
      <c r="P1171">
        <v>-8.4482450618580604E-2</v>
      </c>
      <c r="Q1171">
        <v>0</v>
      </c>
      <c r="R1171">
        <v>0.98469392465362504</v>
      </c>
      <c r="S1171" t="s">
        <v>4800</v>
      </c>
      <c r="T1171" t="s">
        <v>7256</v>
      </c>
      <c r="U1171" t="s">
        <v>7256</v>
      </c>
      <c r="V1171" t="s">
        <v>7256</v>
      </c>
      <c r="W1171">
        <v>4</v>
      </c>
      <c r="X1171" t="s">
        <v>8427</v>
      </c>
      <c r="Y1171">
        <v>0.57579268755526625</v>
      </c>
      <c r="Z1171" t="str">
        <f>HYPERLINK("Melting_Curves/meltCurve_sp_P56537_IF6_HUMAN_.pdf", "Melting_Curves/meltCurve_sp_P56537_IF6_HUMAN_.pdf")</f>
        <v>Melting_Curves/meltCurve_sp_P56537_IF6_HUMAN_.pdf</v>
      </c>
      <c r="AA1171" t="s">
        <v>12035</v>
      </c>
      <c r="AB1171" t="s">
        <v>15596</v>
      </c>
    </row>
    <row r="1172" spans="1:28" x14ac:dyDescent="0.25">
      <c r="A1172" t="s">
        <v>1176</v>
      </c>
      <c r="B1172">
        <v>0.98018197421672304</v>
      </c>
      <c r="C1172">
        <v>0.97123222392033703</v>
      </c>
      <c r="D1172">
        <v>0.78116372125550704</v>
      </c>
      <c r="E1172">
        <v>0.71373953630758902</v>
      </c>
      <c r="F1172">
        <v>0.75882701966976596</v>
      </c>
      <c r="G1172">
        <v>0.222884643788613</v>
      </c>
      <c r="H1172">
        <v>0.14770799438974</v>
      </c>
      <c r="I1172">
        <v>0.116793769737948</v>
      </c>
      <c r="J1172">
        <v>0.19227513392485199</v>
      </c>
      <c r="K1172">
        <v>7.1347919919200406E-2</v>
      </c>
      <c r="L1172">
        <v>725.07281601660804</v>
      </c>
      <c r="M1172">
        <v>13.4791749735635</v>
      </c>
      <c r="N1172">
        <v>54.104263414428303</v>
      </c>
      <c r="O1172">
        <v>52.649500515227203</v>
      </c>
      <c r="P1172">
        <v>-6.1619105919954002E-2</v>
      </c>
      <c r="Q1172">
        <v>3.7413640009562703E-2</v>
      </c>
      <c r="R1172">
        <v>0.93610163981825401</v>
      </c>
      <c r="S1172" t="s">
        <v>4801</v>
      </c>
      <c r="T1172" t="s">
        <v>7256</v>
      </c>
      <c r="U1172" t="s">
        <v>7256</v>
      </c>
      <c r="V1172" t="s">
        <v>7256</v>
      </c>
      <c r="W1172">
        <v>1</v>
      </c>
      <c r="X1172" t="s">
        <v>8428</v>
      </c>
      <c r="Y1172">
        <v>0.50264793168162525</v>
      </c>
      <c r="Z1172" t="str">
        <f>HYPERLINK("Melting_Curves/meltCurve_sp_P57105_SYJ2B_HUMAN_.pdf", "Melting_Curves/meltCurve_sp_P57105_SYJ2B_HUMAN_.pdf")</f>
        <v>Melting_Curves/meltCurve_sp_P57105_SYJ2B_HUMAN_.pdf</v>
      </c>
      <c r="AA1172" t="s">
        <v>12036</v>
      </c>
      <c r="AB1172" t="s">
        <v>15597</v>
      </c>
    </row>
    <row r="1173" spans="1:28" x14ac:dyDescent="0.25">
      <c r="A1173" t="s">
        <v>1177</v>
      </c>
      <c r="B1173">
        <v>0.98018197421672304</v>
      </c>
      <c r="C1173">
        <v>0.96622890212299095</v>
      </c>
      <c r="D1173">
        <v>0.86037251094263101</v>
      </c>
      <c r="E1173">
        <v>0.553204487405624</v>
      </c>
      <c r="F1173">
        <v>0.39671895613636998</v>
      </c>
      <c r="G1173">
        <v>0.20599161973994701</v>
      </c>
      <c r="H1173">
        <v>0.179176338725587</v>
      </c>
      <c r="I1173">
        <v>0.11641662408954501</v>
      </c>
      <c r="J1173">
        <v>0.23528870099692301</v>
      </c>
      <c r="K1173">
        <v>0.111779937845292</v>
      </c>
      <c r="L1173">
        <v>912.84084000536404</v>
      </c>
      <c r="M1173">
        <v>18.259569105386898</v>
      </c>
      <c r="N1173">
        <v>50.944212747004897</v>
      </c>
      <c r="O1173">
        <v>49.404416200760799</v>
      </c>
      <c r="P1173">
        <v>-7.9049188988054894E-2</v>
      </c>
      <c r="Q1173">
        <v>0.14451495575540499</v>
      </c>
      <c r="R1173">
        <v>0.98952653605735896</v>
      </c>
      <c r="S1173" t="s">
        <v>4802</v>
      </c>
      <c r="T1173" t="s">
        <v>7256</v>
      </c>
      <c r="U1173" t="s">
        <v>7256</v>
      </c>
      <c r="V1173" t="s">
        <v>7256</v>
      </c>
      <c r="W1173">
        <v>2</v>
      </c>
      <c r="X1173" t="s">
        <v>8429</v>
      </c>
      <c r="Y1173">
        <v>0.44365993158885447</v>
      </c>
      <c r="Z1173" t="str">
        <f>HYPERLINK("Melting_Curves/meltCurve_sp_P57740_NU107_HUMAN_.pdf", "Melting_Curves/meltCurve_sp_P57740_NU107_HUMAN_.pdf")</f>
        <v>Melting_Curves/meltCurve_sp_P57740_NU107_HUMAN_.pdf</v>
      </c>
      <c r="AA1173" t="s">
        <v>12037</v>
      </c>
      <c r="AB1173" t="s">
        <v>15598</v>
      </c>
    </row>
    <row r="1174" spans="1:28" x14ac:dyDescent="0.25">
      <c r="A1174" t="s">
        <v>1178</v>
      </c>
      <c r="B1174">
        <v>0.98018197421672304</v>
      </c>
      <c r="C1174">
        <v>0.84032896769671905</v>
      </c>
      <c r="D1174">
        <v>0.89273425998148803</v>
      </c>
      <c r="E1174">
        <v>0.58000563315341702</v>
      </c>
      <c r="F1174">
        <v>0.217299485183437</v>
      </c>
      <c r="G1174">
        <v>0.10651887089961</v>
      </c>
      <c r="H1174">
        <v>6.3994262729972495E-2</v>
      </c>
      <c r="I1174">
        <v>5.3912286393900603E-2</v>
      </c>
      <c r="J1174">
        <v>8.0373534081538606E-2</v>
      </c>
      <c r="K1174">
        <v>6.1007947624390303E-2</v>
      </c>
      <c r="L1174">
        <v>1143.81656271415</v>
      </c>
      <c r="M1174">
        <v>22.8345078527643</v>
      </c>
      <c r="N1174">
        <v>50.3395595745015</v>
      </c>
      <c r="O1174">
        <v>49.712146737520101</v>
      </c>
      <c r="P1174">
        <v>-0.108727145303321</v>
      </c>
      <c r="Q1174">
        <v>5.3195145631292101E-2</v>
      </c>
      <c r="R1174">
        <v>0.98217754543880298</v>
      </c>
      <c r="S1174" t="s">
        <v>4803</v>
      </c>
      <c r="T1174" t="s">
        <v>7256</v>
      </c>
      <c r="U1174" t="s">
        <v>7256</v>
      </c>
      <c r="V1174" t="s">
        <v>7256</v>
      </c>
      <c r="W1174">
        <v>7</v>
      </c>
      <c r="X1174" t="s">
        <v>8430</v>
      </c>
      <c r="Y1174">
        <v>0.3818383550507497</v>
      </c>
      <c r="Z1174" t="str">
        <f>HYPERLINK("Melting_Curves/meltCurve_sp_P57764_GSDMD_HUMAN_.pdf", "Melting_Curves/meltCurve_sp_P57764_GSDMD_HUMAN_.pdf")</f>
        <v>Melting_Curves/meltCurve_sp_P57764_GSDMD_HUMAN_.pdf</v>
      </c>
      <c r="AA1174" t="s">
        <v>12038</v>
      </c>
      <c r="AB1174" t="s">
        <v>15599</v>
      </c>
    </row>
    <row r="1175" spans="1:28" x14ac:dyDescent="0.25">
      <c r="A1175" t="s">
        <v>1179</v>
      </c>
      <c r="B1175">
        <v>0.98018197421672304</v>
      </c>
      <c r="C1175">
        <v>0.83845474833024103</v>
      </c>
      <c r="D1175">
        <v>0.53016814637980203</v>
      </c>
      <c r="E1175">
        <v>0.205253803936808</v>
      </c>
      <c r="F1175">
        <v>8.9751472707316898E-2</v>
      </c>
      <c r="G1175">
        <v>5.2560223448605801E-2</v>
      </c>
      <c r="H1175">
        <v>3.8693833161833099E-2</v>
      </c>
      <c r="I1175">
        <v>3.1790927602065998E-2</v>
      </c>
      <c r="J1175">
        <v>2.6487348932909199E-2</v>
      </c>
      <c r="K1175">
        <v>1.7571131856613201E-2</v>
      </c>
      <c r="L1175">
        <v>956.38261887163401</v>
      </c>
      <c r="M1175">
        <v>20.689002503401198</v>
      </c>
      <c r="N1175">
        <v>46.353829507142599</v>
      </c>
      <c r="O1175">
        <v>45.801235574835303</v>
      </c>
      <c r="P1175">
        <v>-0.109814698119385</v>
      </c>
      <c r="Q1175">
        <v>2.7598164338515401E-2</v>
      </c>
      <c r="R1175">
        <v>0.99946464600180296</v>
      </c>
      <c r="S1175" t="s">
        <v>4804</v>
      </c>
      <c r="T1175" t="s">
        <v>7256</v>
      </c>
      <c r="U1175" t="s">
        <v>7256</v>
      </c>
      <c r="V1175" t="s">
        <v>7256</v>
      </c>
      <c r="W1175">
        <v>6</v>
      </c>
      <c r="X1175" t="s">
        <v>8431</v>
      </c>
      <c r="Y1175">
        <v>0.24313125246993991</v>
      </c>
      <c r="Z1175" t="str">
        <f>HYPERLINK("Melting_Curves/meltCurve_sp_P57772_SELB_HUMAN_.pdf", "Melting_Curves/meltCurve_sp_P57772_SELB_HUMAN_.pdf")</f>
        <v>Melting_Curves/meltCurve_sp_P57772_SELB_HUMAN_.pdf</v>
      </c>
      <c r="AA1175" t="s">
        <v>12039</v>
      </c>
      <c r="AB1175" t="s">
        <v>15600</v>
      </c>
    </row>
    <row r="1176" spans="1:28" x14ac:dyDescent="0.25">
      <c r="A1176" t="s">
        <v>1180</v>
      </c>
      <c r="B1176">
        <v>0.98018197421672304</v>
      </c>
      <c r="C1176">
        <v>0.989564899338788</v>
      </c>
      <c r="D1176">
        <v>0.93484312801108704</v>
      </c>
      <c r="E1176">
        <v>0.86008848033754004</v>
      </c>
      <c r="F1176">
        <v>0.78119876843193303</v>
      </c>
      <c r="G1176">
        <v>0.58572084430568505</v>
      </c>
      <c r="H1176">
        <v>0.35775498555933699</v>
      </c>
      <c r="I1176">
        <v>0.35324667702253099</v>
      </c>
      <c r="J1176">
        <v>0.333681006781885</v>
      </c>
      <c r="K1176">
        <v>0.52591869869946595</v>
      </c>
      <c r="L1176">
        <v>1084.7795051276</v>
      </c>
      <c r="M1176">
        <v>20.049386150341199</v>
      </c>
      <c r="N1176">
        <v>58.188711533923303</v>
      </c>
      <c r="O1176">
        <v>53.575742998833903</v>
      </c>
      <c r="P1176">
        <v>-5.8235544499587302E-2</v>
      </c>
      <c r="Q1176">
        <v>0.37755461274252</v>
      </c>
      <c r="R1176">
        <v>0.94058674443402401</v>
      </c>
      <c r="S1176" t="s">
        <v>4805</v>
      </c>
      <c r="T1176" t="s">
        <v>7256</v>
      </c>
      <c r="U1176" t="s">
        <v>7256</v>
      </c>
      <c r="V1176" t="s">
        <v>7256</v>
      </c>
      <c r="W1176">
        <v>5</v>
      </c>
      <c r="X1176" t="s">
        <v>8432</v>
      </c>
      <c r="Y1176">
        <v>0.67862765187425256</v>
      </c>
      <c r="Z1176" t="str">
        <f>HYPERLINK("Melting_Curves/meltCurve_sp_P58546_MTPN_HUMAN_.pdf", "Melting_Curves/meltCurve_sp_P58546_MTPN_HUMAN_.pdf")</f>
        <v>Melting_Curves/meltCurve_sp_P58546_MTPN_HUMAN_.pdf</v>
      </c>
      <c r="AA1176" t="s">
        <v>12040</v>
      </c>
      <c r="AB1176" t="s">
        <v>15601</v>
      </c>
    </row>
    <row r="1177" spans="1:28" x14ac:dyDescent="0.25">
      <c r="A1177" t="s">
        <v>1181</v>
      </c>
      <c r="B1177">
        <v>0.98018197421672304</v>
      </c>
      <c r="C1177">
        <v>0.85457942881833904</v>
      </c>
      <c r="D1177">
        <v>0.71813273071872397</v>
      </c>
      <c r="E1177">
        <v>0.384834958539165</v>
      </c>
      <c r="F1177">
        <v>0.229039064245215</v>
      </c>
      <c r="G1177">
        <v>0.14683384476626701</v>
      </c>
      <c r="H1177">
        <v>7.9859420884983601E-2</v>
      </c>
      <c r="I1177">
        <v>5.9285533586431301E-2</v>
      </c>
      <c r="J1177">
        <v>6.3757156891209504E-2</v>
      </c>
      <c r="K1177">
        <v>5.5943026162527498E-2</v>
      </c>
      <c r="L1177">
        <v>756.474796123945</v>
      </c>
      <c r="M1177">
        <v>15.6858212359357</v>
      </c>
      <c r="N1177">
        <v>48.547046465669197</v>
      </c>
      <c r="O1177">
        <v>47.463233668075297</v>
      </c>
      <c r="P1177">
        <v>-7.8565333805714496E-2</v>
      </c>
      <c r="Q1177">
        <v>4.9167113704736802E-2</v>
      </c>
      <c r="R1177">
        <v>0.99821191711313895</v>
      </c>
      <c r="S1177" t="s">
        <v>4806</v>
      </c>
      <c r="T1177" t="s">
        <v>7256</v>
      </c>
      <c r="U1177" t="s">
        <v>7256</v>
      </c>
      <c r="V1177" t="s">
        <v>7256</v>
      </c>
      <c r="W1177">
        <v>2</v>
      </c>
      <c r="X1177" t="s">
        <v>8433</v>
      </c>
      <c r="Y1177">
        <v>0.33207572291314491</v>
      </c>
      <c r="Z1177" t="str">
        <f>HYPERLINK("Melting_Curves/meltCurve_sp_P59666_DEF3_HUMAN_.pdf", "Melting_Curves/meltCurve_sp_P59666_DEF3_HUMAN_.pdf")</f>
        <v>Melting_Curves/meltCurve_sp_P59666_DEF3_HUMAN_.pdf</v>
      </c>
      <c r="AA1177" t="s">
        <v>12041</v>
      </c>
      <c r="AB1177" t="s">
        <v>15602</v>
      </c>
    </row>
    <row r="1178" spans="1:28" x14ac:dyDescent="0.25">
      <c r="A1178" t="s">
        <v>1182</v>
      </c>
      <c r="B1178">
        <v>0.98018197421672304</v>
      </c>
      <c r="C1178">
        <v>0.97795276600814096</v>
      </c>
      <c r="D1178">
        <v>0.90883351349807096</v>
      </c>
      <c r="E1178">
        <v>0.82651690208486495</v>
      </c>
      <c r="F1178">
        <v>0.72630451806563301</v>
      </c>
      <c r="G1178">
        <v>0.45645573334151701</v>
      </c>
      <c r="H1178">
        <v>0.15204718690886199</v>
      </c>
      <c r="I1178">
        <v>8.4716552179191398E-2</v>
      </c>
      <c r="J1178">
        <v>8.4045482940924995E-2</v>
      </c>
      <c r="K1178">
        <v>7.0966840942286405E-2</v>
      </c>
      <c r="L1178">
        <v>876.91127458949597</v>
      </c>
      <c r="M1178">
        <v>15.7201751028026</v>
      </c>
      <c r="N1178">
        <v>55.782541249759703</v>
      </c>
      <c r="O1178">
        <v>54.903275196897098</v>
      </c>
      <c r="P1178">
        <v>-7.1587268903738094E-2</v>
      </c>
      <c r="Q1178">
        <v>0</v>
      </c>
      <c r="R1178">
        <v>0.991079221294489</v>
      </c>
      <c r="S1178" t="s">
        <v>4807</v>
      </c>
      <c r="T1178" t="s">
        <v>7256</v>
      </c>
      <c r="U1178" t="s">
        <v>7256</v>
      </c>
      <c r="V1178" t="s">
        <v>7256</v>
      </c>
      <c r="W1178">
        <v>6</v>
      </c>
      <c r="X1178" t="s">
        <v>8434</v>
      </c>
      <c r="Y1178">
        <v>0.54340850255642914</v>
      </c>
      <c r="Z1178" t="str">
        <f>HYPERLINK("Melting_Curves/meltCurve_sp_P59998_ARPC4_HUMAN_.pdf", "Melting_Curves/meltCurve_sp_P59998_ARPC4_HUMAN_.pdf")</f>
        <v>Melting_Curves/meltCurve_sp_P59998_ARPC4_HUMAN_.pdf</v>
      </c>
      <c r="AA1178" t="s">
        <v>12042</v>
      </c>
      <c r="AB1178" t="s">
        <v>15603</v>
      </c>
    </row>
    <row r="1179" spans="1:28" x14ac:dyDescent="0.25">
      <c r="A1179" t="s">
        <v>1183</v>
      </c>
      <c r="B1179">
        <v>0.98018197421672304</v>
      </c>
      <c r="C1179">
        <v>0.97646142851719597</v>
      </c>
      <c r="D1179">
        <v>0.98939111103600197</v>
      </c>
      <c r="E1179">
        <v>0.86341283406984604</v>
      </c>
      <c r="F1179">
        <v>0.82817063454659201</v>
      </c>
      <c r="G1179">
        <v>0.73506233588439696</v>
      </c>
      <c r="H1179">
        <v>0.42071666443401501</v>
      </c>
      <c r="I1179">
        <v>0.255047101995659</v>
      </c>
      <c r="J1179">
        <v>0.16917015922911799</v>
      </c>
      <c r="K1179">
        <v>0.20539424051672001</v>
      </c>
      <c r="L1179">
        <v>846.81837817056896</v>
      </c>
      <c r="M1179">
        <v>14.3026204045561</v>
      </c>
      <c r="N1179">
        <v>59.711983635153999</v>
      </c>
      <c r="O1179">
        <v>58.085871257196203</v>
      </c>
      <c r="P1179">
        <v>-5.8059994789579503E-2</v>
      </c>
      <c r="Q1179">
        <v>5.6940733884701202E-2</v>
      </c>
      <c r="R1179">
        <v>0.98163943647287399</v>
      </c>
      <c r="S1179" t="s">
        <v>4808</v>
      </c>
      <c r="T1179" t="s">
        <v>7256</v>
      </c>
      <c r="U1179" t="s">
        <v>7256</v>
      </c>
      <c r="V1179" t="s">
        <v>7256</v>
      </c>
      <c r="W1179">
        <v>20</v>
      </c>
      <c r="X1179" t="s">
        <v>8435</v>
      </c>
      <c r="Y1179">
        <v>0.66960960427430127</v>
      </c>
      <c r="Z1179" t="str">
        <f>HYPERLINK("Melting_Curves/meltCurve_sp_P60174_1_TPIS_HUMAN_.pdf", "Melting_Curves/meltCurve_sp_P60174_1_TPIS_HUMAN_.pdf")</f>
        <v>Melting_Curves/meltCurve_sp_P60174_1_TPIS_HUMAN_.pdf</v>
      </c>
      <c r="AA1179" t="s">
        <v>12043</v>
      </c>
      <c r="AB1179" t="s">
        <v>15604</v>
      </c>
    </row>
    <row r="1180" spans="1:28" x14ac:dyDescent="0.25">
      <c r="A1180" t="s">
        <v>1184</v>
      </c>
      <c r="B1180">
        <v>0.98018197421672304</v>
      </c>
      <c r="C1180">
        <v>0.97842454290055703</v>
      </c>
      <c r="D1180">
        <v>0.72739531587038297</v>
      </c>
      <c r="E1180">
        <v>0.223936539442709</v>
      </c>
      <c r="F1180">
        <v>0.107444732939755</v>
      </c>
      <c r="G1180">
        <v>7.82717882509264E-2</v>
      </c>
      <c r="H1180">
        <v>5.5692104816180303E-2</v>
      </c>
      <c r="I1180">
        <v>4.4002821409112297E-2</v>
      </c>
      <c r="J1180">
        <v>8.6474743166262705E-2</v>
      </c>
      <c r="K1180">
        <v>3.2758179390402598E-2</v>
      </c>
      <c r="L1180">
        <v>1411.35450528261</v>
      </c>
      <c r="M1180">
        <v>29.763968931218901</v>
      </c>
      <c r="N1180">
        <v>47.619666814040102</v>
      </c>
      <c r="O1180">
        <v>47.205717116063703</v>
      </c>
      <c r="P1180">
        <v>-0.14830666581364799</v>
      </c>
      <c r="Q1180">
        <v>5.9147604164690802E-2</v>
      </c>
      <c r="R1180">
        <v>0.99822458295453498</v>
      </c>
      <c r="S1180" t="s">
        <v>4809</v>
      </c>
      <c r="T1180" t="s">
        <v>7256</v>
      </c>
      <c r="U1180" t="s">
        <v>7256</v>
      </c>
      <c r="V1180" t="s">
        <v>7256</v>
      </c>
      <c r="W1180">
        <v>2</v>
      </c>
      <c r="X1180" t="s">
        <v>8436</v>
      </c>
      <c r="Y1180">
        <v>0.29753447131431221</v>
      </c>
      <c r="Z1180" t="str">
        <f>HYPERLINK("Melting_Curves/meltCurve_sp_P60228_EIF3E_HUMAN_.pdf", "Melting_Curves/meltCurve_sp_P60228_EIF3E_HUMAN_.pdf")</f>
        <v>Melting_Curves/meltCurve_sp_P60228_EIF3E_HUMAN_.pdf</v>
      </c>
      <c r="AA1180" t="s">
        <v>12044</v>
      </c>
      <c r="AB1180" t="s">
        <v>15605</v>
      </c>
    </row>
    <row r="1181" spans="1:28" x14ac:dyDescent="0.25">
      <c r="A1181" t="s">
        <v>1185</v>
      </c>
      <c r="B1181">
        <v>0.98018197421672304</v>
      </c>
      <c r="C1181">
        <v>0.964729549924907</v>
      </c>
      <c r="D1181">
        <v>0.94916008692521403</v>
      </c>
      <c r="E1181">
        <v>0.94158891670616096</v>
      </c>
      <c r="F1181">
        <v>1.40491648315677</v>
      </c>
      <c r="G1181">
        <v>1.5644749097942801</v>
      </c>
      <c r="H1181">
        <v>1.30009972246267</v>
      </c>
      <c r="I1181">
        <v>1.5311408818996699</v>
      </c>
      <c r="J1181">
        <v>2.1217228866738398</v>
      </c>
      <c r="K1181">
        <v>2.60585518665434</v>
      </c>
      <c r="L1181">
        <v>13173.2073559204</v>
      </c>
      <c r="M1181">
        <v>250</v>
      </c>
      <c r="O1181">
        <v>52.689457593221803</v>
      </c>
      <c r="P1181">
        <v>0.59309777628466498</v>
      </c>
      <c r="Q1181">
        <v>1.5</v>
      </c>
      <c r="R1181">
        <v>0.40532304651322099</v>
      </c>
      <c r="S1181" t="s">
        <v>4810</v>
      </c>
      <c r="T1181" t="s">
        <v>7256</v>
      </c>
      <c r="U1181" t="s">
        <v>7256</v>
      </c>
      <c r="V1181" t="s">
        <v>7256</v>
      </c>
      <c r="W1181">
        <v>1</v>
      </c>
      <c r="X1181" t="s">
        <v>8437</v>
      </c>
      <c r="Y1181">
        <v>1.2884066053908561</v>
      </c>
      <c r="Z1181" t="str">
        <f>HYPERLINK("Melting_Curves/meltCurve_sp_P60468_SC61B_HUMAN_.pdf", "Melting_Curves/meltCurve_sp_P60468_SC61B_HUMAN_.pdf")</f>
        <v>Melting_Curves/meltCurve_sp_P60468_SC61B_HUMAN_.pdf</v>
      </c>
      <c r="AA1181" t="s">
        <v>12045</v>
      </c>
      <c r="AB1181" t="s">
        <v>15606</v>
      </c>
    </row>
    <row r="1182" spans="1:28" x14ac:dyDescent="0.25">
      <c r="A1182" t="s">
        <v>1186</v>
      </c>
      <c r="B1182">
        <v>0.98018197421672304</v>
      </c>
      <c r="C1182">
        <v>0.94339079853030505</v>
      </c>
      <c r="D1182">
        <v>0.89058876860537595</v>
      </c>
      <c r="E1182">
        <v>0.727099541754757</v>
      </c>
      <c r="F1182">
        <v>0.55921224662665103</v>
      </c>
      <c r="G1182">
        <v>0.36694632929896898</v>
      </c>
      <c r="H1182">
        <v>0.211931984965017</v>
      </c>
      <c r="I1182">
        <v>0.146515144148576</v>
      </c>
      <c r="J1182">
        <v>0.180761337400759</v>
      </c>
      <c r="K1182">
        <v>0.104515699523257</v>
      </c>
      <c r="L1182">
        <v>675.57358364846698</v>
      </c>
      <c r="M1182">
        <v>12.6587116647217</v>
      </c>
      <c r="N1182">
        <v>54.028075977779899</v>
      </c>
      <c r="O1182">
        <v>52.088986023451596</v>
      </c>
      <c r="P1182">
        <v>-5.64150913359645E-2</v>
      </c>
      <c r="Q1182">
        <v>7.1618234397418407E-2</v>
      </c>
      <c r="R1182">
        <v>0.996941361161368</v>
      </c>
      <c r="S1182" t="s">
        <v>4811</v>
      </c>
      <c r="T1182" t="s">
        <v>7256</v>
      </c>
      <c r="U1182" t="s">
        <v>7256</v>
      </c>
      <c r="V1182" t="s">
        <v>7256</v>
      </c>
      <c r="W1182">
        <v>6</v>
      </c>
      <c r="X1182" t="s">
        <v>8438</v>
      </c>
      <c r="Y1182">
        <v>0.50952595016581992</v>
      </c>
      <c r="Z1182" t="str">
        <f>HYPERLINK("Melting_Curves/meltCurve_sp_P60510_PP4C_HUMAN_.pdf", "Melting_Curves/meltCurve_sp_P60510_PP4C_HUMAN_.pdf")</f>
        <v>Melting_Curves/meltCurve_sp_P60510_PP4C_HUMAN_.pdf</v>
      </c>
      <c r="AA1182" t="s">
        <v>12046</v>
      </c>
      <c r="AB1182" t="s">
        <v>15607</v>
      </c>
    </row>
    <row r="1183" spans="1:28" x14ac:dyDescent="0.25">
      <c r="A1183" t="s">
        <v>1187</v>
      </c>
      <c r="B1183">
        <v>0.98018197421672304</v>
      </c>
      <c r="C1183">
        <v>0.89924157348618905</v>
      </c>
      <c r="D1183">
        <v>0.86581628424220203</v>
      </c>
      <c r="E1183">
        <v>0.57869196982947801</v>
      </c>
      <c r="F1183">
        <v>0.27074405685801201</v>
      </c>
      <c r="G1183">
        <v>0.12977189808725401</v>
      </c>
      <c r="H1183">
        <v>4.5403853868304998E-2</v>
      </c>
      <c r="I1183">
        <v>3.2415757171896799E-2</v>
      </c>
      <c r="J1183">
        <v>3.5729351878058598E-2</v>
      </c>
      <c r="K1183">
        <v>2.48796525539343E-2</v>
      </c>
      <c r="L1183">
        <v>927.52079418858602</v>
      </c>
      <c r="M1183">
        <v>18.3847731495723</v>
      </c>
      <c r="N1183">
        <v>50.535267566800101</v>
      </c>
      <c r="O1183">
        <v>49.864956521807102</v>
      </c>
      <c r="P1183">
        <v>-9.07772080510834E-2</v>
      </c>
      <c r="Q1183">
        <v>1.5185878488249401E-2</v>
      </c>
      <c r="R1183">
        <v>0.99555252988102305</v>
      </c>
      <c r="S1183" t="s">
        <v>4812</v>
      </c>
      <c r="T1183" t="s">
        <v>7256</v>
      </c>
      <c r="U1183" t="s">
        <v>7256</v>
      </c>
      <c r="V1183" t="s">
        <v>7256</v>
      </c>
      <c r="W1183">
        <v>22</v>
      </c>
      <c r="X1183" t="s">
        <v>8439</v>
      </c>
      <c r="Y1183">
        <v>0.37430103609584192</v>
      </c>
      <c r="Z1183" t="str">
        <f>HYPERLINK("Melting_Curves/meltCurve_sp_P60842_IF4A1_HUMAN_.pdf", "Melting_Curves/meltCurve_sp_P60842_IF4A1_HUMAN_.pdf")</f>
        <v>Melting_Curves/meltCurve_sp_P60842_IF4A1_HUMAN_.pdf</v>
      </c>
      <c r="AA1183" t="s">
        <v>12047</v>
      </c>
      <c r="AB1183" t="s">
        <v>15608</v>
      </c>
    </row>
    <row r="1184" spans="1:28" x14ac:dyDescent="0.25">
      <c r="A1184" t="s">
        <v>1188</v>
      </c>
      <c r="B1184">
        <v>0.98018197421672304</v>
      </c>
      <c r="C1184">
        <v>0.85349859375825099</v>
      </c>
      <c r="D1184">
        <v>0.70715774255351604</v>
      </c>
      <c r="E1184">
        <v>0.33691060953086999</v>
      </c>
      <c r="F1184">
        <v>0.125809582801305</v>
      </c>
      <c r="G1184">
        <v>7.3859236572782594E-2</v>
      </c>
      <c r="H1184">
        <v>4.9025267261108403E-2</v>
      </c>
      <c r="I1184">
        <v>4.38777584723875E-2</v>
      </c>
      <c r="J1184">
        <v>3.7622326844984899E-2</v>
      </c>
      <c r="K1184">
        <v>3.6956596394743302E-2</v>
      </c>
      <c r="L1184">
        <v>897.28087041257697</v>
      </c>
      <c r="M1184">
        <v>18.780061023983698</v>
      </c>
      <c r="N1184">
        <v>47.933474471992596</v>
      </c>
      <c r="O1184">
        <v>47.246548878402997</v>
      </c>
      <c r="P1184">
        <v>-9.6447352679842599E-2</v>
      </c>
      <c r="Q1184">
        <v>2.9478633338239201E-2</v>
      </c>
      <c r="R1184">
        <v>0.99683625429540301</v>
      </c>
      <c r="S1184" t="s">
        <v>4813</v>
      </c>
      <c r="T1184" t="s">
        <v>7256</v>
      </c>
      <c r="U1184" t="s">
        <v>7256</v>
      </c>
      <c r="V1184" t="s">
        <v>7256</v>
      </c>
      <c r="W1184">
        <v>2</v>
      </c>
      <c r="X1184" t="s">
        <v>8440</v>
      </c>
      <c r="Y1184">
        <v>0.2969674055640904</v>
      </c>
      <c r="Z1184" t="str">
        <f>HYPERLINK("Melting_Curves/meltCurve_sp_P60866_RS20_HUMAN_.pdf", "Melting_Curves/meltCurve_sp_P60866_RS20_HUMAN_.pdf")</f>
        <v>Melting_Curves/meltCurve_sp_P60866_RS20_HUMAN_.pdf</v>
      </c>
      <c r="AA1184" t="s">
        <v>12048</v>
      </c>
      <c r="AB1184" t="s">
        <v>15609</v>
      </c>
    </row>
    <row r="1185" spans="1:28" x14ac:dyDescent="0.25">
      <c r="A1185" t="s">
        <v>1189</v>
      </c>
      <c r="B1185">
        <v>0.98018197421672304</v>
      </c>
      <c r="C1185">
        <v>0.96627348267826696</v>
      </c>
      <c r="D1185">
        <v>0.94795951662792899</v>
      </c>
      <c r="E1185">
        <v>0.65270649315296403</v>
      </c>
      <c r="F1185">
        <v>0.59682473655942703</v>
      </c>
      <c r="G1185">
        <v>0.28322884371388601</v>
      </c>
      <c r="H1185">
        <v>9.0503893472588401E-2</v>
      </c>
      <c r="I1185">
        <v>5.5112625514290497E-2</v>
      </c>
      <c r="J1185">
        <v>4.5478075313485397E-2</v>
      </c>
      <c r="K1185">
        <v>3.1814931614846498E-2</v>
      </c>
      <c r="L1185">
        <v>805.84386383092601</v>
      </c>
      <c r="M1185">
        <v>15.105344482477101</v>
      </c>
      <c r="N1185">
        <v>53.348264395111201</v>
      </c>
      <c r="O1185">
        <v>52.439483446340098</v>
      </c>
      <c r="P1185">
        <v>-7.2020321556650904E-2</v>
      </c>
      <c r="Q1185">
        <v>0</v>
      </c>
      <c r="R1185">
        <v>0.99008010022587301</v>
      </c>
      <c r="S1185" t="s">
        <v>4814</v>
      </c>
      <c r="T1185" t="s">
        <v>7256</v>
      </c>
      <c r="U1185" t="s">
        <v>7256</v>
      </c>
      <c r="V1185" t="s">
        <v>7256</v>
      </c>
      <c r="W1185">
        <v>13</v>
      </c>
      <c r="X1185" t="s">
        <v>8441</v>
      </c>
      <c r="Y1185">
        <v>0.46593563405443023</v>
      </c>
      <c r="Z1185" t="str">
        <f>HYPERLINK("Melting_Curves/meltCurve_sp_P60891_PRPS1_HUMAN_.pdf", "Melting_Curves/meltCurve_sp_P60891_PRPS1_HUMAN_.pdf")</f>
        <v>Melting_Curves/meltCurve_sp_P60891_PRPS1_HUMAN_.pdf</v>
      </c>
      <c r="AA1185" t="s">
        <v>12049</v>
      </c>
      <c r="AB1185" t="s">
        <v>15610</v>
      </c>
    </row>
    <row r="1186" spans="1:28" x14ac:dyDescent="0.25">
      <c r="A1186" t="s">
        <v>1190</v>
      </c>
      <c r="B1186">
        <v>0.98018197421672304</v>
      </c>
      <c r="C1186">
        <v>0.96048631089306102</v>
      </c>
      <c r="D1186">
        <v>0.92855860686513403</v>
      </c>
      <c r="E1186">
        <v>0.859151269190919</v>
      </c>
      <c r="F1186">
        <v>0.80609083092715295</v>
      </c>
      <c r="G1186">
        <v>0.682436204798749</v>
      </c>
      <c r="H1186">
        <v>0.53293256449337501</v>
      </c>
      <c r="I1186">
        <v>0.566019110336764</v>
      </c>
      <c r="J1186">
        <v>0.43885342603885702</v>
      </c>
      <c r="K1186">
        <v>0.38447439749504903</v>
      </c>
      <c r="L1186">
        <v>440.74413286246801</v>
      </c>
      <c r="M1186">
        <v>7.1838830704894603</v>
      </c>
      <c r="N1186">
        <v>64.395600563644606</v>
      </c>
      <c r="O1186">
        <v>57.131940551422197</v>
      </c>
      <c r="P1186">
        <v>-2.6955426442499E-2</v>
      </c>
      <c r="Q1186">
        <v>0.14395910566657799</v>
      </c>
      <c r="R1186">
        <v>0.986700709358867</v>
      </c>
      <c r="S1186" t="s">
        <v>4815</v>
      </c>
      <c r="T1186" t="s">
        <v>7256</v>
      </c>
      <c r="U1186" t="s">
        <v>7256</v>
      </c>
      <c r="V1186" t="s">
        <v>7256</v>
      </c>
      <c r="W1186">
        <v>18</v>
      </c>
      <c r="X1186" t="s">
        <v>8442</v>
      </c>
      <c r="Y1186">
        <v>0.72116704113289487</v>
      </c>
      <c r="Z1186" t="str">
        <f>HYPERLINK("Melting_Curves/meltCurve_sp_P60900_PSA6_HUMAN_.pdf", "Melting_Curves/meltCurve_sp_P60900_PSA6_HUMAN_.pdf")</f>
        <v>Melting_Curves/meltCurve_sp_P60900_PSA6_HUMAN_.pdf</v>
      </c>
      <c r="AA1186" t="s">
        <v>12050</v>
      </c>
      <c r="AB1186" t="s">
        <v>15611</v>
      </c>
    </row>
    <row r="1187" spans="1:28" x14ac:dyDescent="0.25">
      <c r="A1187" t="s">
        <v>1191</v>
      </c>
      <c r="B1187">
        <v>0.98018197421672304</v>
      </c>
      <c r="C1187">
        <v>0.81225786801192301</v>
      </c>
      <c r="D1187">
        <v>0.76428455914621196</v>
      </c>
      <c r="E1187">
        <v>0.502213234550274</v>
      </c>
      <c r="F1187">
        <v>0.20550689610574399</v>
      </c>
      <c r="G1187">
        <v>9.7796280699741306E-2</v>
      </c>
      <c r="H1187">
        <v>4.6075664967378097E-2</v>
      </c>
      <c r="I1187">
        <v>3.7555388530274098E-2</v>
      </c>
      <c r="J1187">
        <v>3.4899181767567199E-2</v>
      </c>
      <c r="K1187">
        <v>2.71530722826939E-2</v>
      </c>
      <c r="L1187">
        <v>726.68904462944704</v>
      </c>
      <c r="M1187">
        <v>14.762705638054401</v>
      </c>
      <c r="N1187">
        <v>49.226155108445901</v>
      </c>
      <c r="O1187">
        <v>48.347885835915697</v>
      </c>
      <c r="P1187">
        <v>-7.6326836991483196E-2</v>
      </c>
      <c r="Q1187">
        <v>2.2542748905836601E-4</v>
      </c>
      <c r="R1187">
        <v>0.98789559029574403</v>
      </c>
      <c r="S1187" t="s">
        <v>4816</v>
      </c>
      <c r="T1187" t="s">
        <v>7256</v>
      </c>
      <c r="U1187" t="s">
        <v>7256</v>
      </c>
      <c r="V1187" t="s">
        <v>7256</v>
      </c>
      <c r="W1187">
        <v>8</v>
      </c>
      <c r="X1187" t="s">
        <v>8443</v>
      </c>
      <c r="Y1187">
        <v>0.33285105626560418</v>
      </c>
      <c r="Z1187" t="str">
        <f>HYPERLINK("Melting_Curves/meltCurve_sp_P60953_CDC42_HUMAN_.pdf", "Melting_Curves/meltCurve_sp_P60953_CDC42_HUMAN_.pdf")</f>
        <v>Melting_Curves/meltCurve_sp_P60953_CDC42_HUMAN_.pdf</v>
      </c>
      <c r="AA1187" t="s">
        <v>12051</v>
      </c>
      <c r="AB1187" t="s">
        <v>15612</v>
      </c>
    </row>
    <row r="1188" spans="1:28" x14ac:dyDescent="0.25">
      <c r="A1188" t="s">
        <v>1192</v>
      </c>
      <c r="B1188">
        <v>0.98018197421672304</v>
      </c>
      <c r="C1188">
        <v>0.96977253105191696</v>
      </c>
      <c r="D1188">
        <v>0.90723099853211897</v>
      </c>
      <c r="E1188">
        <v>0.70100596706224305</v>
      </c>
      <c r="F1188">
        <v>0.47563565265573299</v>
      </c>
      <c r="G1188">
        <v>0.16046533553053899</v>
      </c>
      <c r="H1188">
        <v>8.8723373368011005E-2</v>
      </c>
      <c r="I1188">
        <v>6.4603836318191998E-2</v>
      </c>
      <c r="J1188">
        <v>7.1087605522316299E-2</v>
      </c>
      <c r="K1188">
        <v>4.6330042384429199E-2</v>
      </c>
      <c r="L1188">
        <v>988.02923028623798</v>
      </c>
      <c r="M1188">
        <v>18.948846327548299</v>
      </c>
      <c r="N1188">
        <v>52.354085771392903</v>
      </c>
      <c r="O1188">
        <v>51.571606260928903</v>
      </c>
      <c r="P1188">
        <v>-8.8465680258586699E-2</v>
      </c>
      <c r="Q1188">
        <v>3.6958061580192103E-2</v>
      </c>
      <c r="R1188">
        <v>0.99756104370536403</v>
      </c>
      <c r="S1188" t="s">
        <v>4817</v>
      </c>
      <c r="T1188" t="s">
        <v>7256</v>
      </c>
      <c r="U1188" t="s">
        <v>7256</v>
      </c>
      <c r="V1188" t="s">
        <v>7256</v>
      </c>
      <c r="W1188">
        <v>10</v>
      </c>
      <c r="X1188" t="s">
        <v>8444</v>
      </c>
      <c r="Y1188">
        <v>0.4413763509890879</v>
      </c>
      <c r="Z1188" t="str">
        <f>HYPERLINK("Melting_Curves/meltCurve_sp_P60981_DEST_HUMAN_.pdf", "Melting_Curves/meltCurve_sp_P60981_DEST_HUMAN_.pdf")</f>
        <v>Melting_Curves/meltCurve_sp_P60981_DEST_HUMAN_.pdf</v>
      </c>
      <c r="AA1188" t="s">
        <v>12052</v>
      </c>
      <c r="AB1188" t="s">
        <v>15613</v>
      </c>
    </row>
    <row r="1189" spans="1:28" x14ac:dyDescent="0.25">
      <c r="A1189" t="s">
        <v>1193</v>
      </c>
      <c r="B1189">
        <v>0.98018197421672304</v>
      </c>
      <c r="C1189">
        <v>1.1156437058830999</v>
      </c>
      <c r="D1189">
        <v>0.99119044547175605</v>
      </c>
      <c r="E1189">
        <v>0.89699132721853103</v>
      </c>
      <c r="F1189">
        <v>0.98719153420434402</v>
      </c>
      <c r="G1189">
        <v>0.87171098851295203</v>
      </c>
      <c r="H1189">
        <v>0.645349901519084</v>
      </c>
      <c r="I1189">
        <v>0.73373088108808304</v>
      </c>
      <c r="J1189">
        <v>0.816404860754257</v>
      </c>
      <c r="K1189">
        <v>1.03738378593073</v>
      </c>
      <c r="L1189">
        <v>14209.909235849</v>
      </c>
      <c r="M1189">
        <v>250</v>
      </c>
      <c r="O1189">
        <v>56.836000867727499</v>
      </c>
      <c r="P1189">
        <v>-0.210894767494409</v>
      </c>
      <c r="Q1189">
        <v>0.80821736154322499</v>
      </c>
      <c r="R1189">
        <v>0.41699973053827899</v>
      </c>
      <c r="S1189" t="s">
        <v>4818</v>
      </c>
      <c r="T1189" t="s">
        <v>7256</v>
      </c>
      <c r="U1189" t="s">
        <v>7256</v>
      </c>
      <c r="V1189" t="s">
        <v>7256</v>
      </c>
      <c r="W1189">
        <v>6</v>
      </c>
      <c r="X1189" t="s">
        <v>8445</v>
      </c>
      <c r="Y1189">
        <v>0.91588815916366839</v>
      </c>
      <c r="Z1189" t="str">
        <f>HYPERLINK("Melting_Curves/meltCurve_sp_P60983_GMFB_HUMAN_.pdf", "Melting_Curves/meltCurve_sp_P60983_GMFB_HUMAN_.pdf")</f>
        <v>Melting_Curves/meltCurve_sp_P60983_GMFB_HUMAN_.pdf</v>
      </c>
      <c r="AA1189" t="s">
        <v>12053</v>
      </c>
      <c r="AB1189" t="s">
        <v>15614</v>
      </c>
    </row>
    <row r="1190" spans="1:28" x14ac:dyDescent="0.25">
      <c r="A1190" t="s">
        <v>1194</v>
      </c>
      <c r="B1190">
        <v>0.98018197421672304</v>
      </c>
      <c r="C1190">
        <v>0.78313726007483997</v>
      </c>
      <c r="D1190">
        <v>0.82310157257691197</v>
      </c>
      <c r="E1190">
        <v>0.61218375004674397</v>
      </c>
      <c r="F1190">
        <v>0.387005310309883</v>
      </c>
      <c r="G1190">
        <v>0.194611378741532</v>
      </c>
      <c r="H1190">
        <v>0.100392886788387</v>
      </c>
      <c r="I1190">
        <v>8.53793789716666E-2</v>
      </c>
      <c r="J1190">
        <v>0.100477713961801</v>
      </c>
      <c r="K1190">
        <v>7.80359541049397E-2</v>
      </c>
      <c r="L1190">
        <v>609.92227026770001</v>
      </c>
      <c r="M1190">
        <v>11.992020763984801</v>
      </c>
      <c r="N1190">
        <v>51.021509403323101</v>
      </c>
      <c r="O1190">
        <v>49.508280050300201</v>
      </c>
      <c r="P1190">
        <v>-5.9446853951467801E-2</v>
      </c>
      <c r="Q1190">
        <v>1.8547567376563299E-2</v>
      </c>
      <c r="R1190">
        <v>0.97931028087402305</v>
      </c>
      <c r="S1190" t="s">
        <v>4819</v>
      </c>
      <c r="T1190" t="s">
        <v>7256</v>
      </c>
      <c r="U1190" t="s">
        <v>7256</v>
      </c>
      <c r="V1190" t="s">
        <v>7256</v>
      </c>
      <c r="W1190">
        <v>7</v>
      </c>
      <c r="X1190" t="s">
        <v>8446</v>
      </c>
      <c r="Y1190">
        <v>0.40616782213308439</v>
      </c>
      <c r="Z1190" t="str">
        <f>HYPERLINK("Melting_Curves/meltCurve_sp_P61006_RAB8A_HUMAN_.pdf", "Melting_Curves/meltCurve_sp_P61006_RAB8A_HUMAN_.pdf")</f>
        <v>Melting_Curves/meltCurve_sp_P61006_RAB8A_HUMAN_.pdf</v>
      </c>
      <c r="AA1190" t="s">
        <v>12054</v>
      </c>
      <c r="AB1190" t="s">
        <v>15615</v>
      </c>
    </row>
    <row r="1191" spans="1:28" x14ac:dyDescent="0.25">
      <c r="A1191" t="s">
        <v>1195</v>
      </c>
      <c r="B1191">
        <v>0.98018197421672304</v>
      </c>
      <c r="C1191">
        <v>0.95110600222363795</v>
      </c>
      <c r="D1191">
        <v>0.75242484609285798</v>
      </c>
      <c r="E1191">
        <v>0.32865341362801898</v>
      </c>
      <c r="F1191">
        <v>0.17152139478551401</v>
      </c>
      <c r="G1191">
        <v>0.112025022701409</v>
      </c>
      <c r="H1191">
        <v>0.118273538159019</v>
      </c>
      <c r="I1191">
        <v>6.2358008995019198E-2</v>
      </c>
      <c r="J1191">
        <v>0.51890758155246697</v>
      </c>
      <c r="K1191">
        <v>5.1948534004829003E-2</v>
      </c>
      <c r="L1191">
        <v>1403.4015934961501</v>
      </c>
      <c r="M1191">
        <v>29.642444081142202</v>
      </c>
      <c r="N1191">
        <v>48.008746677490002</v>
      </c>
      <c r="O1191">
        <v>47.1304157555549</v>
      </c>
      <c r="P1191">
        <v>-0.13078145700375601</v>
      </c>
      <c r="Q1191">
        <v>0.168254380142946</v>
      </c>
      <c r="R1191">
        <v>0.87369448778824599</v>
      </c>
      <c r="S1191" t="s">
        <v>4820</v>
      </c>
      <c r="T1191" t="s">
        <v>7256</v>
      </c>
      <c r="U1191" t="s">
        <v>7256</v>
      </c>
      <c r="V1191" t="s">
        <v>7256</v>
      </c>
      <c r="W1191">
        <v>5</v>
      </c>
      <c r="X1191" t="s">
        <v>8447</v>
      </c>
      <c r="Y1191">
        <v>0.37699156701377812</v>
      </c>
      <c r="Z1191" t="str">
        <f>HYPERLINK("Melting_Curves/meltCurve_sp_P61011_2_SRP54_HUMAN_.pdf", "Melting_Curves/meltCurve_sp_P61011_2_SRP54_HUMAN_.pdf")</f>
        <v>Melting_Curves/meltCurve_sp_P61011_2_SRP54_HUMAN_.pdf</v>
      </c>
      <c r="AA1191" t="s">
        <v>12055</v>
      </c>
      <c r="AB1191" t="s">
        <v>15616</v>
      </c>
    </row>
    <row r="1192" spans="1:28" x14ac:dyDescent="0.25">
      <c r="A1192" t="s">
        <v>1196</v>
      </c>
      <c r="B1192">
        <v>0.98018197421672304</v>
      </c>
      <c r="C1192">
        <v>0.97711293787363196</v>
      </c>
      <c r="D1192">
        <v>0.89059681928786005</v>
      </c>
      <c r="E1192">
        <v>0.68201369859021099</v>
      </c>
      <c r="F1192">
        <v>0.43381379383712698</v>
      </c>
      <c r="G1192">
        <v>0.16935311015485499</v>
      </c>
      <c r="H1192">
        <v>7.7385012942624204E-2</v>
      </c>
      <c r="I1192">
        <v>4.4717725821299299E-2</v>
      </c>
      <c r="J1192">
        <v>4.7039491471500702E-2</v>
      </c>
      <c r="K1192">
        <v>3.0336212939736599E-2</v>
      </c>
      <c r="L1192">
        <v>925.61234665646998</v>
      </c>
      <c r="M1192">
        <v>17.812023317694699</v>
      </c>
      <c r="N1192">
        <v>52.064341183862602</v>
      </c>
      <c r="O1192">
        <v>51.323871499810899</v>
      </c>
      <c r="P1192">
        <v>-8.5326034881918505E-2</v>
      </c>
      <c r="Q1192">
        <v>1.6610931555444401E-2</v>
      </c>
      <c r="R1192">
        <v>0.99914034935157303</v>
      </c>
      <c r="S1192" t="s">
        <v>4821</v>
      </c>
      <c r="T1192" t="s">
        <v>7256</v>
      </c>
      <c r="U1192" t="s">
        <v>7256</v>
      </c>
      <c r="V1192" t="s">
        <v>7256</v>
      </c>
      <c r="W1192">
        <v>8</v>
      </c>
      <c r="X1192" t="s">
        <v>8448</v>
      </c>
      <c r="Y1192">
        <v>0.42550648872878771</v>
      </c>
      <c r="Z1192" t="str">
        <f>HYPERLINK("Melting_Curves/meltCurve_sp_P61019_RAB2A_HUMAN_.pdf", "Melting_Curves/meltCurve_sp_P61019_RAB2A_HUMAN_.pdf")</f>
        <v>Melting_Curves/meltCurve_sp_P61019_RAB2A_HUMAN_.pdf</v>
      </c>
      <c r="AA1192" t="s">
        <v>12056</v>
      </c>
      <c r="AB1192" t="s">
        <v>15617</v>
      </c>
    </row>
    <row r="1193" spans="1:28" x14ac:dyDescent="0.25">
      <c r="A1193" t="s">
        <v>1197</v>
      </c>
      <c r="B1193">
        <v>0.98018197421672304</v>
      </c>
      <c r="C1193">
        <v>0.96090701654185695</v>
      </c>
      <c r="D1193">
        <v>0.90655413487718695</v>
      </c>
      <c r="E1193">
        <v>0.68798234041540596</v>
      </c>
      <c r="F1193">
        <v>0.43950422895728802</v>
      </c>
      <c r="G1193">
        <v>0.166278363544307</v>
      </c>
      <c r="H1193">
        <v>7.1487582376573197E-2</v>
      </c>
      <c r="I1193">
        <v>5.1388707698966599E-2</v>
      </c>
      <c r="J1193">
        <v>6.9537053606539598E-2</v>
      </c>
      <c r="K1193">
        <v>5.2060813131134198E-2</v>
      </c>
      <c r="L1193">
        <v>987.06749037336795</v>
      </c>
      <c r="M1193">
        <v>19.0197775768982</v>
      </c>
      <c r="N1193">
        <v>52.0963181826626</v>
      </c>
      <c r="O1193">
        <v>51.3333960115583</v>
      </c>
      <c r="P1193">
        <v>-8.9380077263807006E-2</v>
      </c>
      <c r="Q1193">
        <v>3.5109110012214097E-2</v>
      </c>
      <c r="R1193">
        <v>0.99832109741063702</v>
      </c>
      <c r="S1193" t="s">
        <v>4822</v>
      </c>
      <c r="T1193" t="s">
        <v>7256</v>
      </c>
      <c r="U1193" t="s">
        <v>7256</v>
      </c>
      <c r="V1193" t="s">
        <v>7256</v>
      </c>
      <c r="W1193">
        <v>4</v>
      </c>
      <c r="X1193" t="s">
        <v>8449</v>
      </c>
      <c r="Y1193">
        <v>0.43235896950205638</v>
      </c>
      <c r="Z1193" t="str">
        <f>HYPERLINK("Melting_Curves/meltCurve_sp_P61020_RAB5B_HUMAN_.pdf", "Melting_Curves/meltCurve_sp_P61020_RAB5B_HUMAN_.pdf")</f>
        <v>Melting_Curves/meltCurve_sp_P61020_RAB5B_HUMAN_.pdf</v>
      </c>
      <c r="AA1193" t="s">
        <v>12057</v>
      </c>
      <c r="AB1193" t="s">
        <v>15618</v>
      </c>
    </row>
    <row r="1194" spans="1:28" x14ac:dyDescent="0.25">
      <c r="A1194" t="s">
        <v>1198</v>
      </c>
      <c r="B1194">
        <v>0.98018197421672304</v>
      </c>
      <c r="C1194">
        <v>1.0881902273892099</v>
      </c>
      <c r="D1194">
        <v>0.99537139239465799</v>
      </c>
      <c r="E1194">
        <v>0.86301459402923697</v>
      </c>
      <c r="F1194">
        <v>0.64154014722640595</v>
      </c>
      <c r="G1194">
        <v>0.158567724407494</v>
      </c>
      <c r="H1194">
        <v>4.1777345142960901E-2</v>
      </c>
      <c r="I1194">
        <v>2.3210010916680499E-2</v>
      </c>
      <c r="J1194">
        <v>2.2574182358672999E-2</v>
      </c>
      <c r="K1194">
        <v>1.15797124653547E-2</v>
      </c>
      <c r="L1194">
        <v>1542.3766614307001</v>
      </c>
      <c r="M1194">
        <v>28.646461313140101</v>
      </c>
      <c r="N1194">
        <v>53.880401629574102</v>
      </c>
      <c r="O1194">
        <v>53.581457319259499</v>
      </c>
      <c r="P1194">
        <v>-0.13230133954791101</v>
      </c>
      <c r="Q1194">
        <v>1.0161479241053401E-2</v>
      </c>
      <c r="R1194">
        <v>0.99452453302894595</v>
      </c>
      <c r="S1194" t="s">
        <v>4823</v>
      </c>
      <c r="T1194" t="s">
        <v>7256</v>
      </c>
      <c r="U1194" t="s">
        <v>7256</v>
      </c>
      <c r="V1194" t="s">
        <v>7256</v>
      </c>
      <c r="W1194">
        <v>3</v>
      </c>
      <c r="X1194" t="s">
        <v>8450</v>
      </c>
      <c r="Y1194">
        <v>0.47395867658249868</v>
      </c>
      <c r="Z1194" t="str">
        <f>HYPERLINK("Melting_Curves/meltCurve_sp_P61077_UB2D3_HUMAN_.pdf", "Melting_Curves/meltCurve_sp_P61077_UB2D3_HUMAN_.pdf")</f>
        <v>Melting_Curves/meltCurve_sp_P61077_UB2D3_HUMAN_.pdf</v>
      </c>
      <c r="AA1194" t="s">
        <v>12058</v>
      </c>
      <c r="AB1194" t="s">
        <v>15619</v>
      </c>
    </row>
    <row r="1195" spans="1:28" x14ac:dyDescent="0.25">
      <c r="A1195" t="s">
        <v>1199</v>
      </c>
      <c r="B1195">
        <v>0.98018197421672304</v>
      </c>
      <c r="C1195">
        <v>1.0520185215237201</v>
      </c>
      <c r="D1195">
        <v>1.00023597792265</v>
      </c>
      <c r="E1195">
        <v>0.85943700632725795</v>
      </c>
      <c r="F1195">
        <v>0.85245372478647796</v>
      </c>
      <c r="G1195">
        <v>0.47792804529432698</v>
      </c>
      <c r="H1195">
        <v>0.11736576321238</v>
      </c>
      <c r="I1195">
        <v>6.1866402569248899E-2</v>
      </c>
      <c r="J1195">
        <v>5.9475736025956502E-2</v>
      </c>
      <c r="K1195">
        <v>5.1671094673473202E-2</v>
      </c>
      <c r="L1195">
        <v>1367.2697638401</v>
      </c>
      <c r="M1195">
        <v>24.2291037272986</v>
      </c>
      <c r="N1195">
        <v>56.539402116262302</v>
      </c>
      <c r="O1195">
        <v>56.050689563651503</v>
      </c>
      <c r="P1195">
        <v>-0.10561419028134</v>
      </c>
      <c r="Q1195">
        <v>2.27194260958603E-2</v>
      </c>
      <c r="R1195">
        <v>0.99044586651923405</v>
      </c>
      <c r="S1195" t="s">
        <v>4824</v>
      </c>
      <c r="T1195" t="s">
        <v>7256</v>
      </c>
      <c r="U1195" t="s">
        <v>7256</v>
      </c>
      <c r="V1195" t="s">
        <v>7256</v>
      </c>
      <c r="W1195">
        <v>8</v>
      </c>
      <c r="X1195" t="s">
        <v>8451</v>
      </c>
      <c r="Y1195">
        <v>0.56734190669836937</v>
      </c>
      <c r="Z1195" t="str">
        <f>HYPERLINK("Melting_Curves/meltCurve_sp_P61081_UBC12_HUMAN_.pdf", "Melting_Curves/meltCurve_sp_P61081_UBC12_HUMAN_.pdf")</f>
        <v>Melting_Curves/meltCurve_sp_P61081_UBC12_HUMAN_.pdf</v>
      </c>
      <c r="AA1195" t="s">
        <v>12059</v>
      </c>
      <c r="AB1195" t="s">
        <v>15620</v>
      </c>
    </row>
    <row r="1196" spans="1:28" x14ac:dyDescent="0.25">
      <c r="A1196" t="s">
        <v>1200</v>
      </c>
      <c r="B1196">
        <v>0.98018197421672304</v>
      </c>
      <c r="C1196">
        <v>0.96354482600867597</v>
      </c>
      <c r="D1196">
        <v>0.95281513612235702</v>
      </c>
      <c r="E1196">
        <v>0.80335895251030998</v>
      </c>
      <c r="F1196">
        <v>0.79208702493197103</v>
      </c>
      <c r="G1196">
        <v>0.59391595792806495</v>
      </c>
      <c r="H1196">
        <v>0.20531553727281099</v>
      </c>
      <c r="I1196">
        <v>8.1431334467834904E-2</v>
      </c>
      <c r="J1196">
        <v>6.4598265214847003E-2</v>
      </c>
      <c r="K1196">
        <v>3.6448699614355498E-2</v>
      </c>
      <c r="L1196">
        <v>975.61696508607099</v>
      </c>
      <c r="M1196">
        <v>17.106948107760999</v>
      </c>
      <c r="N1196">
        <v>57.0304511817113</v>
      </c>
      <c r="O1196">
        <v>56.268245307851203</v>
      </c>
      <c r="P1196">
        <v>-7.6010809737425397E-2</v>
      </c>
      <c r="Q1196">
        <v>0</v>
      </c>
      <c r="R1196">
        <v>0.980787075417072</v>
      </c>
      <c r="S1196" t="s">
        <v>4825</v>
      </c>
      <c r="T1196" t="s">
        <v>7256</v>
      </c>
      <c r="U1196" t="s">
        <v>7256</v>
      </c>
      <c r="V1196" t="s">
        <v>7256</v>
      </c>
      <c r="W1196">
        <v>8</v>
      </c>
      <c r="X1196" t="s">
        <v>8452</v>
      </c>
      <c r="Y1196">
        <v>0.58202288740596864</v>
      </c>
      <c r="Z1196" t="str">
        <f>HYPERLINK("Melting_Curves/meltCurve_sp_P61086_UBE2K_HUMAN_.pdf", "Melting_Curves/meltCurve_sp_P61086_UBE2K_HUMAN_.pdf")</f>
        <v>Melting_Curves/meltCurve_sp_P61086_UBE2K_HUMAN_.pdf</v>
      </c>
      <c r="AA1196" t="s">
        <v>12060</v>
      </c>
      <c r="AB1196" t="s">
        <v>15621</v>
      </c>
    </row>
    <row r="1197" spans="1:28" x14ac:dyDescent="0.25">
      <c r="A1197" t="s">
        <v>1201</v>
      </c>
      <c r="B1197">
        <v>0.98018197421672304</v>
      </c>
      <c r="C1197">
        <v>1.05356816508685</v>
      </c>
      <c r="D1197">
        <v>0.92440883780374505</v>
      </c>
      <c r="E1197">
        <v>0.81729496855905504</v>
      </c>
      <c r="F1197">
        <v>0.73584384932619196</v>
      </c>
      <c r="G1197">
        <v>0.387009769305729</v>
      </c>
      <c r="H1197">
        <v>0.137054698702956</v>
      </c>
      <c r="I1197">
        <v>8.1229350531904596E-2</v>
      </c>
      <c r="J1197">
        <v>6.9954444742743996E-2</v>
      </c>
      <c r="K1197">
        <v>6.6965257460248201E-2</v>
      </c>
      <c r="L1197">
        <v>990.14003935138396</v>
      </c>
      <c r="M1197">
        <v>17.918134765831699</v>
      </c>
      <c r="N1197">
        <v>55.384196868914202</v>
      </c>
      <c r="O1197">
        <v>54.5846064570148</v>
      </c>
      <c r="P1197">
        <v>-8.0442403768894194E-2</v>
      </c>
      <c r="Q1197">
        <v>1.9831845608198201E-2</v>
      </c>
      <c r="R1197">
        <v>0.99116559545937899</v>
      </c>
      <c r="S1197" t="s">
        <v>4826</v>
      </c>
      <c r="T1197" t="s">
        <v>7256</v>
      </c>
      <c r="U1197" t="s">
        <v>7256</v>
      </c>
      <c r="V1197" t="s">
        <v>7256</v>
      </c>
      <c r="W1197">
        <v>8</v>
      </c>
      <c r="X1197" t="s">
        <v>8453</v>
      </c>
      <c r="Y1197">
        <v>0.53346849522245987</v>
      </c>
      <c r="Z1197" t="str">
        <f>HYPERLINK("Melting_Curves/meltCurve_sp_P61088_UBE2N_HUMAN_.pdf", "Melting_Curves/meltCurve_sp_P61088_UBE2N_HUMAN_.pdf")</f>
        <v>Melting_Curves/meltCurve_sp_P61088_UBE2N_HUMAN_.pdf</v>
      </c>
      <c r="AA1197" t="s">
        <v>12061</v>
      </c>
      <c r="AB1197" t="s">
        <v>15622</v>
      </c>
    </row>
    <row r="1198" spans="1:28" x14ac:dyDescent="0.25">
      <c r="A1198" t="s">
        <v>1202</v>
      </c>
      <c r="B1198">
        <v>0.98018197421672304</v>
      </c>
      <c r="C1198">
        <v>0.88838884211369895</v>
      </c>
      <c r="D1198">
        <v>0.82665537421072</v>
      </c>
      <c r="E1198">
        <v>0.58714864902088704</v>
      </c>
      <c r="F1198">
        <v>0.37479760332394901</v>
      </c>
      <c r="G1198">
        <v>0.18221302236659701</v>
      </c>
      <c r="H1198">
        <v>0.10586842855020499</v>
      </c>
      <c r="I1198">
        <v>8.4145181942921102E-2</v>
      </c>
      <c r="J1198">
        <v>6.1902849260297703E-2</v>
      </c>
      <c r="K1198">
        <v>4.7932733961176401E-2</v>
      </c>
      <c r="L1198">
        <v>706.99253755187499</v>
      </c>
      <c r="M1198">
        <v>13.904780642393099</v>
      </c>
      <c r="N1198">
        <v>51.022371020923799</v>
      </c>
      <c r="O1198">
        <v>49.828255094709</v>
      </c>
      <c r="P1198">
        <v>-6.8129520920469394E-2</v>
      </c>
      <c r="Q1198">
        <v>2.3554868617383699E-2</v>
      </c>
      <c r="R1198">
        <v>0.99782241639776303</v>
      </c>
      <c r="S1198" t="s">
        <v>4827</v>
      </c>
      <c r="T1198" t="s">
        <v>7256</v>
      </c>
      <c r="U1198" t="s">
        <v>7256</v>
      </c>
      <c r="V1198" t="s">
        <v>7256</v>
      </c>
      <c r="W1198">
        <v>9</v>
      </c>
      <c r="X1198" t="s">
        <v>8454</v>
      </c>
      <c r="Y1198">
        <v>0.40221627682009231</v>
      </c>
      <c r="Z1198" t="str">
        <f>HYPERLINK("Melting_Curves/meltCurve_sp_P61106_RAB14_HUMAN_.pdf", "Melting_Curves/meltCurve_sp_P61106_RAB14_HUMAN_.pdf")</f>
        <v>Melting_Curves/meltCurve_sp_P61106_RAB14_HUMAN_.pdf</v>
      </c>
      <c r="AA1198" t="s">
        <v>12062</v>
      </c>
      <c r="AB1198" t="s">
        <v>15623</v>
      </c>
    </row>
    <row r="1199" spans="1:28" x14ac:dyDescent="0.25">
      <c r="A1199" t="s">
        <v>1203</v>
      </c>
      <c r="B1199">
        <v>0.98018197421672304</v>
      </c>
      <c r="C1199">
        <v>0.98907147035287502</v>
      </c>
      <c r="D1199">
        <v>0.91766871094033697</v>
      </c>
      <c r="E1199">
        <v>0.83264236097473698</v>
      </c>
      <c r="F1199">
        <v>0.72506359335455495</v>
      </c>
      <c r="G1199">
        <v>0.44813323581534797</v>
      </c>
      <c r="H1199">
        <v>0.122807077946835</v>
      </c>
      <c r="I1199">
        <v>6.32631653404295E-2</v>
      </c>
      <c r="J1199">
        <v>6.4293830588093098E-2</v>
      </c>
      <c r="K1199">
        <v>4.6503605715565201E-2</v>
      </c>
      <c r="L1199">
        <v>960.35579290450698</v>
      </c>
      <c r="M1199">
        <v>17.257017413416399</v>
      </c>
      <c r="N1199">
        <v>55.650165614877501</v>
      </c>
      <c r="O1199">
        <v>54.919001784322901</v>
      </c>
      <c r="P1199">
        <v>-7.8561254678263998E-2</v>
      </c>
      <c r="Q1199">
        <v>0</v>
      </c>
      <c r="R1199">
        <v>0.99146326718265498</v>
      </c>
      <c r="S1199" t="s">
        <v>4828</v>
      </c>
      <c r="T1199" t="s">
        <v>7256</v>
      </c>
      <c r="U1199" t="s">
        <v>7256</v>
      </c>
      <c r="V1199" t="s">
        <v>7256</v>
      </c>
      <c r="W1199">
        <v>21</v>
      </c>
      <c r="X1199" t="s">
        <v>8455</v>
      </c>
      <c r="Y1199">
        <v>0.53747594415357569</v>
      </c>
      <c r="Z1199" t="str">
        <f>HYPERLINK("Melting_Curves/meltCurve_sp_P61158_ARP3_HUMAN_.pdf", "Melting_Curves/meltCurve_sp_P61158_ARP3_HUMAN_.pdf")</f>
        <v>Melting_Curves/meltCurve_sp_P61158_ARP3_HUMAN_.pdf</v>
      </c>
      <c r="AA1199" t="s">
        <v>12063</v>
      </c>
      <c r="AB1199" t="s">
        <v>15624</v>
      </c>
    </row>
    <row r="1200" spans="1:28" x14ac:dyDescent="0.25">
      <c r="A1200" t="s">
        <v>1204</v>
      </c>
      <c r="B1200">
        <v>0.98018197421672304</v>
      </c>
      <c r="C1200">
        <v>0.934324565580405</v>
      </c>
      <c r="D1200">
        <v>0.88562949895651999</v>
      </c>
      <c r="E1200">
        <v>0.79219624694572199</v>
      </c>
      <c r="F1200">
        <v>0.66725660607762804</v>
      </c>
      <c r="G1200">
        <v>0.40356871640937098</v>
      </c>
      <c r="H1200">
        <v>0.12507592899197101</v>
      </c>
      <c r="I1200">
        <v>7.6975587476277099E-2</v>
      </c>
      <c r="J1200">
        <v>7.01259217653354E-2</v>
      </c>
      <c r="K1200">
        <v>7.6744799084854501E-2</v>
      </c>
      <c r="L1200">
        <v>805.35733219057397</v>
      </c>
      <c r="M1200">
        <v>14.6708526456743</v>
      </c>
      <c r="N1200">
        <v>54.895081950037103</v>
      </c>
      <c r="O1200">
        <v>53.905379593549299</v>
      </c>
      <c r="P1200">
        <v>-6.8047333445129102E-2</v>
      </c>
      <c r="Q1200">
        <v>0</v>
      </c>
      <c r="R1200">
        <v>0.98870129583295296</v>
      </c>
      <c r="S1200" t="s">
        <v>4829</v>
      </c>
      <c r="T1200" t="s">
        <v>7256</v>
      </c>
      <c r="U1200" t="s">
        <v>7256</v>
      </c>
      <c r="V1200" t="s">
        <v>7256</v>
      </c>
      <c r="W1200">
        <v>13</v>
      </c>
      <c r="X1200" t="s">
        <v>8456</v>
      </c>
      <c r="Y1200">
        <v>0.51639176382633534</v>
      </c>
      <c r="Z1200" t="str">
        <f>HYPERLINK("Melting_Curves/meltCurve_sp_P61160_ARP2_HUMAN_.pdf", "Melting_Curves/meltCurve_sp_P61160_ARP2_HUMAN_.pdf")</f>
        <v>Melting_Curves/meltCurve_sp_P61160_ARP2_HUMAN_.pdf</v>
      </c>
      <c r="AA1200" t="s">
        <v>12064</v>
      </c>
      <c r="AB1200" t="s">
        <v>15625</v>
      </c>
    </row>
    <row r="1201" spans="1:28" x14ac:dyDescent="0.25">
      <c r="A1201" t="s">
        <v>1205</v>
      </c>
      <c r="B1201">
        <v>0.98018197421672304</v>
      </c>
      <c r="C1201">
        <v>1.0223638119959899</v>
      </c>
      <c r="D1201">
        <v>0.96576384242294899</v>
      </c>
      <c r="E1201">
        <v>0.72920502423311895</v>
      </c>
      <c r="F1201">
        <v>0.48136546627536803</v>
      </c>
      <c r="G1201">
        <v>0.168310507301452</v>
      </c>
      <c r="H1201">
        <v>6.0758391395641903E-2</v>
      </c>
      <c r="I1201">
        <v>3.6606124076021998E-2</v>
      </c>
      <c r="J1201">
        <v>3.1024935400315101E-2</v>
      </c>
      <c r="K1201">
        <v>1.7491400388331399E-2</v>
      </c>
      <c r="L1201">
        <v>1101.33925098185</v>
      </c>
      <c r="M1201">
        <v>20.9503513927854</v>
      </c>
      <c r="N1201">
        <v>52.638189950487799</v>
      </c>
      <c r="O1201">
        <v>52.097097214049803</v>
      </c>
      <c r="P1201">
        <v>-9.91725700360786E-2</v>
      </c>
      <c r="Q1201">
        <v>1.3579943060005401E-2</v>
      </c>
      <c r="R1201">
        <v>0.99868210571723204</v>
      </c>
      <c r="S1201" t="s">
        <v>4830</v>
      </c>
      <c r="T1201" t="s">
        <v>7256</v>
      </c>
      <c r="U1201" t="s">
        <v>7256</v>
      </c>
      <c r="V1201" t="s">
        <v>7256</v>
      </c>
      <c r="W1201">
        <v>7</v>
      </c>
      <c r="X1201" t="s">
        <v>8457</v>
      </c>
      <c r="Y1201">
        <v>0.43939786805166481</v>
      </c>
      <c r="Z1201" t="str">
        <f>HYPERLINK("Melting_Curves/meltCurve_sp_P61163_ACTZ_HUMAN_.pdf", "Melting_Curves/meltCurve_sp_P61163_ACTZ_HUMAN_.pdf")</f>
        <v>Melting_Curves/meltCurve_sp_P61163_ACTZ_HUMAN_.pdf</v>
      </c>
      <c r="AA1201" t="s">
        <v>12065</v>
      </c>
      <c r="AB1201" t="s">
        <v>15626</v>
      </c>
    </row>
    <row r="1202" spans="1:28" x14ac:dyDescent="0.25">
      <c r="A1202" t="s">
        <v>1206</v>
      </c>
      <c r="B1202">
        <v>0.98018197421672304</v>
      </c>
      <c r="C1202">
        <v>0.96594962128797701</v>
      </c>
      <c r="D1202">
        <v>0.87888733316219103</v>
      </c>
      <c r="E1202">
        <v>0.73972284481190897</v>
      </c>
      <c r="F1202">
        <v>0.57985656991226098</v>
      </c>
      <c r="G1202">
        <v>0.21613916647769199</v>
      </c>
      <c r="H1202">
        <v>6.9664275620042307E-2</v>
      </c>
      <c r="I1202">
        <v>5.3052761724054598E-2</v>
      </c>
      <c r="J1202">
        <v>7.6221289358166702E-2</v>
      </c>
      <c r="K1202">
        <v>4.6618161272117702E-2</v>
      </c>
      <c r="L1202">
        <v>913.66460966656302</v>
      </c>
      <c r="M1202">
        <v>17.1871795726389</v>
      </c>
      <c r="N1202">
        <v>53.245346868204798</v>
      </c>
      <c r="O1202">
        <v>52.455658852863301</v>
      </c>
      <c r="P1202">
        <v>-8.0800441510201701E-2</v>
      </c>
      <c r="Q1202">
        <v>1.36393224381275E-2</v>
      </c>
      <c r="R1202">
        <v>0.99183459801179996</v>
      </c>
      <c r="S1202" t="s">
        <v>4831</v>
      </c>
      <c r="T1202" t="s">
        <v>7256</v>
      </c>
      <c r="U1202" t="s">
        <v>7256</v>
      </c>
      <c r="V1202" t="s">
        <v>7256</v>
      </c>
      <c r="W1202">
        <v>11</v>
      </c>
      <c r="X1202" t="s">
        <v>8458</v>
      </c>
      <c r="Y1202">
        <v>0.46361321146132572</v>
      </c>
      <c r="Z1202" t="str">
        <f>HYPERLINK("Melting_Curves/meltCurve_sp_P61201_CSN2_HUMAN_.pdf", "Melting_Curves/meltCurve_sp_P61201_CSN2_HUMAN_.pdf")</f>
        <v>Melting_Curves/meltCurve_sp_P61201_CSN2_HUMAN_.pdf</v>
      </c>
      <c r="AA1202" t="s">
        <v>12066</v>
      </c>
      <c r="AB1202" t="s">
        <v>15627</v>
      </c>
    </row>
    <row r="1203" spans="1:28" x14ac:dyDescent="0.25">
      <c r="A1203" t="s">
        <v>1207</v>
      </c>
      <c r="B1203">
        <v>0.98018197421672304</v>
      </c>
      <c r="C1203">
        <v>0.95987855433312197</v>
      </c>
      <c r="D1203">
        <v>0.87351030095971904</v>
      </c>
      <c r="E1203">
        <v>0.51656847851647103</v>
      </c>
      <c r="F1203">
        <v>0.162223234596061</v>
      </c>
      <c r="G1203">
        <v>8.36239200276407E-2</v>
      </c>
      <c r="H1203">
        <v>4.9046058753057002E-2</v>
      </c>
      <c r="I1203">
        <v>3.7268461033242203E-2</v>
      </c>
      <c r="J1203">
        <v>3.9735096695832799E-2</v>
      </c>
      <c r="K1203">
        <v>2.3710775928994201E-2</v>
      </c>
      <c r="L1203">
        <v>1266.99528524794</v>
      </c>
      <c r="M1203">
        <v>25.460740105086099</v>
      </c>
      <c r="N1203">
        <v>49.894610260343597</v>
      </c>
      <c r="O1203">
        <v>49.458784409088501</v>
      </c>
      <c r="P1203">
        <v>-0.12450897400762299</v>
      </c>
      <c r="Q1203">
        <v>3.2552359790363201E-2</v>
      </c>
      <c r="R1203">
        <v>0.99741237056459597</v>
      </c>
      <c r="S1203" t="s">
        <v>4832</v>
      </c>
      <c r="T1203" t="s">
        <v>7256</v>
      </c>
      <c r="U1203" t="s">
        <v>7256</v>
      </c>
      <c r="V1203" t="s">
        <v>7256</v>
      </c>
      <c r="W1203">
        <v>11</v>
      </c>
      <c r="X1203" t="s">
        <v>8459</v>
      </c>
      <c r="Y1203">
        <v>0.3556962894123194</v>
      </c>
      <c r="Z1203" t="str">
        <f>HYPERLINK("Melting_Curves/meltCurve_sp_P61221_ABCE1_HUMAN_.pdf", "Melting_Curves/meltCurve_sp_P61221_ABCE1_HUMAN_.pdf")</f>
        <v>Melting_Curves/meltCurve_sp_P61221_ABCE1_HUMAN_.pdf</v>
      </c>
      <c r="AA1203" t="s">
        <v>12067</v>
      </c>
      <c r="AB1203" t="s">
        <v>15628</v>
      </c>
    </row>
    <row r="1204" spans="1:28" x14ac:dyDescent="0.25">
      <c r="A1204" t="s">
        <v>1208</v>
      </c>
      <c r="B1204">
        <v>0.98018197421672304</v>
      </c>
      <c r="C1204">
        <v>0.89449193264948101</v>
      </c>
      <c r="D1204">
        <v>0.73938052892533301</v>
      </c>
      <c r="E1204">
        <v>0.45303539351212802</v>
      </c>
      <c r="F1204">
        <v>0.319338938026416</v>
      </c>
      <c r="G1204">
        <v>0.20754231593810599</v>
      </c>
      <c r="H1204">
        <v>0.14139731863759999</v>
      </c>
      <c r="I1204">
        <v>0.11367698738264501</v>
      </c>
      <c r="J1204">
        <v>0.110923567681153</v>
      </c>
      <c r="K1204">
        <v>9.2497835122127503E-2</v>
      </c>
      <c r="L1204">
        <v>709.09643612533603</v>
      </c>
      <c r="M1204">
        <v>14.5185341010919</v>
      </c>
      <c r="N1204">
        <v>49.528657276258201</v>
      </c>
      <c r="O1204">
        <v>47.942258386158201</v>
      </c>
      <c r="P1204">
        <v>-6.8803713131203897E-2</v>
      </c>
      <c r="Q1204">
        <v>9.1306283452763398E-2</v>
      </c>
      <c r="R1204">
        <v>0.99909451551567496</v>
      </c>
      <c r="S1204" t="s">
        <v>4833</v>
      </c>
      <c r="T1204" t="s">
        <v>7256</v>
      </c>
      <c r="U1204" t="s">
        <v>7256</v>
      </c>
      <c r="V1204" t="s">
        <v>7256</v>
      </c>
      <c r="W1204">
        <v>7</v>
      </c>
      <c r="X1204" t="s">
        <v>8460</v>
      </c>
      <c r="Y1204">
        <v>0.38308489406668522</v>
      </c>
      <c r="Z1204" t="str">
        <f>HYPERLINK("Melting_Curves/meltCurve_sp_P61224_3_RAP1B_HUMAN_.pdf", "Melting_Curves/meltCurve_sp_P61224_3_RAP1B_HUMAN_.pdf")</f>
        <v>Melting_Curves/meltCurve_sp_P61224_3_RAP1B_HUMAN_.pdf</v>
      </c>
      <c r="AA1204" t="s">
        <v>12068</v>
      </c>
      <c r="AB1204" t="s">
        <v>15629</v>
      </c>
    </row>
    <row r="1205" spans="1:28" x14ac:dyDescent="0.25">
      <c r="A1205" t="s">
        <v>1209</v>
      </c>
      <c r="B1205">
        <v>0.98018197421672304</v>
      </c>
      <c r="C1205">
        <v>0.97294938553874299</v>
      </c>
      <c r="D1205">
        <v>0.76708749825903899</v>
      </c>
      <c r="E1205">
        <v>0.34987314327036401</v>
      </c>
      <c r="F1205">
        <v>0.20406539470587201</v>
      </c>
      <c r="G1205">
        <v>0.127214208884352</v>
      </c>
      <c r="H1205">
        <v>8.7767042801842707E-2</v>
      </c>
      <c r="I1205">
        <v>4.9833915370742103E-2</v>
      </c>
      <c r="J1205">
        <v>5.72820150545E-2</v>
      </c>
      <c r="K1205">
        <v>3.4183033108543801E-2</v>
      </c>
      <c r="L1205">
        <v>1039.38682563725</v>
      </c>
      <c r="M1205">
        <v>21.4877933014339</v>
      </c>
      <c r="N1205">
        <v>48.664282198703503</v>
      </c>
      <c r="O1205">
        <v>47.957936281581098</v>
      </c>
      <c r="P1205">
        <v>-0.10521424252117501</v>
      </c>
      <c r="Q1205">
        <v>6.07253568543029E-2</v>
      </c>
      <c r="R1205">
        <v>0.99697785627258895</v>
      </c>
      <c r="S1205" t="s">
        <v>4834</v>
      </c>
      <c r="T1205" t="s">
        <v>7256</v>
      </c>
      <c r="U1205" t="s">
        <v>7256</v>
      </c>
      <c r="V1205" t="s">
        <v>7256</v>
      </c>
      <c r="W1205">
        <v>5</v>
      </c>
      <c r="X1205" t="s">
        <v>8461</v>
      </c>
      <c r="Y1205">
        <v>0.33422497338278517</v>
      </c>
      <c r="Z1205" t="str">
        <f>HYPERLINK("Melting_Curves/meltCurve_sp_P61247_RS3A_HUMAN_.pdf", "Melting_Curves/meltCurve_sp_P61247_RS3A_HUMAN_.pdf")</f>
        <v>Melting_Curves/meltCurve_sp_P61247_RS3A_HUMAN_.pdf</v>
      </c>
      <c r="AA1205" t="s">
        <v>12069</v>
      </c>
      <c r="AB1205" t="s">
        <v>15630</v>
      </c>
    </row>
    <row r="1206" spans="1:28" x14ac:dyDescent="0.25">
      <c r="A1206" t="s">
        <v>1210</v>
      </c>
      <c r="B1206">
        <v>0.98018197421672304</v>
      </c>
      <c r="C1206">
        <v>0.95098018369233095</v>
      </c>
      <c r="D1206">
        <v>0.862099064226863</v>
      </c>
      <c r="E1206">
        <v>0.67436654480057601</v>
      </c>
      <c r="F1206">
        <v>0.41496668107637202</v>
      </c>
      <c r="G1206">
        <v>0.26903751863471398</v>
      </c>
      <c r="H1206">
        <v>0.210812134820337</v>
      </c>
      <c r="I1206">
        <v>0.19069263134709799</v>
      </c>
      <c r="J1206">
        <v>0.16850442058068499</v>
      </c>
      <c r="K1206">
        <v>0.114583592859344</v>
      </c>
      <c r="L1206">
        <v>814.84887719766903</v>
      </c>
      <c r="M1206">
        <v>15.9587803939125</v>
      </c>
      <c r="N1206">
        <v>52.104179806477298</v>
      </c>
      <c r="O1206">
        <v>50.278045340789497</v>
      </c>
      <c r="P1206">
        <v>-6.8494392256403705E-2</v>
      </c>
      <c r="Q1206">
        <v>0.13690370345057501</v>
      </c>
      <c r="R1206">
        <v>0.99602325758860499</v>
      </c>
      <c r="S1206" t="s">
        <v>4835</v>
      </c>
      <c r="T1206" t="s">
        <v>7256</v>
      </c>
      <c r="U1206" t="s">
        <v>7256</v>
      </c>
      <c r="V1206" t="s">
        <v>7256</v>
      </c>
      <c r="W1206">
        <v>6</v>
      </c>
      <c r="X1206" t="s">
        <v>8462</v>
      </c>
      <c r="Y1206">
        <v>0.47302953815341192</v>
      </c>
      <c r="Z1206" t="str">
        <f>HYPERLINK("Melting_Curves/meltCurve_sp_P61289_PSME3_HUMAN_.pdf", "Melting_Curves/meltCurve_sp_P61289_PSME3_HUMAN_.pdf")</f>
        <v>Melting_Curves/meltCurve_sp_P61289_PSME3_HUMAN_.pdf</v>
      </c>
      <c r="AA1206" t="s">
        <v>12070</v>
      </c>
      <c r="AB1206" t="s">
        <v>15631</v>
      </c>
    </row>
    <row r="1207" spans="1:28" x14ac:dyDescent="0.25">
      <c r="A1207" t="s">
        <v>1211</v>
      </c>
      <c r="B1207">
        <v>0.98018197421672304</v>
      </c>
      <c r="C1207">
        <v>0.99691029639600603</v>
      </c>
      <c r="D1207">
        <v>0.87787966444921695</v>
      </c>
      <c r="E1207">
        <v>0.54344269157821801</v>
      </c>
      <c r="F1207">
        <v>0.17377201717319399</v>
      </c>
      <c r="G1207">
        <v>6.2647967390647194E-2</v>
      </c>
      <c r="H1207">
        <v>2.7936098250214099E-2</v>
      </c>
      <c r="I1207">
        <v>2.5283033867715399E-2</v>
      </c>
      <c r="J1207">
        <v>2.2859380755254701E-2</v>
      </c>
      <c r="K1207">
        <v>6.6625473219949598E-3</v>
      </c>
      <c r="L1207">
        <v>1301.3338665998299</v>
      </c>
      <c r="M1207">
        <v>25.993572325739599</v>
      </c>
      <c r="N1207">
        <v>50.123847764708898</v>
      </c>
      <c r="O1207">
        <v>49.770188636411497</v>
      </c>
      <c r="P1207">
        <v>-0.128563899463042</v>
      </c>
      <c r="Q1207">
        <v>1.5360283199033299E-2</v>
      </c>
      <c r="R1207">
        <v>0.99799091408090801</v>
      </c>
      <c r="S1207" t="s">
        <v>4836</v>
      </c>
      <c r="T1207" t="s">
        <v>7256</v>
      </c>
      <c r="U1207" t="s">
        <v>7256</v>
      </c>
      <c r="V1207" t="s">
        <v>7256</v>
      </c>
      <c r="W1207">
        <v>2</v>
      </c>
      <c r="X1207" t="s">
        <v>8463</v>
      </c>
      <c r="Y1207">
        <v>0.3538060089102672</v>
      </c>
      <c r="Z1207" t="str">
        <f>HYPERLINK("Melting_Curves/meltCurve_sp_P61326_MGN_HUMAN_.pdf", "Melting_Curves/meltCurve_sp_P61326_MGN_HUMAN_.pdf")</f>
        <v>Melting_Curves/meltCurve_sp_P61326_MGN_HUMAN_.pdf</v>
      </c>
      <c r="AA1207" t="s">
        <v>12071</v>
      </c>
      <c r="AB1207" t="s">
        <v>15632</v>
      </c>
    </row>
    <row r="1208" spans="1:28" x14ac:dyDescent="0.25">
      <c r="A1208" t="s">
        <v>1212</v>
      </c>
      <c r="B1208">
        <v>0.98018197421672304</v>
      </c>
      <c r="C1208">
        <v>0.98506112266957302</v>
      </c>
      <c r="D1208">
        <v>0.91426031330072199</v>
      </c>
      <c r="E1208">
        <v>0.74454973842517502</v>
      </c>
      <c r="F1208">
        <v>0.682742035291797</v>
      </c>
      <c r="G1208">
        <v>0.56218096171797405</v>
      </c>
      <c r="H1208">
        <v>0.35425594718736397</v>
      </c>
      <c r="I1208">
        <v>0.25887291603122597</v>
      </c>
      <c r="J1208">
        <v>0.23627337172635901</v>
      </c>
      <c r="K1208">
        <v>0.41514940737019601</v>
      </c>
      <c r="L1208">
        <v>685.26044550589597</v>
      </c>
      <c r="M1208">
        <v>12.76730627982</v>
      </c>
      <c r="N1208">
        <v>56.829595054163697</v>
      </c>
      <c r="O1208">
        <v>52.4074181648202</v>
      </c>
      <c r="P1208">
        <v>-4.5445046582230399E-2</v>
      </c>
      <c r="Q1208">
        <v>0.253967534508929</v>
      </c>
      <c r="R1208">
        <v>0.95287973107080404</v>
      </c>
      <c r="S1208" t="s">
        <v>4837</v>
      </c>
      <c r="T1208" t="s">
        <v>7256</v>
      </c>
      <c r="U1208" t="s">
        <v>7256</v>
      </c>
      <c r="V1208" t="s">
        <v>7256</v>
      </c>
      <c r="W1208">
        <v>1</v>
      </c>
      <c r="X1208" t="s">
        <v>8464</v>
      </c>
      <c r="Y1208">
        <v>0.61282279010655794</v>
      </c>
      <c r="Z1208" t="str">
        <f>HYPERLINK("Melting_Curves/meltCurve_sp_P61353_RL27_HUMAN_.pdf", "Melting_Curves/meltCurve_sp_P61353_RL27_HUMAN_.pdf")</f>
        <v>Melting_Curves/meltCurve_sp_P61353_RL27_HUMAN_.pdf</v>
      </c>
      <c r="AA1208" t="s">
        <v>12072</v>
      </c>
      <c r="AB1208" t="s">
        <v>15633</v>
      </c>
    </row>
    <row r="1209" spans="1:28" x14ac:dyDescent="0.25">
      <c r="A1209" t="s">
        <v>1213</v>
      </c>
      <c r="B1209">
        <v>0.98018197421672304</v>
      </c>
      <c r="C1209">
        <v>0.73395639986793904</v>
      </c>
      <c r="D1209">
        <v>0.92137733662391696</v>
      </c>
      <c r="E1209">
        <v>0.75010853730997895</v>
      </c>
      <c r="F1209">
        <v>0.72922966398233302</v>
      </c>
      <c r="G1209">
        <v>0.51252530366403803</v>
      </c>
      <c r="H1209">
        <v>0.40735234701432099</v>
      </c>
      <c r="I1209">
        <v>0.41881799636320799</v>
      </c>
      <c r="J1209">
        <v>0.37758439719435599</v>
      </c>
      <c r="K1209">
        <v>0.53687512930815295</v>
      </c>
      <c r="L1209">
        <v>451.28644728309501</v>
      </c>
      <c r="M1209">
        <v>8.6921772853362</v>
      </c>
      <c r="N1209">
        <v>60.175282774714603</v>
      </c>
      <c r="O1209">
        <v>49.390285589029503</v>
      </c>
      <c r="P1209">
        <v>-2.86972415417346E-2</v>
      </c>
      <c r="Q1209">
        <v>0.348291280707135</v>
      </c>
      <c r="R1209">
        <v>0.82512392413052105</v>
      </c>
      <c r="S1209" t="s">
        <v>4838</v>
      </c>
      <c r="T1209" t="s">
        <v>7256</v>
      </c>
      <c r="U1209" t="s">
        <v>7256</v>
      </c>
      <c r="V1209" t="s">
        <v>7256</v>
      </c>
      <c r="W1209">
        <v>10</v>
      </c>
      <c r="X1209" t="s">
        <v>8465</v>
      </c>
      <c r="Y1209">
        <v>0.63598888103657769</v>
      </c>
      <c r="Z1209" t="str">
        <f>HYPERLINK("Melting_Curves/meltCurve_sp_P61457_PHS_HUMAN_.pdf", "Melting_Curves/meltCurve_sp_P61457_PHS_HUMAN_.pdf")</f>
        <v>Melting_Curves/meltCurve_sp_P61457_PHS_HUMAN_.pdf</v>
      </c>
      <c r="AA1209" t="s">
        <v>12073</v>
      </c>
      <c r="AB1209" t="s">
        <v>15634</v>
      </c>
    </row>
    <row r="1210" spans="1:28" x14ac:dyDescent="0.25">
      <c r="A1210" t="s">
        <v>1214</v>
      </c>
      <c r="B1210">
        <v>0.98018197421672304</v>
      </c>
      <c r="C1210">
        <v>0.48655881983655702</v>
      </c>
      <c r="D1210">
        <v>0.86464132653051295</v>
      </c>
      <c r="E1210">
        <v>0.39759848610642501</v>
      </c>
      <c r="F1210">
        <v>0.16384648101640201</v>
      </c>
      <c r="G1210">
        <v>8.9103555384650104E-2</v>
      </c>
      <c r="H1210">
        <v>4.8620247122675798E-2</v>
      </c>
      <c r="I1210">
        <v>3.9597006846514203E-2</v>
      </c>
      <c r="J1210">
        <v>3.7777339597939302E-2</v>
      </c>
      <c r="K1210">
        <v>3.22820039913575E-2</v>
      </c>
      <c r="L1210">
        <v>562.07010581816803</v>
      </c>
      <c r="M1210">
        <v>11.7547810631819</v>
      </c>
      <c r="N1210">
        <v>47.816297981546199</v>
      </c>
      <c r="O1210">
        <v>46.495354062884203</v>
      </c>
      <c r="P1210">
        <v>-6.3220567591554797E-2</v>
      </c>
      <c r="Q1210">
        <v>0</v>
      </c>
      <c r="R1210">
        <v>0.85220656004040496</v>
      </c>
      <c r="S1210" t="s">
        <v>4839</v>
      </c>
      <c r="T1210" t="s">
        <v>7256</v>
      </c>
      <c r="U1210" t="s">
        <v>7256</v>
      </c>
      <c r="V1210" t="s">
        <v>7256</v>
      </c>
      <c r="W1210">
        <v>9</v>
      </c>
      <c r="X1210" t="s">
        <v>8466</v>
      </c>
      <c r="Y1210">
        <v>0.30163208317616252</v>
      </c>
      <c r="Z1210" t="str">
        <f>HYPERLINK("Melting_Curves/meltCurve_sp_P61586_RHOA_HUMAN_.pdf", "Melting_Curves/meltCurve_sp_P61586_RHOA_HUMAN_.pdf")</f>
        <v>Melting_Curves/meltCurve_sp_P61586_RHOA_HUMAN_.pdf</v>
      </c>
      <c r="AA1210" t="s">
        <v>12074</v>
      </c>
      <c r="AB1210" t="s">
        <v>15635</v>
      </c>
    </row>
    <row r="1211" spans="1:28" x14ac:dyDescent="0.25">
      <c r="A1211" t="s">
        <v>1215</v>
      </c>
      <c r="B1211">
        <v>0.98018197421672304</v>
      </c>
      <c r="C1211">
        <v>1.0132980650043599</v>
      </c>
      <c r="D1211">
        <v>0.97288100045293102</v>
      </c>
      <c r="E1211">
        <v>0.85698319359688502</v>
      </c>
      <c r="F1211">
        <v>0.81395827419036604</v>
      </c>
      <c r="G1211">
        <v>0.69628971692889496</v>
      </c>
      <c r="H1211">
        <v>0.56066568019460195</v>
      </c>
      <c r="I1211">
        <v>0.65722623539665703</v>
      </c>
      <c r="J1211">
        <v>0.66621899744073099</v>
      </c>
      <c r="K1211">
        <v>0.77345029345937499</v>
      </c>
      <c r="L1211">
        <v>1169.5936681078199</v>
      </c>
      <c r="M1211">
        <v>22.791244820148599</v>
      </c>
      <c r="O1211">
        <v>50.927470878039202</v>
      </c>
      <c r="P1211">
        <v>-3.7407802592693398E-2</v>
      </c>
      <c r="Q1211">
        <v>0.66565253564721205</v>
      </c>
      <c r="R1211">
        <v>0.87468677181621202</v>
      </c>
      <c r="S1211" t="s">
        <v>4840</v>
      </c>
      <c r="T1211" t="s">
        <v>7256</v>
      </c>
      <c r="U1211" t="s">
        <v>7256</v>
      </c>
      <c r="V1211" t="s">
        <v>7256</v>
      </c>
      <c r="W1211">
        <v>14</v>
      </c>
      <c r="X1211" t="s">
        <v>8467</v>
      </c>
      <c r="Y1211">
        <v>0.79541263183922395</v>
      </c>
      <c r="Z1211" t="str">
        <f>HYPERLINK("Melting_Curves/meltCurve_sp_P61604_CH10_HUMAN_.pdf", "Melting_Curves/meltCurve_sp_P61604_CH10_HUMAN_.pdf")</f>
        <v>Melting_Curves/meltCurve_sp_P61604_CH10_HUMAN_.pdf</v>
      </c>
      <c r="AA1211" t="s">
        <v>12075</v>
      </c>
      <c r="AB1211" t="s">
        <v>15636</v>
      </c>
    </row>
    <row r="1212" spans="1:28" x14ac:dyDescent="0.25">
      <c r="A1212" t="s">
        <v>1216</v>
      </c>
      <c r="B1212">
        <v>0.98018197421672304</v>
      </c>
      <c r="C1212">
        <v>1.0229148071345699</v>
      </c>
      <c r="D1212">
        <v>0.94111555258901802</v>
      </c>
      <c r="E1212">
        <v>0.870502080061753</v>
      </c>
      <c r="F1212">
        <v>0.75612803813520602</v>
      </c>
      <c r="G1212">
        <v>0.579538985817868</v>
      </c>
      <c r="H1212">
        <v>0.45727121457394598</v>
      </c>
      <c r="I1212">
        <v>0.374507781653313</v>
      </c>
      <c r="J1212">
        <v>0.41414097286030599</v>
      </c>
      <c r="K1212">
        <v>0.46849875592639201</v>
      </c>
      <c r="L1212">
        <v>968.79991340111496</v>
      </c>
      <c r="M1212">
        <v>17.987215419797899</v>
      </c>
      <c r="N1212">
        <v>59.219743316195</v>
      </c>
      <c r="O1212">
        <v>53.207984023012301</v>
      </c>
      <c r="P1212">
        <v>-5.0556927645321201E-2</v>
      </c>
      <c r="Q1212">
        <v>0.40181976495542499</v>
      </c>
      <c r="R1212">
        <v>0.983389865023509</v>
      </c>
      <c r="S1212" t="s">
        <v>4841</v>
      </c>
      <c r="T1212" t="s">
        <v>7256</v>
      </c>
      <c r="U1212" t="s">
        <v>7256</v>
      </c>
      <c r="V1212" t="s">
        <v>7256</v>
      </c>
      <c r="W1212">
        <v>5</v>
      </c>
      <c r="X1212" t="s">
        <v>8468</v>
      </c>
      <c r="Y1212">
        <v>0.68780564979718406</v>
      </c>
      <c r="Z1212" t="str">
        <f>HYPERLINK("Melting_Curves/meltCurve_sp_P61758_PFD3_HUMAN_.pdf", "Melting_Curves/meltCurve_sp_P61758_PFD3_HUMAN_.pdf")</f>
        <v>Melting_Curves/meltCurve_sp_P61758_PFD3_HUMAN_.pdf</v>
      </c>
      <c r="AA1212" t="s">
        <v>12076</v>
      </c>
      <c r="AB1212" t="s">
        <v>15637</v>
      </c>
    </row>
    <row r="1213" spans="1:28" x14ac:dyDescent="0.25">
      <c r="A1213" t="s">
        <v>1217</v>
      </c>
      <c r="B1213">
        <v>0.98018197421672304</v>
      </c>
      <c r="C1213">
        <v>0.97510603214968095</v>
      </c>
      <c r="D1213">
        <v>0.96230704421242297</v>
      </c>
      <c r="E1213">
        <v>0.76999576608213005</v>
      </c>
      <c r="F1213">
        <v>0.400943279546709</v>
      </c>
      <c r="G1213">
        <v>0.25196526215395099</v>
      </c>
      <c r="H1213">
        <v>0.29035068413669701</v>
      </c>
      <c r="I1213">
        <v>0.14182264394007299</v>
      </c>
      <c r="J1213">
        <v>4.7850869236377699E-2</v>
      </c>
      <c r="K1213">
        <v>4.1712060052010898E-2</v>
      </c>
      <c r="L1213">
        <v>981.76504464418599</v>
      </c>
      <c r="M1213">
        <v>18.822030126485799</v>
      </c>
      <c r="N1213">
        <v>52.7584644283044</v>
      </c>
      <c r="O1213">
        <v>51.582334299808302</v>
      </c>
      <c r="P1213">
        <v>-8.2463262842245103E-2</v>
      </c>
      <c r="Q1213">
        <v>9.6065283028010401E-2</v>
      </c>
      <c r="R1213">
        <v>0.97337502236997597</v>
      </c>
      <c r="S1213" t="s">
        <v>4842</v>
      </c>
      <c r="T1213" t="s">
        <v>7256</v>
      </c>
      <c r="U1213" t="s">
        <v>7256</v>
      </c>
      <c r="V1213" t="s">
        <v>7256</v>
      </c>
      <c r="W1213">
        <v>5</v>
      </c>
      <c r="X1213" t="s">
        <v>8469</v>
      </c>
      <c r="Y1213">
        <v>0.47637807624909251</v>
      </c>
      <c r="Z1213" t="str">
        <f>HYPERLINK("Melting_Curves/meltCurve_sp_P61923_COPZ1_HUMAN_.pdf", "Melting_Curves/meltCurve_sp_P61923_COPZ1_HUMAN_.pdf")</f>
        <v>Melting_Curves/meltCurve_sp_P61923_COPZ1_HUMAN_.pdf</v>
      </c>
      <c r="AA1213" t="s">
        <v>12077</v>
      </c>
      <c r="AB1213" t="s">
        <v>15638</v>
      </c>
    </row>
    <row r="1214" spans="1:28" x14ac:dyDescent="0.25">
      <c r="A1214" t="s">
        <v>1218</v>
      </c>
      <c r="B1214">
        <v>0.98018197421672304</v>
      </c>
      <c r="C1214">
        <v>1.0239708496732201</v>
      </c>
      <c r="D1214">
        <v>0.98852923792121195</v>
      </c>
      <c r="E1214">
        <v>0.89239518626467795</v>
      </c>
      <c r="F1214">
        <v>0.98388802752725901</v>
      </c>
      <c r="G1214">
        <v>0.87663645500318299</v>
      </c>
      <c r="H1214">
        <v>0.65372117127954399</v>
      </c>
      <c r="I1214">
        <v>0.73647113380062101</v>
      </c>
      <c r="J1214">
        <v>0.80980621619731996</v>
      </c>
      <c r="K1214">
        <v>1.1178850332093699</v>
      </c>
      <c r="L1214">
        <v>14195.196071165699</v>
      </c>
      <c r="M1214">
        <v>250</v>
      </c>
      <c r="O1214">
        <v>56.777161605398298</v>
      </c>
      <c r="P1214">
        <v>-0.187717577330028</v>
      </c>
      <c r="Q1214">
        <v>0.82947089329468304</v>
      </c>
      <c r="R1214">
        <v>0.24368487033740899</v>
      </c>
      <c r="S1214" t="s">
        <v>4843</v>
      </c>
      <c r="T1214" t="s">
        <v>7256</v>
      </c>
      <c r="U1214" t="s">
        <v>7256</v>
      </c>
      <c r="V1214" t="s">
        <v>7256</v>
      </c>
      <c r="W1214">
        <v>3</v>
      </c>
      <c r="X1214" t="s">
        <v>8470</v>
      </c>
      <c r="Y1214">
        <v>0.92487495821254539</v>
      </c>
      <c r="Z1214" t="str">
        <f>HYPERLINK("Melting_Curves/meltCurve_sp_P61956_2_SUMO2_HUMAN_.pdf", "Melting_Curves/meltCurve_sp_P61956_2_SUMO2_HUMAN_.pdf")</f>
        <v>Melting_Curves/meltCurve_sp_P61956_2_SUMO2_HUMAN_.pdf</v>
      </c>
      <c r="AA1214" t="s">
        <v>12078</v>
      </c>
      <c r="AB1214" t="s">
        <v>15639</v>
      </c>
    </row>
    <row r="1215" spans="1:28" x14ac:dyDescent="0.25">
      <c r="A1215" t="s">
        <v>1219</v>
      </c>
      <c r="B1215">
        <v>0.98018197421672304</v>
      </c>
      <c r="C1215">
        <v>0.92081275951861896</v>
      </c>
      <c r="D1215">
        <v>0.82754707295683605</v>
      </c>
      <c r="E1215">
        <v>0.70127116775795195</v>
      </c>
      <c r="F1215">
        <v>0.46094366308710399</v>
      </c>
      <c r="G1215">
        <v>0.28790058602901802</v>
      </c>
      <c r="H1215">
        <v>0.20933157708664299</v>
      </c>
      <c r="I1215">
        <v>0.17406570030096899</v>
      </c>
      <c r="J1215">
        <v>0.17091502239127601</v>
      </c>
      <c r="K1215">
        <v>8.1708161195179305E-2</v>
      </c>
      <c r="L1215">
        <v>648.77467461175104</v>
      </c>
      <c r="M1215">
        <v>12.4856890815652</v>
      </c>
      <c r="N1215">
        <v>52.711159754045603</v>
      </c>
      <c r="O1215">
        <v>50.682546501943698</v>
      </c>
      <c r="P1215">
        <v>-5.6589053146718103E-2</v>
      </c>
      <c r="Q1215">
        <v>8.1353175587964302E-2</v>
      </c>
      <c r="R1215">
        <v>0.99338134816208901</v>
      </c>
      <c r="S1215" t="s">
        <v>4844</v>
      </c>
      <c r="T1215" t="s">
        <v>7256</v>
      </c>
      <c r="U1215" t="s">
        <v>7256</v>
      </c>
      <c r="V1215" t="s">
        <v>7256</v>
      </c>
      <c r="W1215">
        <v>2</v>
      </c>
      <c r="X1215" t="s">
        <v>8471</v>
      </c>
      <c r="Y1215">
        <v>0.47438879661673711</v>
      </c>
      <c r="Z1215" t="str">
        <f>HYPERLINK("Melting_Curves/meltCurve_sp_P61962_DCAF7_HUMAN_.pdf", "Melting_Curves/meltCurve_sp_P61962_DCAF7_HUMAN_.pdf")</f>
        <v>Melting_Curves/meltCurve_sp_P61962_DCAF7_HUMAN_.pdf</v>
      </c>
      <c r="AA1215" t="s">
        <v>12079</v>
      </c>
      <c r="AB1215" t="s">
        <v>15640</v>
      </c>
    </row>
    <row r="1216" spans="1:28" x14ac:dyDescent="0.25">
      <c r="A1216" t="s">
        <v>1220</v>
      </c>
      <c r="B1216">
        <v>0.98018197421672304</v>
      </c>
      <c r="C1216">
        <v>1.07389433602969</v>
      </c>
      <c r="D1216">
        <v>0.90370294211371405</v>
      </c>
      <c r="E1216">
        <v>0.80571821771435204</v>
      </c>
      <c r="F1216">
        <v>0.48107629381505101</v>
      </c>
      <c r="G1216">
        <v>0.20873194483858701</v>
      </c>
      <c r="H1216">
        <v>0.14788492800339401</v>
      </c>
      <c r="I1216">
        <v>9.4908624136033806E-2</v>
      </c>
      <c r="J1216">
        <v>3.4170619105636901E-2</v>
      </c>
      <c r="K1216">
        <v>4.4593778618625297E-2</v>
      </c>
      <c r="L1216">
        <v>1099.88761096999</v>
      </c>
      <c r="M1216">
        <v>20.852669047184101</v>
      </c>
      <c r="N1216">
        <v>53.0321432491764</v>
      </c>
      <c r="O1216">
        <v>52.267755333816197</v>
      </c>
      <c r="P1216">
        <v>-9.4428831612643399E-2</v>
      </c>
      <c r="Q1216">
        <v>5.3272816778166698E-2</v>
      </c>
      <c r="R1216">
        <v>0.99079057388108704</v>
      </c>
      <c r="S1216" t="s">
        <v>4845</v>
      </c>
      <c r="T1216" t="s">
        <v>7256</v>
      </c>
      <c r="U1216" t="s">
        <v>7256</v>
      </c>
      <c r="V1216" t="s">
        <v>7256</v>
      </c>
      <c r="W1216">
        <v>2</v>
      </c>
      <c r="X1216" t="s">
        <v>8472</v>
      </c>
      <c r="Y1216">
        <v>0.46762394085103959</v>
      </c>
      <c r="Z1216" t="str">
        <f>HYPERLINK("Melting_Curves/meltCurve_sp_P61966_AP1S1_HUMAN_.pdf", "Melting_Curves/meltCurve_sp_P61966_AP1S1_HUMAN_.pdf")</f>
        <v>Melting_Curves/meltCurve_sp_P61966_AP1S1_HUMAN_.pdf</v>
      </c>
      <c r="AA1216" t="s">
        <v>12080</v>
      </c>
      <c r="AB1216" t="s">
        <v>15641</v>
      </c>
    </row>
    <row r="1217" spans="1:28" x14ac:dyDescent="0.25">
      <c r="A1217" t="s">
        <v>1221</v>
      </c>
      <c r="B1217">
        <v>0.98018197421672304</v>
      </c>
      <c r="C1217">
        <v>1.0274667711348</v>
      </c>
      <c r="D1217">
        <v>0.96300029862240799</v>
      </c>
      <c r="E1217">
        <v>0.87069305783369599</v>
      </c>
      <c r="F1217">
        <v>0.82513383018199404</v>
      </c>
      <c r="G1217">
        <v>0.70637521815829096</v>
      </c>
      <c r="H1217">
        <v>0.46638057631090701</v>
      </c>
      <c r="I1217">
        <v>0.37724856961454101</v>
      </c>
      <c r="J1217">
        <v>0.335125342323146</v>
      </c>
      <c r="K1217">
        <v>0.193213707830728</v>
      </c>
      <c r="L1217">
        <v>613.44408561093906</v>
      </c>
      <c r="M1217">
        <v>10.0478215803028</v>
      </c>
      <c r="N1217">
        <v>61.052464521242499</v>
      </c>
      <c r="O1217">
        <v>58.782028462613397</v>
      </c>
      <c r="P1217">
        <v>-4.2753799838156803E-2</v>
      </c>
      <c r="Q1217">
        <v>0</v>
      </c>
      <c r="R1217">
        <v>0.99042435577007704</v>
      </c>
      <c r="S1217" t="s">
        <v>4846</v>
      </c>
      <c r="T1217" t="s">
        <v>7256</v>
      </c>
      <c r="U1217" t="s">
        <v>7256</v>
      </c>
      <c r="V1217" t="s">
        <v>7256</v>
      </c>
      <c r="W1217">
        <v>4</v>
      </c>
      <c r="X1217" t="s">
        <v>8473</v>
      </c>
      <c r="Y1217">
        <v>0.68939300005505655</v>
      </c>
      <c r="Z1217" t="str">
        <f>HYPERLINK("Melting_Curves/meltCurve_sp_P61970_NTF2_HUMAN_.pdf", "Melting_Curves/meltCurve_sp_P61970_NTF2_HUMAN_.pdf")</f>
        <v>Melting_Curves/meltCurve_sp_P61970_NTF2_HUMAN_.pdf</v>
      </c>
      <c r="AA1217" t="s">
        <v>12081</v>
      </c>
      <c r="AB1217" t="s">
        <v>15642</v>
      </c>
    </row>
    <row r="1218" spans="1:28" x14ac:dyDescent="0.25">
      <c r="A1218" t="s">
        <v>1222</v>
      </c>
      <c r="B1218">
        <v>0.98018197421672304</v>
      </c>
      <c r="C1218">
        <v>0.94208472642047902</v>
      </c>
      <c r="D1218">
        <v>0.90724475479078603</v>
      </c>
      <c r="E1218">
        <v>0.75907895018184002</v>
      </c>
      <c r="F1218">
        <v>0.61876801472529597</v>
      </c>
      <c r="G1218">
        <v>0.39198734575141603</v>
      </c>
      <c r="H1218">
        <v>0.26920536365008302</v>
      </c>
      <c r="I1218">
        <v>0.23472430613384301</v>
      </c>
      <c r="J1218">
        <v>0.25941124858836301</v>
      </c>
      <c r="K1218">
        <v>0.26825107813475202</v>
      </c>
      <c r="L1218">
        <v>814.40015043924302</v>
      </c>
      <c r="M1218">
        <v>15.471215474588501</v>
      </c>
      <c r="N1218">
        <v>54.647515681784697</v>
      </c>
      <c r="O1218">
        <v>51.7837621585739</v>
      </c>
      <c r="P1218">
        <v>-5.8504075737038898E-2</v>
      </c>
      <c r="Q1218">
        <v>0.216793267087519</v>
      </c>
      <c r="R1218">
        <v>0.99312302887079595</v>
      </c>
      <c r="S1218" t="s">
        <v>4847</v>
      </c>
      <c r="T1218" t="s">
        <v>7256</v>
      </c>
      <c r="U1218" t="s">
        <v>7256</v>
      </c>
      <c r="V1218" t="s">
        <v>7256</v>
      </c>
      <c r="W1218">
        <v>15</v>
      </c>
      <c r="X1218" t="s">
        <v>8474</v>
      </c>
      <c r="Y1218">
        <v>0.56312322466136211</v>
      </c>
      <c r="Z1218" t="str">
        <f>HYPERLINK("Melting_Curves/meltCurve_sp_P61978_3_HNRPK_HUMAN_.pdf", "Melting_Curves/meltCurve_sp_P61978_3_HNRPK_HUMAN_.pdf")</f>
        <v>Melting_Curves/meltCurve_sp_P61978_3_HNRPK_HUMAN_.pdf</v>
      </c>
      <c r="AA1218" t="s">
        <v>12082</v>
      </c>
      <c r="AB1218" t="s">
        <v>15643</v>
      </c>
    </row>
    <row r="1219" spans="1:28" x14ac:dyDescent="0.25">
      <c r="A1219" t="s">
        <v>1223</v>
      </c>
      <c r="B1219">
        <v>0.98018197421672304</v>
      </c>
      <c r="C1219">
        <v>0.94467794432236296</v>
      </c>
      <c r="D1219">
        <v>0.93283011506587499</v>
      </c>
      <c r="E1219">
        <v>0.85156435052879598</v>
      </c>
      <c r="F1219">
        <v>0.81818568764939104</v>
      </c>
      <c r="G1219">
        <v>0.66565644911920396</v>
      </c>
      <c r="H1219">
        <v>0.30786830388551301</v>
      </c>
      <c r="I1219">
        <v>0.15557672386562499</v>
      </c>
      <c r="J1219">
        <v>8.2996134555217302E-2</v>
      </c>
      <c r="K1219">
        <v>5.8576201939171103E-2</v>
      </c>
      <c r="L1219">
        <v>951.74020787863901</v>
      </c>
      <c r="M1219">
        <v>16.33934664557</v>
      </c>
      <c r="N1219">
        <v>58.2483643842776</v>
      </c>
      <c r="O1219">
        <v>57.396838059204597</v>
      </c>
      <c r="P1219">
        <v>-7.1173472776388594E-2</v>
      </c>
      <c r="Q1219">
        <v>0</v>
      </c>
      <c r="R1219">
        <v>0.98394439712675696</v>
      </c>
      <c r="S1219" t="s">
        <v>4848</v>
      </c>
      <c r="T1219" t="s">
        <v>7256</v>
      </c>
      <c r="U1219" t="s">
        <v>7256</v>
      </c>
      <c r="V1219" t="s">
        <v>7256</v>
      </c>
      <c r="W1219">
        <v>14</v>
      </c>
      <c r="X1219" t="s">
        <v>8475</v>
      </c>
      <c r="Y1219">
        <v>0.62082158867879966</v>
      </c>
      <c r="Z1219" t="str">
        <f>HYPERLINK("Melting_Curves/meltCurve_sp_P61981_1433G_HUMAN_.pdf", "Melting_Curves/meltCurve_sp_P61981_1433G_HUMAN_.pdf")</f>
        <v>Melting_Curves/meltCurve_sp_P61981_1433G_HUMAN_.pdf</v>
      </c>
      <c r="AA1219" t="s">
        <v>12083</v>
      </c>
      <c r="AB1219" t="s">
        <v>15644</v>
      </c>
    </row>
    <row r="1220" spans="1:28" x14ac:dyDescent="0.25">
      <c r="A1220" t="s">
        <v>1224</v>
      </c>
      <c r="B1220">
        <v>0.98018197421672304</v>
      </c>
      <c r="C1220">
        <v>0.93412823201292405</v>
      </c>
      <c r="D1220">
        <v>0.75813510699316899</v>
      </c>
      <c r="E1220">
        <v>0.49505030051813897</v>
      </c>
      <c r="F1220">
        <v>0.31333063878397399</v>
      </c>
      <c r="G1220">
        <v>0.173443090519938</v>
      </c>
      <c r="H1220">
        <v>0.112107154411709</v>
      </c>
      <c r="I1220">
        <v>8.4510265156921505E-2</v>
      </c>
      <c r="J1220">
        <v>0.14816289448065101</v>
      </c>
      <c r="K1220">
        <v>8.9746503150684998E-2</v>
      </c>
      <c r="L1220">
        <v>792.10720285396701</v>
      </c>
      <c r="M1220">
        <v>16.1017031061957</v>
      </c>
      <c r="N1220">
        <v>49.801055996800699</v>
      </c>
      <c r="O1220">
        <v>48.453978838792104</v>
      </c>
      <c r="P1220">
        <v>-7.5680391730123794E-2</v>
      </c>
      <c r="Q1220">
        <v>8.9106126384151899E-2</v>
      </c>
      <c r="R1220">
        <v>0.99674688971711201</v>
      </c>
      <c r="S1220" t="s">
        <v>4849</v>
      </c>
      <c r="T1220" t="s">
        <v>7256</v>
      </c>
      <c r="U1220" t="s">
        <v>7256</v>
      </c>
      <c r="V1220" t="s">
        <v>7256</v>
      </c>
      <c r="W1220">
        <v>3</v>
      </c>
      <c r="X1220" t="s">
        <v>8476</v>
      </c>
      <c r="Y1220">
        <v>0.38779315701343497</v>
      </c>
      <c r="Z1220" t="str">
        <f>HYPERLINK("Melting_Curves/meltCurve_sp_P62070_RRAS2_HUMAN_.pdf", "Melting_Curves/meltCurve_sp_P62070_RRAS2_HUMAN_.pdf")</f>
        <v>Melting_Curves/meltCurve_sp_P62070_RRAS2_HUMAN_.pdf</v>
      </c>
      <c r="AA1220" t="s">
        <v>12084</v>
      </c>
      <c r="AB1220" t="s">
        <v>15645</v>
      </c>
    </row>
    <row r="1221" spans="1:28" x14ac:dyDescent="0.25">
      <c r="A1221" t="s">
        <v>1225</v>
      </c>
      <c r="B1221">
        <v>0.98018197421672304</v>
      </c>
      <c r="C1221">
        <v>0.91640493645368004</v>
      </c>
      <c r="D1221">
        <v>0.88746699379149696</v>
      </c>
      <c r="E1221">
        <v>0.74757166519016205</v>
      </c>
      <c r="F1221">
        <v>0.61524203080133699</v>
      </c>
      <c r="G1221">
        <v>0.50217809870402697</v>
      </c>
      <c r="H1221">
        <v>0.408089075341943</v>
      </c>
      <c r="I1221">
        <v>0.38724758855839803</v>
      </c>
      <c r="J1221">
        <v>0.52194456705940995</v>
      </c>
      <c r="K1221">
        <v>0.53071202681221796</v>
      </c>
      <c r="L1221">
        <v>825.92149209004504</v>
      </c>
      <c r="M1221">
        <v>16.541079852853201</v>
      </c>
      <c r="N1221">
        <v>58.118085600446797</v>
      </c>
      <c r="O1221">
        <v>49.218856226082103</v>
      </c>
      <c r="P1221">
        <v>-4.6099530326011801E-2</v>
      </c>
      <c r="Q1221">
        <v>0.45135135110517199</v>
      </c>
      <c r="R1221">
        <v>0.94408952395790902</v>
      </c>
      <c r="S1221" t="s">
        <v>4850</v>
      </c>
      <c r="T1221" t="s">
        <v>7256</v>
      </c>
      <c r="U1221" t="s">
        <v>7256</v>
      </c>
      <c r="V1221" t="s">
        <v>7256</v>
      </c>
      <c r="W1221">
        <v>2</v>
      </c>
      <c r="X1221" t="s">
        <v>8477</v>
      </c>
      <c r="Y1221">
        <v>0.64395973438320175</v>
      </c>
      <c r="Z1221" t="str">
        <f>HYPERLINK("Melting_Curves/meltCurve_sp_P62072_TIM10_HUMAN_.pdf", "Melting_Curves/meltCurve_sp_P62072_TIM10_HUMAN_.pdf")</f>
        <v>Melting_Curves/meltCurve_sp_P62072_TIM10_HUMAN_.pdf</v>
      </c>
      <c r="AA1221" t="s">
        <v>12085</v>
      </c>
      <c r="AB1221" t="s">
        <v>15646</v>
      </c>
    </row>
    <row r="1222" spans="1:28" x14ac:dyDescent="0.25">
      <c r="A1222" t="s">
        <v>1226</v>
      </c>
      <c r="B1222">
        <v>0.98018197421672304</v>
      </c>
      <c r="C1222">
        <v>0.93408541916888899</v>
      </c>
      <c r="D1222">
        <v>0.84384762096809596</v>
      </c>
      <c r="E1222">
        <v>0.59624768064032296</v>
      </c>
      <c r="F1222">
        <v>0.38202732749715601</v>
      </c>
      <c r="G1222">
        <v>0.209145463382262</v>
      </c>
      <c r="H1222">
        <v>9.9633699983117593E-2</v>
      </c>
      <c r="I1222">
        <v>6.4830226669637295E-2</v>
      </c>
      <c r="J1222">
        <v>5.1636906250074201E-2</v>
      </c>
      <c r="K1222">
        <v>4.3456064463505598E-2</v>
      </c>
      <c r="L1222">
        <v>742.14197766121595</v>
      </c>
      <c r="M1222">
        <v>14.5030705204834</v>
      </c>
      <c r="N1222">
        <v>51.309998262864802</v>
      </c>
      <c r="O1222">
        <v>50.228001892807697</v>
      </c>
      <c r="P1222">
        <v>-7.08074053812493E-2</v>
      </c>
      <c r="Q1222">
        <v>1.9213232540386802E-2</v>
      </c>
      <c r="R1222">
        <v>0.99973762599930405</v>
      </c>
      <c r="S1222" t="s">
        <v>4851</v>
      </c>
      <c r="T1222" t="s">
        <v>7256</v>
      </c>
      <c r="U1222" t="s">
        <v>7256</v>
      </c>
      <c r="V1222" t="s">
        <v>7256</v>
      </c>
      <c r="W1222">
        <v>14</v>
      </c>
      <c r="X1222" t="s">
        <v>8478</v>
      </c>
      <c r="Y1222">
        <v>0.40823730872395159</v>
      </c>
      <c r="Z1222" t="str">
        <f>HYPERLINK("Melting_Curves/meltCurve_sp_P62136_PP1A_HUMAN_.pdf", "Melting_Curves/meltCurve_sp_P62136_PP1A_HUMAN_.pdf")</f>
        <v>Melting_Curves/meltCurve_sp_P62136_PP1A_HUMAN_.pdf</v>
      </c>
      <c r="AA1222" t="s">
        <v>12086</v>
      </c>
      <c r="AB1222" t="s">
        <v>15647</v>
      </c>
    </row>
    <row r="1223" spans="1:28" x14ac:dyDescent="0.25">
      <c r="A1223" t="s">
        <v>1227</v>
      </c>
      <c r="B1223">
        <v>0.98018197421672304</v>
      </c>
      <c r="C1223">
        <v>0.99822229846620103</v>
      </c>
      <c r="D1223">
        <v>0.90211467748570495</v>
      </c>
      <c r="E1223">
        <v>0.67591530564401803</v>
      </c>
      <c r="F1223">
        <v>0.40562964169126797</v>
      </c>
      <c r="G1223">
        <v>0.19647509998288201</v>
      </c>
      <c r="H1223">
        <v>9.4688479747858406E-2</v>
      </c>
      <c r="I1223">
        <v>6.4976043571748895E-2</v>
      </c>
      <c r="J1223">
        <v>3.1525833232914899E-2</v>
      </c>
      <c r="K1223">
        <v>6.5907741007725203E-3</v>
      </c>
      <c r="L1223">
        <v>900.90492526417995</v>
      </c>
      <c r="M1223">
        <v>17.345436610379799</v>
      </c>
      <c r="N1223">
        <v>52.030140626623599</v>
      </c>
      <c r="O1223">
        <v>51.2634066816968</v>
      </c>
      <c r="P1223">
        <v>-8.3328930603440904E-2</v>
      </c>
      <c r="Q1223">
        <v>1.4961439443383399E-2</v>
      </c>
      <c r="R1223">
        <v>0.99879842962981902</v>
      </c>
      <c r="S1223" t="s">
        <v>4852</v>
      </c>
      <c r="T1223" t="s">
        <v>7256</v>
      </c>
      <c r="U1223" t="s">
        <v>7256</v>
      </c>
      <c r="V1223" t="s">
        <v>7256</v>
      </c>
      <c r="W1223">
        <v>11</v>
      </c>
      <c r="X1223" t="s">
        <v>8479</v>
      </c>
      <c r="Y1223">
        <v>0.42444343418487129</v>
      </c>
      <c r="Z1223" t="str">
        <f>HYPERLINK("Melting_Curves/meltCurve_sp_P62140_PP1B_HUMAN_.pdf", "Melting_Curves/meltCurve_sp_P62140_PP1B_HUMAN_.pdf")</f>
        <v>Melting_Curves/meltCurve_sp_P62140_PP1B_HUMAN_.pdf</v>
      </c>
      <c r="AA1223" t="s">
        <v>12087</v>
      </c>
      <c r="AB1223" t="s">
        <v>15648</v>
      </c>
    </row>
    <row r="1224" spans="1:28" x14ac:dyDescent="0.25">
      <c r="A1224" t="s">
        <v>1228</v>
      </c>
      <c r="B1224">
        <v>0.98018197421672304</v>
      </c>
      <c r="C1224">
        <v>0.91938716251743002</v>
      </c>
      <c r="D1224">
        <v>0.88342272945983902</v>
      </c>
      <c r="E1224">
        <v>0.77695614730613505</v>
      </c>
      <c r="F1224">
        <v>0.77426358013753604</v>
      </c>
      <c r="G1224">
        <v>0.63051528798593304</v>
      </c>
      <c r="H1224">
        <v>0.44639583389252502</v>
      </c>
      <c r="I1224">
        <v>0.47532602453938799</v>
      </c>
      <c r="J1224">
        <v>0.436737989499004</v>
      </c>
      <c r="K1224">
        <v>0.72751610653621201</v>
      </c>
      <c r="L1224">
        <v>652.11265911963005</v>
      </c>
      <c r="M1224">
        <v>12.7797676771449</v>
      </c>
      <c r="O1224">
        <v>49.825954910005201</v>
      </c>
      <c r="P1224">
        <v>-3.1600915494550401E-2</v>
      </c>
      <c r="Q1224">
        <v>0.50726841240684295</v>
      </c>
      <c r="R1224">
        <v>0.78659638039095203</v>
      </c>
      <c r="S1224" t="s">
        <v>4853</v>
      </c>
      <c r="T1224" t="s">
        <v>7256</v>
      </c>
      <c r="U1224" t="s">
        <v>7256</v>
      </c>
      <c r="V1224" t="s">
        <v>7256</v>
      </c>
      <c r="W1224">
        <v>11</v>
      </c>
      <c r="X1224" t="s">
        <v>8480</v>
      </c>
      <c r="Y1224">
        <v>0.70301414598265288</v>
      </c>
      <c r="Z1224" t="str">
        <f>HYPERLINK("Melting_Curves/meltCurve_sp_P62158_CALM_HUMAN_.pdf", "Melting_Curves/meltCurve_sp_P62158_CALM_HUMAN_.pdf")</f>
        <v>Melting_Curves/meltCurve_sp_P62158_CALM_HUMAN_.pdf</v>
      </c>
      <c r="AA1224" t="s">
        <v>12088</v>
      </c>
      <c r="AB1224" t="s">
        <v>15649</v>
      </c>
    </row>
    <row r="1225" spans="1:28" x14ac:dyDescent="0.25">
      <c r="A1225" t="s">
        <v>1229</v>
      </c>
      <c r="B1225">
        <v>0.98018197421672304</v>
      </c>
      <c r="C1225">
        <v>0.860229289595839</v>
      </c>
      <c r="D1225">
        <v>0.65028519813503705</v>
      </c>
      <c r="E1225">
        <v>0.31826297716673602</v>
      </c>
      <c r="F1225">
        <v>0.13431415065153399</v>
      </c>
      <c r="G1225">
        <v>6.4001651194404194E-2</v>
      </c>
      <c r="H1225">
        <v>4.1879016596819703E-2</v>
      </c>
      <c r="I1225">
        <v>3.3851805966570003E-2</v>
      </c>
      <c r="J1225">
        <v>4.2455975433862099E-2</v>
      </c>
      <c r="K1225">
        <v>2.83386046324876E-2</v>
      </c>
      <c r="L1225">
        <v>858.360314852138</v>
      </c>
      <c r="M1225">
        <v>18.0881083976948</v>
      </c>
      <c r="N1225">
        <v>47.5903844343758</v>
      </c>
      <c r="O1225">
        <v>46.885768582955002</v>
      </c>
      <c r="P1225">
        <v>-9.4023556869628294E-2</v>
      </c>
      <c r="Q1225">
        <v>2.5181631692033898E-2</v>
      </c>
      <c r="R1225">
        <v>0.99907461142196896</v>
      </c>
      <c r="S1225" t="s">
        <v>4854</v>
      </c>
      <c r="T1225" t="s">
        <v>7256</v>
      </c>
      <c r="U1225" t="s">
        <v>7256</v>
      </c>
      <c r="V1225" t="s">
        <v>7256</v>
      </c>
      <c r="W1225">
        <v>10</v>
      </c>
      <c r="X1225" t="s">
        <v>8481</v>
      </c>
      <c r="Y1225">
        <v>0.28484839067609841</v>
      </c>
      <c r="Z1225" t="str">
        <f>HYPERLINK("Melting_Curves/meltCurve_sp_P62191_PRS4_HUMAN_.pdf", "Melting_Curves/meltCurve_sp_P62191_PRS4_HUMAN_.pdf")</f>
        <v>Melting_Curves/meltCurve_sp_P62191_PRS4_HUMAN_.pdf</v>
      </c>
      <c r="AA1225" t="s">
        <v>12089</v>
      </c>
      <c r="AB1225" t="s">
        <v>15650</v>
      </c>
    </row>
    <row r="1226" spans="1:28" x14ac:dyDescent="0.25">
      <c r="A1226" t="s">
        <v>1230</v>
      </c>
      <c r="B1226">
        <v>0.98018197421672304</v>
      </c>
      <c r="C1226">
        <v>0.86688617582143501</v>
      </c>
      <c r="D1226">
        <v>0.63238735440406801</v>
      </c>
      <c r="E1226">
        <v>0.29134246552735799</v>
      </c>
      <c r="F1226">
        <v>0.12826874297202401</v>
      </c>
      <c r="G1226">
        <v>7.5565366859637398E-2</v>
      </c>
      <c r="H1226">
        <v>5.8988569898700001E-2</v>
      </c>
      <c r="I1226">
        <v>5.1255853653148102E-2</v>
      </c>
      <c r="J1226">
        <v>4.9258400583986901E-2</v>
      </c>
      <c r="K1226">
        <v>3.9578294349612998E-2</v>
      </c>
      <c r="L1226">
        <v>906.31722338750797</v>
      </c>
      <c r="M1226">
        <v>19.230284844031999</v>
      </c>
      <c r="N1226">
        <v>47.347570462207599</v>
      </c>
      <c r="O1226">
        <v>46.6289057693361</v>
      </c>
      <c r="P1226">
        <v>-9.8740692619272194E-2</v>
      </c>
      <c r="Q1226">
        <v>4.2344824754110701E-2</v>
      </c>
      <c r="R1226">
        <v>0.99951123615906701</v>
      </c>
      <c r="S1226" t="s">
        <v>4855</v>
      </c>
      <c r="T1226" t="s">
        <v>7256</v>
      </c>
      <c r="U1226" t="s">
        <v>7256</v>
      </c>
      <c r="V1226" t="s">
        <v>7256</v>
      </c>
      <c r="W1226">
        <v>11</v>
      </c>
      <c r="X1226" t="s">
        <v>8482</v>
      </c>
      <c r="Y1226">
        <v>0.28514141969235379</v>
      </c>
      <c r="Z1226" t="str">
        <f>HYPERLINK("Melting_Curves/meltCurve_sp_P62195_2_PRS8_HUMAN_.pdf", "Melting_Curves/meltCurve_sp_P62195_2_PRS8_HUMAN_.pdf")</f>
        <v>Melting_Curves/meltCurve_sp_P62195_2_PRS8_HUMAN_.pdf</v>
      </c>
      <c r="AA1226" t="s">
        <v>12090</v>
      </c>
      <c r="AB1226" t="s">
        <v>15651</v>
      </c>
    </row>
    <row r="1227" spans="1:28" x14ac:dyDescent="0.25">
      <c r="A1227" t="s">
        <v>1231</v>
      </c>
      <c r="B1227">
        <v>0.98018197421672304</v>
      </c>
      <c r="C1227">
        <v>0.95229121217303403</v>
      </c>
      <c r="D1227">
        <v>0.731551716709264</v>
      </c>
      <c r="E1227">
        <v>0.37568995732750299</v>
      </c>
      <c r="F1227">
        <v>0.223705343299892</v>
      </c>
      <c r="G1227">
        <v>0.12926504509744599</v>
      </c>
      <c r="H1227">
        <v>8.6274631539773203E-2</v>
      </c>
      <c r="I1227">
        <v>6.1186478785005299E-2</v>
      </c>
      <c r="J1227">
        <v>7.9040117858941494E-2</v>
      </c>
      <c r="K1227">
        <v>5.6873146777647002E-2</v>
      </c>
      <c r="L1227">
        <v>928.89575102137405</v>
      </c>
      <c r="M1227">
        <v>19.233168484542499</v>
      </c>
      <c r="N1227">
        <v>48.662870213978898</v>
      </c>
      <c r="O1227">
        <v>47.783529673117599</v>
      </c>
      <c r="P1227">
        <v>-9.3848511143354393E-2</v>
      </c>
      <c r="Q1227">
        <v>6.73938678809477E-2</v>
      </c>
      <c r="R1227">
        <v>0.99854500005170099</v>
      </c>
      <c r="S1227" t="s">
        <v>4856</v>
      </c>
      <c r="T1227" t="s">
        <v>7256</v>
      </c>
      <c r="U1227" t="s">
        <v>7256</v>
      </c>
      <c r="V1227" t="s">
        <v>7256</v>
      </c>
      <c r="W1227">
        <v>9</v>
      </c>
      <c r="X1227" t="s">
        <v>8483</v>
      </c>
      <c r="Y1227">
        <v>0.33961038814522471</v>
      </c>
      <c r="Z1227" t="str">
        <f>HYPERLINK("Melting_Curves/meltCurve_sp_P62241_RS8_HUMAN_.pdf", "Melting_Curves/meltCurve_sp_P62241_RS8_HUMAN_.pdf")</f>
        <v>Melting_Curves/meltCurve_sp_P62241_RS8_HUMAN_.pdf</v>
      </c>
      <c r="AA1227" t="s">
        <v>12091</v>
      </c>
      <c r="AB1227" t="s">
        <v>15652</v>
      </c>
    </row>
    <row r="1228" spans="1:28" x14ac:dyDescent="0.25">
      <c r="A1228" t="s">
        <v>1232</v>
      </c>
      <c r="B1228">
        <v>0.98018197421672304</v>
      </c>
      <c r="C1228">
        <v>0.92947378468368502</v>
      </c>
      <c r="D1228">
        <v>0.91383543357036301</v>
      </c>
      <c r="E1228">
        <v>0.79499879878983704</v>
      </c>
      <c r="F1228">
        <v>0.75375113437553798</v>
      </c>
      <c r="G1228">
        <v>0.683574200083648</v>
      </c>
      <c r="H1228">
        <v>0.30057679286646499</v>
      </c>
      <c r="I1228">
        <v>0.10214140212739101</v>
      </c>
      <c r="J1228">
        <v>5.7720285592033002E-2</v>
      </c>
      <c r="K1228">
        <v>4.5213695223941197E-2</v>
      </c>
      <c r="L1228">
        <v>874.20546779818699</v>
      </c>
      <c r="M1228">
        <v>15.168076390378699</v>
      </c>
      <c r="N1228">
        <v>57.6345640329491</v>
      </c>
      <c r="O1228">
        <v>56.660609205698997</v>
      </c>
      <c r="P1228">
        <v>-6.6931585315336398E-2</v>
      </c>
      <c r="Q1228">
        <v>0</v>
      </c>
      <c r="R1228">
        <v>0.96085193975664096</v>
      </c>
      <c r="S1228" t="s">
        <v>4857</v>
      </c>
      <c r="T1228" t="s">
        <v>7256</v>
      </c>
      <c r="U1228" t="s">
        <v>7256</v>
      </c>
      <c r="V1228" t="s">
        <v>7256</v>
      </c>
      <c r="W1228">
        <v>22</v>
      </c>
      <c r="X1228" t="s">
        <v>8484</v>
      </c>
      <c r="Y1228">
        <v>0.60212595558320092</v>
      </c>
      <c r="Z1228" t="str">
        <f>HYPERLINK("Melting_Curves/meltCurve_sp_P62258_1433E_HUMAN_.pdf", "Melting_Curves/meltCurve_sp_P62258_1433E_HUMAN_.pdf")</f>
        <v>Melting_Curves/meltCurve_sp_P62258_1433E_HUMAN_.pdf</v>
      </c>
      <c r="AA1228" t="s">
        <v>12092</v>
      </c>
      <c r="AB1228" t="s">
        <v>15653</v>
      </c>
    </row>
    <row r="1229" spans="1:28" x14ac:dyDescent="0.25">
      <c r="A1229" t="s">
        <v>1233</v>
      </c>
      <c r="B1229">
        <v>0.98018197421672304</v>
      </c>
      <c r="C1229">
        <v>1.03740427168837</v>
      </c>
      <c r="D1229">
        <v>0.675159423448495</v>
      </c>
      <c r="E1229">
        <v>0.44017305011229901</v>
      </c>
      <c r="F1229">
        <v>0.31759547052842402</v>
      </c>
      <c r="G1229">
        <v>0.22138598303644499</v>
      </c>
      <c r="H1229">
        <v>0.19132513947645599</v>
      </c>
      <c r="I1229">
        <v>0.14545327811587799</v>
      </c>
      <c r="J1229">
        <v>0.22619105291778999</v>
      </c>
      <c r="K1229">
        <v>0.119013853981666</v>
      </c>
      <c r="L1229">
        <v>923.61477281006</v>
      </c>
      <c r="M1229">
        <v>19.2525657735574</v>
      </c>
      <c r="N1229">
        <v>49.048203899821303</v>
      </c>
      <c r="O1229">
        <v>47.465008508107303</v>
      </c>
      <c r="P1229">
        <v>-8.3958583190568106E-2</v>
      </c>
      <c r="Q1229">
        <v>0.17207002376410799</v>
      </c>
      <c r="R1229">
        <v>0.97531146180022199</v>
      </c>
      <c r="S1229" t="s">
        <v>4858</v>
      </c>
      <c r="T1229" t="s">
        <v>7256</v>
      </c>
      <c r="U1229" t="s">
        <v>7256</v>
      </c>
      <c r="V1229" t="s">
        <v>7256</v>
      </c>
      <c r="W1229">
        <v>3</v>
      </c>
      <c r="X1229" t="s">
        <v>8485</v>
      </c>
      <c r="Y1229">
        <v>0.4048844482885921</v>
      </c>
      <c r="Z1229" t="str">
        <f>HYPERLINK("Melting_Curves/meltCurve_sp_P62263_RS14_HUMAN_.pdf", "Melting_Curves/meltCurve_sp_P62263_RS14_HUMAN_.pdf")</f>
        <v>Melting_Curves/meltCurve_sp_P62263_RS14_HUMAN_.pdf</v>
      </c>
      <c r="AA1229" t="s">
        <v>12093</v>
      </c>
      <c r="AB1229" t="s">
        <v>15654</v>
      </c>
    </row>
    <row r="1230" spans="1:28" x14ac:dyDescent="0.25">
      <c r="A1230" t="s">
        <v>1234</v>
      </c>
      <c r="B1230">
        <v>0.98018197421672304</v>
      </c>
      <c r="C1230">
        <v>0.97771396844929404</v>
      </c>
      <c r="D1230">
        <v>0.67196343065186104</v>
      </c>
      <c r="E1230">
        <v>0.264517536835774</v>
      </c>
      <c r="F1230">
        <v>0.19007179809265801</v>
      </c>
      <c r="G1230">
        <v>0.16468375352723399</v>
      </c>
      <c r="H1230">
        <v>5.9568699500909102E-2</v>
      </c>
      <c r="I1230">
        <v>5.9513680404666702E-2</v>
      </c>
      <c r="J1230">
        <v>0.20496317433413999</v>
      </c>
      <c r="K1230">
        <v>0.21647876650301201</v>
      </c>
      <c r="L1230">
        <v>1381.4383333954199</v>
      </c>
      <c r="M1230">
        <v>29.4924245419515</v>
      </c>
      <c r="N1230">
        <v>47.386193394352098</v>
      </c>
      <c r="O1230">
        <v>46.626674419638697</v>
      </c>
      <c r="P1230">
        <v>-0.13536128214308801</v>
      </c>
      <c r="Q1230">
        <v>0.143996775244599</v>
      </c>
      <c r="R1230">
        <v>0.97810908500694405</v>
      </c>
      <c r="S1230" t="s">
        <v>4859</v>
      </c>
      <c r="T1230" t="s">
        <v>7256</v>
      </c>
      <c r="U1230" t="s">
        <v>7256</v>
      </c>
      <c r="V1230" t="s">
        <v>7256</v>
      </c>
      <c r="W1230">
        <v>2</v>
      </c>
      <c r="X1230" t="s">
        <v>8486</v>
      </c>
      <c r="Y1230">
        <v>0.34451135890225459</v>
      </c>
      <c r="Z1230" t="str">
        <f>HYPERLINK("Melting_Curves/meltCurve_sp_P62269_RS18_HUMAN_.pdf", "Melting_Curves/meltCurve_sp_P62269_RS18_HUMAN_.pdf")</f>
        <v>Melting_Curves/meltCurve_sp_P62269_RS18_HUMAN_.pdf</v>
      </c>
      <c r="AA1230" t="s">
        <v>12094</v>
      </c>
      <c r="AB1230" t="s">
        <v>15655</v>
      </c>
    </row>
    <row r="1231" spans="1:28" x14ac:dyDescent="0.25">
      <c r="A1231" t="s">
        <v>1235</v>
      </c>
      <c r="B1231">
        <v>0.98018197421672304</v>
      </c>
      <c r="C1231">
        <v>0.94537794524438001</v>
      </c>
      <c r="D1231">
        <v>0.65757601855350301</v>
      </c>
      <c r="E1231">
        <v>0.32307570528452401</v>
      </c>
      <c r="F1231">
        <v>0.18627346362455599</v>
      </c>
      <c r="G1231">
        <v>0.11512442596736</v>
      </c>
      <c r="H1231">
        <v>7.8059942603351903E-2</v>
      </c>
      <c r="I1231">
        <v>6.4845666916515901E-2</v>
      </c>
      <c r="J1231">
        <v>0.105817964156247</v>
      </c>
      <c r="K1231">
        <v>6.5787596630117698E-2</v>
      </c>
      <c r="L1231">
        <v>978.57241702075805</v>
      </c>
      <c r="M1231">
        <v>20.6254246133152</v>
      </c>
      <c r="N1231">
        <v>47.843517516047797</v>
      </c>
      <c r="O1231">
        <v>47.0057010924181</v>
      </c>
      <c r="P1231">
        <v>-0.101040559011761</v>
      </c>
      <c r="Q1231">
        <v>7.8933541697477502E-2</v>
      </c>
      <c r="R1231">
        <v>0.99700026642375394</v>
      </c>
      <c r="S1231" t="s">
        <v>4860</v>
      </c>
      <c r="T1231" t="s">
        <v>7256</v>
      </c>
      <c r="U1231" t="s">
        <v>7256</v>
      </c>
      <c r="V1231" t="s">
        <v>7256</v>
      </c>
      <c r="W1231">
        <v>5</v>
      </c>
      <c r="X1231" t="s">
        <v>8487</v>
      </c>
      <c r="Y1231">
        <v>0.31992565891981561</v>
      </c>
      <c r="Z1231" t="str">
        <f>HYPERLINK("Melting_Curves/meltCurve_sp_P62277_RS13_HUMAN_.pdf", "Melting_Curves/meltCurve_sp_P62277_RS13_HUMAN_.pdf")</f>
        <v>Melting_Curves/meltCurve_sp_P62277_RS13_HUMAN_.pdf</v>
      </c>
      <c r="AA1231" t="s">
        <v>12095</v>
      </c>
      <c r="AB1231" t="s">
        <v>15656</v>
      </c>
    </row>
    <row r="1232" spans="1:28" x14ac:dyDescent="0.25">
      <c r="A1232" t="s">
        <v>1236</v>
      </c>
      <c r="B1232">
        <v>0.98018197421672304</v>
      </c>
      <c r="C1232">
        <v>0.90773748685198896</v>
      </c>
      <c r="D1232">
        <v>0.70996672774789404</v>
      </c>
      <c r="E1232">
        <v>0.37422978671083601</v>
      </c>
      <c r="F1232">
        <v>0.20180967802688901</v>
      </c>
      <c r="G1232">
        <v>0.12325103311714899</v>
      </c>
      <c r="H1232">
        <v>8.9029254211929004E-2</v>
      </c>
      <c r="I1232">
        <v>7.6321119940183299E-2</v>
      </c>
      <c r="J1232">
        <v>9.1268457692850399E-2</v>
      </c>
      <c r="K1232">
        <v>0.103833445042116</v>
      </c>
      <c r="L1232">
        <v>913.92992672825096</v>
      </c>
      <c r="M1232">
        <v>19.083303189505301</v>
      </c>
      <c r="N1232">
        <v>48.348820229589897</v>
      </c>
      <c r="O1232">
        <v>47.374996098514799</v>
      </c>
      <c r="P1232">
        <v>-9.2393029469892696E-2</v>
      </c>
      <c r="Q1232">
        <v>8.2559624874909601E-2</v>
      </c>
      <c r="R1232">
        <v>0.999347734719366</v>
      </c>
      <c r="S1232" t="s">
        <v>4861</v>
      </c>
      <c r="T1232" t="s">
        <v>7256</v>
      </c>
      <c r="U1232" t="s">
        <v>7256</v>
      </c>
      <c r="V1232" t="s">
        <v>7256</v>
      </c>
      <c r="W1232">
        <v>6</v>
      </c>
      <c r="X1232" t="s">
        <v>8488</v>
      </c>
      <c r="Y1232">
        <v>0.33833397973275242</v>
      </c>
      <c r="Z1232" t="str">
        <f>HYPERLINK("Melting_Curves/meltCurve_sp_P62280_RS11_HUMAN_.pdf", "Melting_Curves/meltCurve_sp_P62280_RS11_HUMAN_.pdf")</f>
        <v>Melting_Curves/meltCurve_sp_P62280_RS11_HUMAN_.pdf</v>
      </c>
      <c r="AA1232" t="s">
        <v>12096</v>
      </c>
      <c r="AB1232" t="s">
        <v>15657</v>
      </c>
    </row>
    <row r="1233" spans="1:28" x14ac:dyDescent="0.25">
      <c r="A1233" t="s">
        <v>1237</v>
      </c>
      <c r="B1233">
        <v>0.98018197421672304</v>
      </c>
      <c r="C1233">
        <v>0.83527945569374396</v>
      </c>
      <c r="D1233">
        <v>0.81449821606475703</v>
      </c>
      <c r="E1233">
        <v>0.64882809240873496</v>
      </c>
      <c r="F1233">
        <v>0.52789414708884896</v>
      </c>
      <c r="G1233">
        <v>0.33102588124939702</v>
      </c>
      <c r="H1233">
        <v>0.25206384800868498</v>
      </c>
      <c r="I1233">
        <v>0.188631600496278</v>
      </c>
      <c r="J1233">
        <v>0.19123074190217601</v>
      </c>
      <c r="K1233">
        <v>0.14331107466696999</v>
      </c>
      <c r="L1233">
        <v>493.00773816086098</v>
      </c>
      <c r="M1233">
        <v>9.4084381836932494</v>
      </c>
      <c r="N1233">
        <v>53.129337666797802</v>
      </c>
      <c r="O1233">
        <v>50.196882143523801</v>
      </c>
      <c r="P1233">
        <v>-4.4048114089165903E-2</v>
      </c>
      <c r="Q1233">
        <v>6.0536254784757902E-2</v>
      </c>
      <c r="R1233">
        <v>0.991859321754608</v>
      </c>
      <c r="S1233" t="s">
        <v>4862</v>
      </c>
      <c r="T1233" t="s">
        <v>7256</v>
      </c>
      <c r="U1233" t="s">
        <v>7256</v>
      </c>
      <c r="V1233" t="s">
        <v>7256</v>
      </c>
      <c r="W1233">
        <v>2</v>
      </c>
      <c r="X1233" t="s">
        <v>8489</v>
      </c>
      <c r="Y1233">
        <v>0.48525410071557201</v>
      </c>
      <c r="Z1233" t="str">
        <f>HYPERLINK("Melting_Curves/meltCurve_sp_P62304_RUXE_HUMAN_.pdf", "Melting_Curves/meltCurve_sp_P62304_RUXE_HUMAN_.pdf")</f>
        <v>Melting_Curves/meltCurve_sp_P62304_RUXE_HUMAN_.pdf</v>
      </c>
      <c r="AA1233" t="s">
        <v>12097</v>
      </c>
      <c r="AB1233" t="s">
        <v>15658</v>
      </c>
    </row>
    <row r="1234" spans="1:28" x14ac:dyDescent="0.25">
      <c r="A1234" t="s">
        <v>1238</v>
      </c>
      <c r="B1234">
        <v>0.98018197421672304</v>
      </c>
      <c r="C1234">
        <v>1.19559642728572</v>
      </c>
      <c r="D1234">
        <v>0.96945404550346004</v>
      </c>
      <c r="E1234">
        <v>0.83903759131406597</v>
      </c>
      <c r="F1234">
        <v>0.80571951395138897</v>
      </c>
      <c r="G1234">
        <v>0.38669284594390102</v>
      </c>
      <c r="H1234">
        <v>0.50341429038043095</v>
      </c>
      <c r="I1234">
        <v>0.56852149597842905</v>
      </c>
      <c r="J1234">
        <v>0.73629302311782596</v>
      </c>
      <c r="K1234">
        <v>0.78807921306153805</v>
      </c>
      <c r="L1234">
        <v>1730.7296854415699</v>
      </c>
      <c r="M1234">
        <v>33.684848230687003</v>
      </c>
      <c r="O1234">
        <v>51.199993812354101</v>
      </c>
      <c r="P1234">
        <v>-6.4750694518819596E-2</v>
      </c>
      <c r="Q1234">
        <v>0.60632489413469104</v>
      </c>
      <c r="R1234">
        <v>0.68379861061418901</v>
      </c>
      <c r="S1234" t="s">
        <v>4863</v>
      </c>
      <c r="T1234" t="s">
        <v>7256</v>
      </c>
      <c r="U1234" t="s">
        <v>7256</v>
      </c>
      <c r="V1234" t="s">
        <v>7256</v>
      </c>
      <c r="W1234">
        <v>3</v>
      </c>
      <c r="X1234" t="s">
        <v>8490</v>
      </c>
      <c r="Y1234">
        <v>0.75763479925782251</v>
      </c>
      <c r="Z1234" t="str">
        <f>HYPERLINK("Melting_Curves/meltCurve_sp_P62310_LSM3_HUMAN_.pdf", "Melting_Curves/meltCurve_sp_P62310_LSM3_HUMAN_.pdf")</f>
        <v>Melting_Curves/meltCurve_sp_P62310_LSM3_HUMAN_.pdf</v>
      </c>
      <c r="AA1234" t="s">
        <v>12098</v>
      </c>
      <c r="AB1234" t="s">
        <v>15659</v>
      </c>
    </row>
    <row r="1235" spans="1:28" x14ac:dyDescent="0.25">
      <c r="A1235" t="s">
        <v>1239</v>
      </c>
      <c r="B1235">
        <v>0.98018197421672304</v>
      </c>
      <c r="C1235">
        <v>0.93134040961506503</v>
      </c>
      <c r="D1235">
        <v>0.82332589472559403</v>
      </c>
      <c r="E1235">
        <v>0.76778565878017901</v>
      </c>
      <c r="F1235">
        <v>0.57475799565300101</v>
      </c>
      <c r="G1235">
        <v>0.45239444838448001</v>
      </c>
      <c r="H1235">
        <v>0.33463875984529201</v>
      </c>
      <c r="I1235">
        <v>0.292552146974008</v>
      </c>
      <c r="J1235">
        <v>0.19225381970217301</v>
      </c>
      <c r="K1235">
        <v>0.15372013630792</v>
      </c>
      <c r="L1235">
        <v>461.97295935250798</v>
      </c>
      <c r="M1235">
        <v>8.2881117134705207</v>
      </c>
      <c r="N1235">
        <v>55.837908292153898</v>
      </c>
      <c r="O1235">
        <v>52.777060654539802</v>
      </c>
      <c r="P1235">
        <v>-3.90132066490924E-2</v>
      </c>
      <c r="Q1235">
        <v>7.2701680417301398E-3</v>
      </c>
      <c r="R1235">
        <v>0.99345610777072102</v>
      </c>
      <c r="S1235" t="s">
        <v>4864</v>
      </c>
      <c r="T1235" t="s">
        <v>7256</v>
      </c>
      <c r="U1235" t="s">
        <v>7256</v>
      </c>
      <c r="V1235" t="s">
        <v>7256</v>
      </c>
      <c r="W1235">
        <v>4</v>
      </c>
      <c r="X1235" t="s">
        <v>8491</v>
      </c>
      <c r="Y1235">
        <v>0.54996054960410956</v>
      </c>
      <c r="Z1235" t="str">
        <f>HYPERLINK("Melting_Curves/meltCurve_sp_P62312_LSM6_HUMAN_.pdf", "Melting_Curves/meltCurve_sp_P62312_LSM6_HUMAN_.pdf")</f>
        <v>Melting_Curves/meltCurve_sp_P62312_LSM6_HUMAN_.pdf</v>
      </c>
      <c r="AA1235" t="s">
        <v>12099</v>
      </c>
      <c r="AB1235" t="s">
        <v>15660</v>
      </c>
    </row>
    <row r="1236" spans="1:28" x14ac:dyDescent="0.25">
      <c r="A1236" t="s">
        <v>1240</v>
      </c>
      <c r="B1236">
        <v>0.98018197421672304</v>
      </c>
      <c r="C1236">
        <v>0.91623702734746204</v>
      </c>
      <c r="D1236">
        <v>0.84066516655245704</v>
      </c>
      <c r="E1236">
        <v>0.71820450336674702</v>
      </c>
      <c r="F1236">
        <v>0.56732085198413196</v>
      </c>
      <c r="G1236">
        <v>0.40827702322192799</v>
      </c>
      <c r="H1236">
        <v>0.34974114236085502</v>
      </c>
      <c r="I1236">
        <v>0.31670443269207699</v>
      </c>
      <c r="J1236">
        <v>0.27111016452673198</v>
      </c>
      <c r="K1236">
        <v>0.197408320049859</v>
      </c>
      <c r="L1236">
        <v>526.42549725069603</v>
      </c>
      <c r="M1236">
        <v>9.9586369333222802</v>
      </c>
      <c r="N1236">
        <v>55.044890210374099</v>
      </c>
      <c r="O1236">
        <v>50.862218232103899</v>
      </c>
      <c r="P1236">
        <v>-4.0981650425408002E-2</v>
      </c>
      <c r="Q1236">
        <v>0.163183415364026</v>
      </c>
      <c r="R1236">
        <v>0.99488073438229896</v>
      </c>
      <c r="S1236" t="s">
        <v>4865</v>
      </c>
      <c r="T1236" t="s">
        <v>7256</v>
      </c>
      <c r="U1236" t="s">
        <v>7256</v>
      </c>
      <c r="V1236" t="s">
        <v>7256</v>
      </c>
      <c r="W1236">
        <v>8</v>
      </c>
      <c r="X1236" t="s">
        <v>8492</v>
      </c>
      <c r="Y1236">
        <v>0.55111754884279684</v>
      </c>
      <c r="Z1236" t="str">
        <f>HYPERLINK("Melting_Curves/meltCurve_sp_P62316_SMD2_HUMAN_.pdf", "Melting_Curves/meltCurve_sp_P62316_SMD2_HUMAN_.pdf")</f>
        <v>Melting_Curves/meltCurve_sp_P62316_SMD2_HUMAN_.pdf</v>
      </c>
      <c r="AA1236" t="s">
        <v>12100</v>
      </c>
      <c r="AB1236" t="s">
        <v>15661</v>
      </c>
    </row>
    <row r="1237" spans="1:28" x14ac:dyDescent="0.25">
      <c r="A1237" t="s">
        <v>1241</v>
      </c>
      <c r="B1237">
        <v>0.98018197421672304</v>
      </c>
      <c r="C1237">
        <v>0.99197959702591898</v>
      </c>
      <c r="D1237">
        <v>0.89344758080096498</v>
      </c>
      <c r="E1237">
        <v>0.79165719304861804</v>
      </c>
      <c r="F1237">
        <v>0.87549424055761305</v>
      </c>
      <c r="G1237">
        <v>0.755264524718957</v>
      </c>
      <c r="H1237">
        <v>0.54533362865263002</v>
      </c>
      <c r="I1237">
        <v>0.58128804516363697</v>
      </c>
      <c r="J1237">
        <v>0.63634005384949399</v>
      </c>
      <c r="K1237">
        <v>0.98775456336246603</v>
      </c>
      <c r="L1237">
        <v>759.85544304770201</v>
      </c>
      <c r="M1237">
        <v>15.525399230883799</v>
      </c>
      <c r="O1237">
        <v>48.1522888878565</v>
      </c>
      <c r="P1237">
        <v>-2.40358151750148E-2</v>
      </c>
      <c r="Q1237">
        <v>0.70183627536390603</v>
      </c>
      <c r="R1237">
        <v>0.44635647730942601</v>
      </c>
      <c r="S1237" t="s">
        <v>4866</v>
      </c>
      <c r="T1237" t="s">
        <v>7256</v>
      </c>
      <c r="U1237" t="s">
        <v>7256</v>
      </c>
      <c r="V1237" t="s">
        <v>7256</v>
      </c>
      <c r="W1237">
        <v>5</v>
      </c>
      <c r="X1237" t="s">
        <v>8493</v>
      </c>
      <c r="Y1237">
        <v>0.79762392863773757</v>
      </c>
      <c r="Z1237" t="str">
        <f>HYPERLINK("Melting_Curves/meltCurve_sp_P62328_TYB4_HUMAN_.pdf", "Melting_Curves/meltCurve_sp_P62328_TYB4_HUMAN_.pdf")</f>
        <v>Melting_Curves/meltCurve_sp_P62328_TYB4_HUMAN_.pdf</v>
      </c>
      <c r="AA1237" t="s">
        <v>12101</v>
      </c>
      <c r="AB1237" t="s">
        <v>15662</v>
      </c>
    </row>
    <row r="1238" spans="1:28" x14ac:dyDescent="0.25">
      <c r="A1238" t="s">
        <v>1242</v>
      </c>
      <c r="B1238">
        <v>0.98018197421672304</v>
      </c>
      <c r="C1238">
        <v>0.92900959086839796</v>
      </c>
      <c r="D1238">
        <v>0.79607990869114897</v>
      </c>
      <c r="E1238">
        <v>0.454109631313596</v>
      </c>
      <c r="F1238">
        <v>0.21082990709715699</v>
      </c>
      <c r="G1238">
        <v>0.14719494165195099</v>
      </c>
      <c r="H1238">
        <v>0.108631787785901</v>
      </c>
      <c r="I1238">
        <v>0.104284279417781</v>
      </c>
      <c r="J1238">
        <v>9.2874107052869706E-2</v>
      </c>
      <c r="K1238">
        <v>6.3677400144589294E-2</v>
      </c>
      <c r="L1238">
        <v>973.73455609401003</v>
      </c>
      <c r="M1238">
        <v>19.9388586346826</v>
      </c>
      <c r="N1238">
        <v>49.2892372948032</v>
      </c>
      <c r="O1238">
        <v>48.352752276630497</v>
      </c>
      <c r="P1238">
        <v>-9.4459225878897907E-2</v>
      </c>
      <c r="Q1238">
        <v>8.3756472787220801E-2</v>
      </c>
      <c r="R1238">
        <v>0.99798009449777503</v>
      </c>
      <c r="S1238" t="s">
        <v>4867</v>
      </c>
      <c r="T1238" t="s">
        <v>7256</v>
      </c>
      <c r="U1238" t="s">
        <v>7256</v>
      </c>
      <c r="V1238" t="s">
        <v>7256</v>
      </c>
      <c r="W1238">
        <v>3</v>
      </c>
      <c r="X1238" t="s">
        <v>8494</v>
      </c>
      <c r="Y1238">
        <v>0.36655783476279491</v>
      </c>
      <c r="Z1238" t="str">
        <f>HYPERLINK("Melting_Curves/meltCurve_sp_P62330_ARF6_HUMAN_.pdf", "Melting_Curves/meltCurve_sp_P62330_ARF6_HUMAN_.pdf")</f>
        <v>Melting_Curves/meltCurve_sp_P62330_ARF6_HUMAN_.pdf</v>
      </c>
      <c r="AA1238" t="s">
        <v>12102</v>
      </c>
      <c r="AB1238" t="s">
        <v>15663</v>
      </c>
    </row>
    <row r="1239" spans="1:28" x14ac:dyDescent="0.25">
      <c r="A1239" t="s">
        <v>1243</v>
      </c>
      <c r="B1239">
        <v>0.98018197421672304</v>
      </c>
      <c r="C1239">
        <v>0.82627073357686198</v>
      </c>
      <c r="D1239">
        <v>0.53485158620334305</v>
      </c>
      <c r="E1239">
        <v>0.24938920853194699</v>
      </c>
      <c r="F1239">
        <v>0.12938731999863601</v>
      </c>
      <c r="G1239">
        <v>6.8575244593456305E-2</v>
      </c>
      <c r="H1239">
        <v>5.38582573391964E-2</v>
      </c>
      <c r="I1239">
        <v>4.6156417082310698E-2</v>
      </c>
      <c r="J1239">
        <v>4.4398497394054402E-2</v>
      </c>
      <c r="K1239">
        <v>4.9185440674371299E-2</v>
      </c>
      <c r="L1239">
        <v>873.48336602040001</v>
      </c>
      <c r="M1239">
        <v>18.868732168865801</v>
      </c>
      <c r="N1239">
        <v>46.525969632528899</v>
      </c>
      <c r="O1239">
        <v>45.782087194435199</v>
      </c>
      <c r="P1239">
        <v>-9.8388116269688297E-2</v>
      </c>
      <c r="Q1239">
        <v>4.5144711088789098E-2</v>
      </c>
      <c r="R1239">
        <v>0.99886509604575102</v>
      </c>
      <c r="S1239" t="s">
        <v>4868</v>
      </c>
      <c r="T1239" t="s">
        <v>7256</v>
      </c>
      <c r="U1239" t="s">
        <v>7256</v>
      </c>
      <c r="V1239" t="s">
        <v>7256</v>
      </c>
      <c r="W1239">
        <v>19</v>
      </c>
      <c r="X1239" t="s">
        <v>8495</v>
      </c>
      <c r="Y1239">
        <v>0.26194703977535011</v>
      </c>
      <c r="Z1239" t="str">
        <f>HYPERLINK("Melting_Curves/meltCurve_sp_P62333_PRS10_HUMAN_.pdf", "Melting_Curves/meltCurve_sp_P62333_PRS10_HUMAN_.pdf")</f>
        <v>Melting_Curves/meltCurve_sp_P62333_PRS10_HUMAN_.pdf</v>
      </c>
      <c r="AA1239" t="s">
        <v>12103</v>
      </c>
      <c r="AB1239" t="s">
        <v>15664</v>
      </c>
    </row>
    <row r="1240" spans="1:28" x14ac:dyDescent="0.25">
      <c r="A1240" t="s">
        <v>1244</v>
      </c>
      <c r="B1240">
        <v>0.98018197421672304</v>
      </c>
      <c r="C1240">
        <v>0.78643098977411496</v>
      </c>
      <c r="D1240">
        <v>0.80317948160267805</v>
      </c>
      <c r="E1240">
        <v>0.75921975884072301</v>
      </c>
      <c r="F1240">
        <v>0.72918883280108504</v>
      </c>
      <c r="G1240">
        <v>0.438553601039402</v>
      </c>
      <c r="H1240">
        <v>0.33377488763076002</v>
      </c>
      <c r="I1240">
        <v>0.44954923842551697</v>
      </c>
      <c r="J1240">
        <v>0.32565117083281098</v>
      </c>
      <c r="K1240">
        <v>0.52200807098016799</v>
      </c>
      <c r="L1240">
        <v>454.724698339523</v>
      </c>
      <c r="M1240">
        <v>8.9011980113124292</v>
      </c>
      <c r="N1240">
        <v>58.095485631452199</v>
      </c>
      <c r="O1240">
        <v>48.7046573960939</v>
      </c>
      <c r="P1240">
        <v>-3.06727084703937E-2</v>
      </c>
      <c r="Q1240">
        <v>0.32918089177993698</v>
      </c>
      <c r="R1240">
        <v>0.83080930064035696</v>
      </c>
      <c r="S1240" t="s">
        <v>4869</v>
      </c>
      <c r="T1240" t="s">
        <v>7256</v>
      </c>
      <c r="U1240" t="s">
        <v>7256</v>
      </c>
      <c r="V1240" t="s">
        <v>7256</v>
      </c>
      <c r="W1240">
        <v>4</v>
      </c>
      <c r="X1240" t="s">
        <v>8496</v>
      </c>
      <c r="Y1240">
        <v>0.60876987885299561</v>
      </c>
      <c r="Z1240" t="str">
        <f>HYPERLINK("Melting_Curves/meltCurve_sp_P62633_2_CNBP_HUMAN_.pdf", "Melting_Curves/meltCurve_sp_P62633_2_CNBP_HUMAN_.pdf")</f>
        <v>Melting_Curves/meltCurve_sp_P62633_2_CNBP_HUMAN_.pdf</v>
      </c>
      <c r="AA1240" t="s">
        <v>12104</v>
      </c>
      <c r="AB1240" t="s">
        <v>15665</v>
      </c>
    </row>
    <row r="1241" spans="1:28" x14ac:dyDescent="0.25">
      <c r="A1241" t="s">
        <v>1245</v>
      </c>
      <c r="B1241">
        <v>0.98018197421672304</v>
      </c>
      <c r="C1241">
        <v>0.96926765091051004</v>
      </c>
      <c r="D1241">
        <v>0.733127617393179</v>
      </c>
      <c r="E1241">
        <v>0.32765809378182797</v>
      </c>
      <c r="F1241">
        <v>0.172389137567491</v>
      </c>
      <c r="G1241">
        <v>0.100100267775293</v>
      </c>
      <c r="H1241">
        <v>8.2623011011838998E-2</v>
      </c>
      <c r="I1241">
        <v>6.8679593297989103E-2</v>
      </c>
      <c r="J1241">
        <v>9.8407152004497803E-2</v>
      </c>
      <c r="K1241">
        <v>8.0869299071325396E-2</v>
      </c>
      <c r="L1241">
        <v>1131.87074645799</v>
      </c>
      <c r="M1241">
        <v>23.653148502168001</v>
      </c>
      <c r="N1241">
        <v>48.2153203553015</v>
      </c>
      <c r="O1241">
        <v>47.514750359974599</v>
      </c>
      <c r="P1241">
        <v>-0.114316868154944</v>
      </c>
      <c r="Q1241">
        <v>8.1450582401232194E-2</v>
      </c>
      <c r="R1241">
        <v>0.99888766595395095</v>
      </c>
      <c r="S1241" t="s">
        <v>4870</v>
      </c>
      <c r="T1241" t="s">
        <v>7256</v>
      </c>
      <c r="U1241" t="s">
        <v>7256</v>
      </c>
      <c r="V1241" t="s">
        <v>7256</v>
      </c>
      <c r="W1241">
        <v>3</v>
      </c>
      <c r="X1241" t="s">
        <v>8497</v>
      </c>
      <c r="Y1241">
        <v>0.33103544296284287</v>
      </c>
      <c r="Z1241" t="str">
        <f>HYPERLINK("Melting_Curves/meltCurve_sp_P62701_RS4X_HUMAN_.pdf", "Melting_Curves/meltCurve_sp_P62701_RS4X_HUMAN_.pdf")</f>
        <v>Melting_Curves/meltCurve_sp_P62701_RS4X_HUMAN_.pdf</v>
      </c>
      <c r="AA1241" t="s">
        <v>12105</v>
      </c>
      <c r="AB1241" t="s">
        <v>15666</v>
      </c>
    </row>
    <row r="1242" spans="1:28" x14ac:dyDescent="0.25">
      <c r="A1242" t="s">
        <v>1246</v>
      </c>
      <c r="B1242">
        <v>0.98018197421672304</v>
      </c>
      <c r="C1242">
        <v>0.929988983638394</v>
      </c>
      <c r="D1242">
        <v>0.85189090940224699</v>
      </c>
      <c r="E1242">
        <v>0.72156352932803003</v>
      </c>
      <c r="F1242">
        <v>0.57868513386210696</v>
      </c>
      <c r="G1242">
        <v>0.37998577305435099</v>
      </c>
      <c r="H1242">
        <v>0.20520603619129399</v>
      </c>
      <c r="I1242">
        <v>0.122616366812608</v>
      </c>
      <c r="J1242">
        <v>9.5970397156055098E-2</v>
      </c>
      <c r="K1242">
        <v>7.5219843006685494E-2</v>
      </c>
      <c r="L1242">
        <v>611.15406571680796</v>
      </c>
      <c r="M1242">
        <v>11.2923100045357</v>
      </c>
      <c r="N1242">
        <v>54.121261568769398</v>
      </c>
      <c r="O1242">
        <v>52.507291094131503</v>
      </c>
      <c r="P1242">
        <v>-5.3781833229984803E-2</v>
      </c>
      <c r="Q1242">
        <v>0</v>
      </c>
      <c r="R1242">
        <v>0.99755468409553705</v>
      </c>
      <c r="S1242" t="s">
        <v>4871</v>
      </c>
      <c r="T1242" t="s">
        <v>7256</v>
      </c>
      <c r="U1242" t="s">
        <v>7256</v>
      </c>
      <c r="V1242" t="s">
        <v>7256</v>
      </c>
      <c r="W1242">
        <v>11</v>
      </c>
      <c r="X1242" t="s">
        <v>8498</v>
      </c>
      <c r="Y1242">
        <v>0.49789744257092511</v>
      </c>
      <c r="Z1242" t="str">
        <f>HYPERLINK("Melting_Curves/meltCurve_sp_P62714_PP2AB_HUMAN_.pdf", "Melting_Curves/meltCurve_sp_P62714_PP2AB_HUMAN_.pdf")</f>
        <v>Melting_Curves/meltCurve_sp_P62714_PP2AB_HUMAN_.pdf</v>
      </c>
      <c r="AA1242" t="s">
        <v>12106</v>
      </c>
      <c r="AB1242" t="s">
        <v>15667</v>
      </c>
    </row>
    <row r="1243" spans="1:28" x14ac:dyDescent="0.25">
      <c r="A1243" t="s">
        <v>1247</v>
      </c>
      <c r="B1243">
        <v>0.98018197421672304</v>
      </c>
      <c r="C1243">
        <v>0.78514756503547101</v>
      </c>
      <c r="D1243">
        <v>0.86275519329419603</v>
      </c>
      <c r="E1243">
        <v>0.789192774896747</v>
      </c>
      <c r="F1243">
        <v>0.96089257336643996</v>
      </c>
      <c r="G1243">
        <v>0.95406469117650705</v>
      </c>
      <c r="H1243">
        <v>0.89614521948095804</v>
      </c>
      <c r="I1243">
        <v>0.92600786542507196</v>
      </c>
      <c r="J1243">
        <v>0.94238065132784898</v>
      </c>
      <c r="K1243">
        <v>0.69706352094149404</v>
      </c>
      <c r="L1243">
        <v>36.871422287136298</v>
      </c>
      <c r="M1243">
        <v>1.0000000000000001E-5</v>
      </c>
      <c r="Q1243">
        <v>0.63914205651682798</v>
      </c>
      <c r="R1243">
        <v>1.2616325744892401E-2</v>
      </c>
      <c r="S1243" t="s">
        <v>4872</v>
      </c>
      <c r="T1243" t="s">
        <v>7256</v>
      </c>
      <c r="U1243" t="s">
        <v>7256</v>
      </c>
      <c r="V1243" t="s">
        <v>7256</v>
      </c>
      <c r="W1243">
        <v>1</v>
      </c>
      <c r="X1243" t="s">
        <v>8499</v>
      </c>
      <c r="Y1243">
        <v>0.87911587841787553</v>
      </c>
      <c r="Z1243" t="str">
        <f>HYPERLINK("Melting_Curves/meltCurve_sp_P62750_RL23A_HUMAN_.pdf", "Melting_Curves/meltCurve_sp_P62750_RL23A_HUMAN_.pdf")</f>
        <v>Melting_Curves/meltCurve_sp_P62750_RL23A_HUMAN_.pdf</v>
      </c>
      <c r="AA1243" t="s">
        <v>12107</v>
      </c>
      <c r="AB1243" t="s">
        <v>15668</v>
      </c>
    </row>
    <row r="1244" spans="1:28" x14ac:dyDescent="0.25">
      <c r="A1244" t="s">
        <v>1248</v>
      </c>
      <c r="B1244">
        <v>0.98018197421672304</v>
      </c>
      <c r="C1244">
        <v>0.97506184103459503</v>
      </c>
      <c r="D1244">
        <v>0.80764252794644498</v>
      </c>
      <c r="E1244">
        <v>0.48104735900911599</v>
      </c>
      <c r="F1244">
        <v>0.25001135605583702</v>
      </c>
      <c r="G1244">
        <v>0.140522426151348</v>
      </c>
      <c r="H1244">
        <v>9.2330681792682195E-2</v>
      </c>
      <c r="I1244">
        <v>8.8558462443176098E-2</v>
      </c>
      <c r="J1244">
        <v>9.7145955105529494E-2</v>
      </c>
      <c r="K1244">
        <v>7.0020675102726901E-2</v>
      </c>
      <c r="L1244">
        <v>987.47249872452801</v>
      </c>
      <c r="M1244">
        <v>20.046633962920001</v>
      </c>
      <c r="N1244">
        <v>49.683076077046302</v>
      </c>
      <c r="O1244">
        <v>48.776444050547298</v>
      </c>
      <c r="P1244">
        <v>-9.4666891753013904E-2</v>
      </c>
      <c r="Q1244">
        <v>7.8675032337367598E-2</v>
      </c>
      <c r="R1244">
        <v>0.99906901370301104</v>
      </c>
      <c r="S1244" t="s">
        <v>4873</v>
      </c>
      <c r="T1244" t="s">
        <v>7256</v>
      </c>
      <c r="U1244" t="s">
        <v>7256</v>
      </c>
      <c r="V1244" t="s">
        <v>7256</v>
      </c>
      <c r="W1244">
        <v>5</v>
      </c>
      <c r="X1244" t="s">
        <v>8500</v>
      </c>
      <c r="Y1244">
        <v>0.37583709871403043</v>
      </c>
      <c r="Z1244" t="str">
        <f>HYPERLINK("Melting_Curves/meltCurve_sp_P62753_RS6_HUMAN_.pdf", "Melting_Curves/meltCurve_sp_P62753_RS6_HUMAN_.pdf")</f>
        <v>Melting_Curves/meltCurve_sp_P62753_RS6_HUMAN_.pdf</v>
      </c>
      <c r="AA1244" t="s">
        <v>12108</v>
      </c>
      <c r="AB1244" t="s">
        <v>15669</v>
      </c>
    </row>
    <row r="1245" spans="1:28" x14ac:dyDescent="0.25">
      <c r="A1245" t="s">
        <v>1249</v>
      </c>
      <c r="B1245">
        <v>0.98018197421672304</v>
      </c>
      <c r="C1245">
        <v>1.02741312874012</v>
      </c>
      <c r="D1245">
        <v>0.88907197663918303</v>
      </c>
      <c r="E1245">
        <v>0.66865732278015699</v>
      </c>
      <c r="F1245">
        <v>0.43108983541911999</v>
      </c>
      <c r="G1245">
        <v>0.23641650501350001</v>
      </c>
      <c r="H1245">
        <v>0.23235214059363199</v>
      </c>
      <c r="I1245">
        <v>0.20418219216743499</v>
      </c>
      <c r="J1245">
        <v>0.28576231537560898</v>
      </c>
      <c r="K1245">
        <v>0.29062061828165803</v>
      </c>
      <c r="L1245">
        <v>1223.62380239657</v>
      </c>
      <c r="M1245">
        <v>24.288242068312101</v>
      </c>
      <c r="N1245">
        <v>51.782717828592197</v>
      </c>
      <c r="O1245">
        <v>50.041477181922701</v>
      </c>
      <c r="P1245">
        <v>-9.2083315026297199E-2</v>
      </c>
      <c r="Q1245">
        <v>0.241128208757943</v>
      </c>
      <c r="R1245">
        <v>0.98754395820572904</v>
      </c>
      <c r="S1245" t="s">
        <v>4874</v>
      </c>
      <c r="T1245" t="s">
        <v>7256</v>
      </c>
      <c r="U1245" t="s">
        <v>7256</v>
      </c>
      <c r="V1245" t="s">
        <v>7256</v>
      </c>
      <c r="W1245">
        <v>3</v>
      </c>
      <c r="X1245" t="s">
        <v>8501</v>
      </c>
      <c r="Y1245">
        <v>0.51089186817621901</v>
      </c>
      <c r="Z1245" t="str">
        <f>HYPERLINK("Melting_Curves/meltCurve_sp_P62760_VISL1_HUMAN_.pdf", "Melting_Curves/meltCurve_sp_P62760_VISL1_HUMAN_.pdf")</f>
        <v>Melting_Curves/meltCurve_sp_P62760_VISL1_HUMAN_.pdf</v>
      </c>
      <c r="AA1245" t="s">
        <v>12109</v>
      </c>
      <c r="AB1245" t="s">
        <v>15670</v>
      </c>
    </row>
    <row r="1246" spans="1:28" x14ac:dyDescent="0.25">
      <c r="A1246" t="s">
        <v>1250</v>
      </c>
      <c r="B1246">
        <v>0.98018197421672304</v>
      </c>
      <c r="C1246">
        <v>1.0875333092841899</v>
      </c>
      <c r="D1246">
        <v>0.67076857026150205</v>
      </c>
      <c r="E1246">
        <v>0.316184522002388</v>
      </c>
      <c r="F1246">
        <v>0.18243075770932801</v>
      </c>
      <c r="G1246">
        <v>0.114243587129308</v>
      </c>
      <c r="H1246">
        <v>5.5050234505177799E-2</v>
      </c>
      <c r="I1246">
        <v>3.9268167536121501E-2</v>
      </c>
      <c r="J1246">
        <v>6.8848835083627893E-2</v>
      </c>
      <c r="K1246">
        <v>1.3580185157327999E-2</v>
      </c>
      <c r="L1246">
        <v>1117.88892309472</v>
      </c>
      <c r="M1246">
        <v>23.353841054286601</v>
      </c>
      <c r="N1246">
        <v>48.116973698113704</v>
      </c>
      <c r="O1246">
        <v>47.520624337891299</v>
      </c>
      <c r="P1246">
        <v>-0.115857252453253</v>
      </c>
      <c r="Q1246">
        <v>5.7026732030980701E-2</v>
      </c>
      <c r="R1246">
        <v>0.97932884901405404</v>
      </c>
      <c r="S1246" t="s">
        <v>4875</v>
      </c>
      <c r="T1246" t="s">
        <v>7256</v>
      </c>
      <c r="U1246" t="s">
        <v>7256</v>
      </c>
      <c r="V1246" t="s">
        <v>7256</v>
      </c>
      <c r="W1246">
        <v>2</v>
      </c>
      <c r="X1246" t="s">
        <v>8502</v>
      </c>
      <c r="Y1246">
        <v>0.31396495829673782</v>
      </c>
      <c r="Z1246" t="str">
        <f>HYPERLINK("Melting_Curves/meltCurve_sp_P62805_H4_HUMAN_.pdf", "Melting_Curves/meltCurve_sp_P62805_H4_HUMAN_.pdf")</f>
        <v>Melting_Curves/meltCurve_sp_P62805_H4_HUMAN_.pdf</v>
      </c>
      <c r="AA1246" t="s">
        <v>12110</v>
      </c>
      <c r="AB1246" t="s">
        <v>15671</v>
      </c>
    </row>
    <row r="1247" spans="1:28" x14ac:dyDescent="0.25">
      <c r="A1247" t="s">
        <v>1251</v>
      </c>
      <c r="B1247">
        <v>0.98018197421672304</v>
      </c>
      <c r="C1247">
        <v>0.79138726240268498</v>
      </c>
      <c r="D1247">
        <v>0.91774339137773897</v>
      </c>
      <c r="E1247">
        <v>0.67835017900250505</v>
      </c>
      <c r="F1247">
        <v>0.41428634858171398</v>
      </c>
      <c r="G1247">
        <v>0.17508728131506701</v>
      </c>
      <c r="H1247">
        <v>8.7192761693659096E-2</v>
      </c>
      <c r="I1247">
        <v>5.9304679528864701E-2</v>
      </c>
      <c r="J1247">
        <v>5.7291652114185E-2</v>
      </c>
      <c r="K1247">
        <v>4.1273082223230999E-2</v>
      </c>
      <c r="L1247">
        <v>800.89113004732803</v>
      </c>
      <c r="M1247">
        <v>15.4585341650863</v>
      </c>
      <c r="N1247">
        <v>51.886654541696103</v>
      </c>
      <c r="O1247">
        <v>50.965222308973502</v>
      </c>
      <c r="P1247">
        <v>-7.4968423658732602E-2</v>
      </c>
      <c r="Q1247">
        <v>1.1435601467023699E-2</v>
      </c>
      <c r="R1247">
        <v>0.97485658991209101</v>
      </c>
      <c r="S1247" t="s">
        <v>4876</v>
      </c>
      <c r="T1247" t="s">
        <v>7256</v>
      </c>
      <c r="U1247" t="s">
        <v>7256</v>
      </c>
      <c r="V1247" t="s">
        <v>7256</v>
      </c>
      <c r="W1247">
        <v>11</v>
      </c>
      <c r="X1247" t="s">
        <v>8503</v>
      </c>
      <c r="Y1247">
        <v>0.42178807118239409</v>
      </c>
      <c r="Z1247" t="str">
        <f>HYPERLINK("Melting_Curves/meltCurve_sp_P62820_RAB1A_HUMAN_.pdf", "Melting_Curves/meltCurve_sp_P62820_RAB1A_HUMAN_.pdf")</f>
        <v>Melting_Curves/meltCurve_sp_P62820_RAB1A_HUMAN_.pdf</v>
      </c>
      <c r="AA1247" t="s">
        <v>12111</v>
      </c>
      <c r="AB1247" t="s">
        <v>15672</v>
      </c>
    </row>
    <row r="1248" spans="1:28" x14ac:dyDescent="0.25">
      <c r="A1248" t="s">
        <v>1252</v>
      </c>
      <c r="B1248">
        <v>0.98018197421672304</v>
      </c>
      <c r="C1248">
        <v>0.81322041309271598</v>
      </c>
      <c r="D1248">
        <v>0.85430840612581405</v>
      </c>
      <c r="E1248">
        <v>0.74589479889980204</v>
      </c>
      <c r="F1248">
        <v>0.62230610398398101</v>
      </c>
      <c r="G1248">
        <v>0.32306639696782302</v>
      </c>
      <c r="H1248">
        <v>0.100892125659771</v>
      </c>
      <c r="I1248">
        <v>7.9890038663970001E-2</v>
      </c>
      <c r="J1248">
        <v>7.5689451152141901E-2</v>
      </c>
      <c r="K1248">
        <v>4.6800967633339997E-2</v>
      </c>
      <c r="L1248">
        <v>710.04307711208605</v>
      </c>
      <c r="M1248">
        <v>13.2047016088719</v>
      </c>
      <c r="N1248">
        <v>53.771990554119498</v>
      </c>
      <c r="O1248">
        <v>52.583613269468003</v>
      </c>
      <c r="P1248">
        <v>-6.2789983095689894E-2</v>
      </c>
      <c r="Q1248">
        <v>0</v>
      </c>
      <c r="R1248">
        <v>0.97036403623205103</v>
      </c>
      <c r="S1248" t="s">
        <v>4877</v>
      </c>
      <c r="T1248" t="s">
        <v>7256</v>
      </c>
      <c r="U1248" t="s">
        <v>7256</v>
      </c>
      <c r="V1248" t="s">
        <v>7256</v>
      </c>
      <c r="W1248">
        <v>8</v>
      </c>
      <c r="X1248" t="s">
        <v>8504</v>
      </c>
      <c r="Y1248">
        <v>0.4832282155043135</v>
      </c>
      <c r="Z1248" t="str">
        <f>HYPERLINK("Melting_Curves/meltCurve_sp_P62826_RAN_HUMAN_.pdf", "Melting_Curves/meltCurve_sp_P62826_RAN_HUMAN_.pdf")</f>
        <v>Melting_Curves/meltCurve_sp_P62826_RAN_HUMAN_.pdf</v>
      </c>
      <c r="AA1248" t="s">
        <v>12112</v>
      </c>
      <c r="AB1248" t="s">
        <v>15673</v>
      </c>
    </row>
    <row r="1249" spans="1:28" x14ac:dyDescent="0.25">
      <c r="A1249" t="s">
        <v>1253</v>
      </c>
      <c r="B1249">
        <v>0.98018197421672304</v>
      </c>
      <c r="C1249">
        <v>0.84459792785825305</v>
      </c>
      <c r="D1249">
        <v>1.0046593525587799</v>
      </c>
      <c r="E1249">
        <v>0.74603935665699495</v>
      </c>
      <c r="F1249">
        <v>0.76014044502672096</v>
      </c>
      <c r="G1249">
        <v>0.54602527611887497</v>
      </c>
      <c r="H1249">
        <v>0.30954747345218803</v>
      </c>
      <c r="I1249">
        <v>0.19975946907470299</v>
      </c>
      <c r="J1249">
        <v>8.8829873643713295E-2</v>
      </c>
      <c r="K1249">
        <v>7.65270985934704E-2</v>
      </c>
      <c r="L1249">
        <v>695.48825602565398</v>
      </c>
      <c r="M1249">
        <v>12.2071516940936</v>
      </c>
      <c r="N1249">
        <v>56.973833576159002</v>
      </c>
      <c r="O1249">
        <v>55.509550670944897</v>
      </c>
      <c r="P1249">
        <v>-5.49900982164735E-2</v>
      </c>
      <c r="Q1249">
        <v>0</v>
      </c>
      <c r="R1249">
        <v>0.96652919870642195</v>
      </c>
      <c r="S1249" t="s">
        <v>4878</v>
      </c>
      <c r="T1249" t="s">
        <v>7256</v>
      </c>
      <c r="U1249" t="s">
        <v>7256</v>
      </c>
      <c r="V1249" t="s">
        <v>7256</v>
      </c>
      <c r="W1249">
        <v>3</v>
      </c>
      <c r="X1249" t="s">
        <v>8505</v>
      </c>
      <c r="Y1249">
        <v>0.58272482632438971</v>
      </c>
      <c r="Z1249" t="str">
        <f>HYPERLINK("Melting_Curves/meltCurve_sp_P62837_UB2D2_HUMAN_.pdf", "Melting_Curves/meltCurve_sp_P62837_UB2D2_HUMAN_.pdf")</f>
        <v>Melting_Curves/meltCurve_sp_P62837_UB2D2_HUMAN_.pdf</v>
      </c>
      <c r="AA1249" t="s">
        <v>12113</v>
      </c>
      <c r="AB1249" t="s">
        <v>15674</v>
      </c>
    </row>
    <row r="1250" spans="1:28" x14ac:dyDescent="0.25">
      <c r="A1250" t="s">
        <v>1254</v>
      </c>
      <c r="B1250">
        <v>0.98018197421672304</v>
      </c>
      <c r="C1250">
        <v>1.0303264886300201</v>
      </c>
      <c r="D1250">
        <v>0.88829429988750797</v>
      </c>
      <c r="E1250">
        <v>0.56404388629785795</v>
      </c>
      <c r="F1250">
        <v>0.21386316359108001</v>
      </c>
      <c r="G1250">
        <v>0.105924386323339</v>
      </c>
      <c r="H1250">
        <v>0.142984851099524</v>
      </c>
      <c r="I1250">
        <v>0.12570236641822699</v>
      </c>
      <c r="J1250">
        <v>8.7654269991598505E-2</v>
      </c>
      <c r="K1250">
        <v>6.9898561222486E-2</v>
      </c>
      <c r="L1250">
        <v>1440.30293418052</v>
      </c>
      <c r="M1250">
        <v>28.850544557733301</v>
      </c>
      <c r="N1250">
        <v>50.302125218168896</v>
      </c>
      <c r="O1250">
        <v>49.684896654432499</v>
      </c>
      <c r="P1250">
        <v>-0.130979573690372</v>
      </c>
      <c r="Q1250">
        <v>9.7742252217950298E-2</v>
      </c>
      <c r="R1250">
        <v>0.99432261935774902</v>
      </c>
      <c r="S1250" t="s">
        <v>4879</v>
      </c>
      <c r="T1250" t="s">
        <v>7256</v>
      </c>
      <c r="U1250" t="s">
        <v>7256</v>
      </c>
      <c r="V1250" t="s">
        <v>7256</v>
      </c>
      <c r="W1250">
        <v>2</v>
      </c>
      <c r="X1250" t="s">
        <v>8506</v>
      </c>
      <c r="Y1250">
        <v>0.40220866770529412</v>
      </c>
      <c r="Z1250" t="str">
        <f>HYPERLINK("Melting_Curves/meltCurve_sp_P62851_RS25_HUMAN_.pdf", "Melting_Curves/meltCurve_sp_P62851_RS25_HUMAN_.pdf")</f>
        <v>Melting_Curves/meltCurve_sp_P62851_RS25_HUMAN_.pdf</v>
      </c>
      <c r="AA1250" t="s">
        <v>12114</v>
      </c>
      <c r="AB1250" t="s">
        <v>15675</v>
      </c>
    </row>
    <row r="1251" spans="1:28" x14ac:dyDescent="0.25">
      <c r="A1251" t="s">
        <v>1255</v>
      </c>
      <c r="B1251">
        <v>0.98018197421672304</v>
      </c>
      <c r="C1251">
        <v>0.84156665938899899</v>
      </c>
      <c r="D1251">
        <v>0.59403538354043794</v>
      </c>
      <c r="E1251">
        <v>0.26091149354513199</v>
      </c>
      <c r="F1251">
        <v>0.18696744798266601</v>
      </c>
      <c r="G1251">
        <v>0.114173844922489</v>
      </c>
      <c r="H1251">
        <v>7.1754739887048294E-2</v>
      </c>
      <c r="I1251">
        <v>6.5422392588829106E-2</v>
      </c>
      <c r="J1251">
        <v>0.100449061407291</v>
      </c>
      <c r="K1251">
        <v>4.4141370556299797E-2</v>
      </c>
      <c r="L1251">
        <v>863.028808309532</v>
      </c>
      <c r="M1251">
        <v>18.507295720225301</v>
      </c>
      <c r="N1251">
        <v>47.017368841101401</v>
      </c>
      <c r="O1251">
        <v>46.097626576077403</v>
      </c>
      <c r="P1251">
        <v>-9.3307767420295007E-2</v>
      </c>
      <c r="Q1251">
        <v>7.0404463449254301E-2</v>
      </c>
      <c r="R1251">
        <v>0.99696315755376197</v>
      </c>
      <c r="S1251" t="s">
        <v>4880</v>
      </c>
      <c r="T1251" t="s">
        <v>7256</v>
      </c>
      <c r="U1251" t="s">
        <v>7256</v>
      </c>
      <c r="V1251" t="s">
        <v>7256</v>
      </c>
      <c r="W1251">
        <v>2</v>
      </c>
      <c r="X1251" t="s">
        <v>8507</v>
      </c>
      <c r="Y1251">
        <v>0.29235126121337301</v>
      </c>
      <c r="Z1251" t="str">
        <f>HYPERLINK("Melting_Curves/meltCurve_sp_P62854_RS26_HUMAN_.pdf", "Melting_Curves/meltCurve_sp_P62854_RS26_HUMAN_.pdf")</f>
        <v>Melting_Curves/meltCurve_sp_P62854_RS26_HUMAN_.pdf</v>
      </c>
      <c r="AA1251" t="s">
        <v>12115</v>
      </c>
      <c r="AB1251" t="s">
        <v>15676</v>
      </c>
    </row>
    <row r="1252" spans="1:28" x14ac:dyDescent="0.25">
      <c r="A1252" t="s">
        <v>1256</v>
      </c>
      <c r="B1252">
        <v>0.98018197421672304</v>
      </c>
      <c r="C1252">
        <v>0.93605817117495604</v>
      </c>
      <c r="D1252">
        <v>0.71717379028935302</v>
      </c>
      <c r="E1252">
        <v>0.61866011941010801</v>
      </c>
      <c r="F1252">
        <v>0.51265052859224902</v>
      </c>
      <c r="G1252">
        <v>0.25164138485201798</v>
      </c>
      <c r="H1252">
        <v>0.33425265700091</v>
      </c>
      <c r="I1252">
        <v>0.318737864641848</v>
      </c>
      <c r="J1252">
        <v>0.51706516804138303</v>
      </c>
      <c r="K1252">
        <v>0.42068908709938702</v>
      </c>
      <c r="L1252">
        <v>818.35982448266805</v>
      </c>
      <c r="M1252">
        <v>17.223780451565801</v>
      </c>
      <c r="N1252">
        <v>51.5849445039809</v>
      </c>
      <c r="O1252">
        <v>46.886778189763803</v>
      </c>
      <c r="P1252">
        <v>-5.7713796466621503E-2</v>
      </c>
      <c r="Q1252">
        <v>0.37160048171007298</v>
      </c>
      <c r="R1252">
        <v>0.89252259931482003</v>
      </c>
      <c r="S1252" t="s">
        <v>4881</v>
      </c>
      <c r="T1252" t="s">
        <v>7256</v>
      </c>
      <c r="U1252" t="s">
        <v>7256</v>
      </c>
      <c r="V1252" t="s">
        <v>7256</v>
      </c>
      <c r="W1252">
        <v>3</v>
      </c>
      <c r="X1252" t="s">
        <v>8508</v>
      </c>
      <c r="Y1252">
        <v>0.54142926452797846</v>
      </c>
      <c r="Z1252" t="str">
        <f>HYPERLINK("Melting_Curves/meltCurve_sp_P62857_RS28_HUMAN_.pdf", "Melting_Curves/meltCurve_sp_P62857_RS28_HUMAN_.pdf")</f>
        <v>Melting_Curves/meltCurve_sp_P62857_RS28_HUMAN_.pdf</v>
      </c>
      <c r="AA1252" t="s">
        <v>12116</v>
      </c>
      <c r="AB1252" t="s">
        <v>15677</v>
      </c>
    </row>
    <row r="1253" spans="1:28" x14ac:dyDescent="0.25">
      <c r="A1253" t="s">
        <v>1257</v>
      </c>
      <c r="B1253">
        <v>0.98018197421672304</v>
      </c>
      <c r="C1253">
        <v>0.96895657247661704</v>
      </c>
      <c r="D1253">
        <v>0.80480092781467005</v>
      </c>
      <c r="E1253">
        <v>0.61971605003541896</v>
      </c>
      <c r="F1253">
        <v>0.53561812767348704</v>
      </c>
      <c r="G1253">
        <v>0.38623860258262199</v>
      </c>
      <c r="H1253">
        <v>0.30543784499537302</v>
      </c>
      <c r="I1253">
        <v>0.291605931104996</v>
      </c>
      <c r="J1253">
        <v>0.71407915179505899</v>
      </c>
      <c r="K1253">
        <v>1.1527963896951201</v>
      </c>
      <c r="L1253">
        <v>1572.9720428154201</v>
      </c>
      <c r="M1253">
        <v>33.983995478678601</v>
      </c>
      <c r="O1253">
        <v>46.126280438767701</v>
      </c>
      <c r="P1253">
        <v>-7.9856105410986103E-2</v>
      </c>
      <c r="Q1253">
        <v>0.56644878892902095</v>
      </c>
      <c r="R1253">
        <v>0.33280503671829598</v>
      </c>
      <c r="S1253" t="s">
        <v>4882</v>
      </c>
      <c r="T1253" t="s">
        <v>7256</v>
      </c>
      <c r="U1253" t="s">
        <v>7256</v>
      </c>
      <c r="V1253" t="s">
        <v>7256</v>
      </c>
      <c r="W1253">
        <v>1</v>
      </c>
      <c r="X1253" t="s">
        <v>8509</v>
      </c>
      <c r="Y1253">
        <v>0.65928283574037516</v>
      </c>
      <c r="Z1253" t="str">
        <f>HYPERLINK("Melting_Curves/meltCurve_sp_P62877_RBX1_HUMAN_.pdf", "Melting_Curves/meltCurve_sp_P62877_RBX1_HUMAN_.pdf")</f>
        <v>Melting_Curves/meltCurve_sp_P62877_RBX1_HUMAN_.pdf</v>
      </c>
      <c r="AA1253" t="s">
        <v>12117</v>
      </c>
      <c r="AB1253" t="s">
        <v>15678</v>
      </c>
    </row>
    <row r="1254" spans="1:28" x14ac:dyDescent="0.25">
      <c r="A1254" t="s">
        <v>1258</v>
      </c>
      <c r="B1254">
        <v>0.98018197421672304</v>
      </c>
      <c r="C1254">
        <v>1.0898628187913</v>
      </c>
      <c r="D1254">
        <v>0.95812525709093599</v>
      </c>
      <c r="E1254">
        <v>0.77909648711389201</v>
      </c>
      <c r="F1254">
        <v>0.41145251464238802</v>
      </c>
      <c r="G1254">
        <v>0.13786089528586001</v>
      </c>
      <c r="H1254">
        <v>0.13148320645720801</v>
      </c>
      <c r="I1254">
        <v>8.0951018919762904E-2</v>
      </c>
      <c r="J1254">
        <v>9.8355126264683096E-2</v>
      </c>
      <c r="K1254">
        <v>9.1600892730738195E-2</v>
      </c>
      <c r="L1254">
        <v>1557.05469893962</v>
      </c>
      <c r="M1254">
        <v>30.012772498508401</v>
      </c>
      <c r="N1254">
        <v>52.2431560247894</v>
      </c>
      <c r="O1254">
        <v>51.6510461918107</v>
      </c>
      <c r="P1254">
        <v>-0.13158188733877599</v>
      </c>
      <c r="Q1254">
        <v>9.4212587712384901E-2</v>
      </c>
      <c r="R1254">
        <v>0.99358823585817402</v>
      </c>
      <c r="S1254" t="s">
        <v>4883</v>
      </c>
      <c r="T1254" t="s">
        <v>7256</v>
      </c>
      <c r="U1254" t="s">
        <v>7256</v>
      </c>
      <c r="V1254" t="s">
        <v>7256</v>
      </c>
      <c r="W1254">
        <v>2</v>
      </c>
      <c r="X1254" t="s">
        <v>8510</v>
      </c>
      <c r="Y1254">
        <v>0.45866801120705608</v>
      </c>
      <c r="Z1254" t="str">
        <f>HYPERLINK("Melting_Curves/meltCurve_sp_P62906_RL10A_HUMAN_.pdf", "Melting_Curves/meltCurve_sp_P62906_RL10A_HUMAN_.pdf")</f>
        <v>Melting_Curves/meltCurve_sp_P62906_RL10A_HUMAN_.pdf</v>
      </c>
      <c r="AA1254" t="s">
        <v>12118</v>
      </c>
      <c r="AB1254" t="s">
        <v>15679</v>
      </c>
    </row>
    <row r="1255" spans="1:28" x14ac:dyDescent="0.25">
      <c r="A1255" t="s">
        <v>1259</v>
      </c>
      <c r="B1255">
        <v>0.98018197421672304</v>
      </c>
      <c r="C1255">
        <v>1.09540683858197</v>
      </c>
      <c r="D1255">
        <v>0.99211476327799097</v>
      </c>
      <c r="E1255">
        <v>0.86824883078007697</v>
      </c>
      <c r="F1255">
        <v>0.94451860904215201</v>
      </c>
      <c r="G1255">
        <v>0.81824507075811903</v>
      </c>
      <c r="H1255">
        <v>0.57750829105368395</v>
      </c>
      <c r="I1255">
        <v>0.58912135799825205</v>
      </c>
      <c r="J1255">
        <v>0.77926972561052499</v>
      </c>
      <c r="K1255">
        <v>0.90275785809988895</v>
      </c>
      <c r="L1255">
        <v>1586.8364257824901</v>
      </c>
      <c r="M1255">
        <v>29.197115664201799</v>
      </c>
      <c r="O1255">
        <v>54.096040647485303</v>
      </c>
      <c r="P1255">
        <v>-3.7912729592615303E-2</v>
      </c>
      <c r="Q1255">
        <v>0.71902517295548196</v>
      </c>
      <c r="R1255">
        <v>0.59968884828994495</v>
      </c>
      <c r="S1255" t="s">
        <v>4884</v>
      </c>
      <c r="T1255" t="s">
        <v>7256</v>
      </c>
      <c r="U1255" t="s">
        <v>7256</v>
      </c>
      <c r="V1255" t="s">
        <v>7256</v>
      </c>
      <c r="W1255">
        <v>3</v>
      </c>
      <c r="X1255" t="s">
        <v>8511</v>
      </c>
      <c r="Y1255">
        <v>0.85536739436252773</v>
      </c>
      <c r="Z1255" t="str">
        <f>HYPERLINK("Melting_Curves/meltCurve_sp_P62942_FKB1A_HUMAN_.pdf", "Melting_Curves/meltCurve_sp_P62942_FKB1A_HUMAN_.pdf")</f>
        <v>Melting_Curves/meltCurve_sp_P62942_FKB1A_HUMAN_.pdf</v>
      </c>
      <c r="AA1255" t="s">
        <v>12119</v>
      </c>
      <c r="AB1255" t="s">
        <v>15680</v>
      </c>
    </row>
    <row r="1256" spans="1:28" x14ac:dyDescent="0.25">
      <c r="A1256" t="s">
        <v>1260</v>
      </c>
      <c r="B1256">
        <v>0.98018197421672304</v>
      </c>
      <c r="C1256">
        <v>0.98235961909346103</v>
      </c>
      <c r="D1256">
        <v>0.91801287259297903</v>
      </c>
      <c r="E1256">
        <v>0.77551952702230398</v>
      </c>
      <c r="F1256">
        <v>0.77299400208471902</v>
      </c>
      <c r="G1256">
        <v>0.55402756441827605</v>
      </c>
      <c r="H1256">
        <v>0.21642363216018601</v>
      </c>
      <c r="I1256">
        <v>0.154508111508775</v>
      </c>
      <c r="J1256">
        <v>0.118940636735024</v>
      </c>
      <c r="K1256">
        <v>0.12298659942514301</v>
      </c>
      <c r="L1256">
        <v>740.01908503764503</v>
      </c>
      <c r="M1256">
        <v>13.0340747095235</v>
      </c>
      <c r="N1256">
        <v>56.775723846898501</v>
      </c>
      <c r="O1256">
        <v>55.489136701453397</v>
      </c>
      <c r="P1256">
        <v>-5.8733811855386203E-2</v>
      </c>
      <c r="Q1256">
        <v>0</v>
      </c>
      <c r="R1256">
        <v>0.98099926472752996</v>
      </c>
      <c r="S1256" t="s">
        <v>4885</v>
      </c>
      <c r="T1256" t="s">
        <v>7256</v>
      </c>
      <c r="U1256" t="s">
        <v>7256</v>
      </c>
      <c r="V1256" t="s">
        <v>7256</v>
      </c>
      <c r="W1256">
        <v>10</v>
      </c>
      <c r="X1256" t="s">
        <v>8512</v>
      </c>
      <c r="Y1256">
        <v>0.57659476825063749</v>
      </c>
      <c r="Z1256" t="str">
        <f>HYPERLINK("Melting_Curves/meltCurve_sp_P62993_GRB2_HUMAN_.pdf", "Melting_Curves/meltCurve_sp_P62993_GRB2_HUMAN_.pdf")</f>
        <v>Melting_Curves/meltCurve_sp_P62993_GRB2_HUMAN_.pdf</v>
      </c>
      <c r="AA1256" t="s">
        <v>12120</v>
      </c>
      <c r="AB1256" t="s">
        <v>15681</v>
      </c>
    </row>
    <row r="1257" spans="1:28" x14ac:dyDescent="0.25">
      <c r="A1257" t="s">
        <v>1261</v>
      </c>
      <c r="B1257">
        <v>0.98018197421672304</v>
      </c>
      <c r="C1257">
        <v>0.734507710387446</v>
      </c>
      <c r="D1257">
        <v>0.90703245957370404</v>
      </c>
      <c r="E1257">
        <v>0.83220011176728503</v>
      </c>
      <c r="F1257">
        <v>0.71943147569954302</v>
      </c>
      <c r="G1257">
        <v>0.53196153178424099</v>
      </c>
      <c r="H1257">
        <v>0.48040251045896398</v>
      </c>
      <c r="I1257">
        <v>0.47636011133282802</v>
      </c>
      <c r="J1257">
        <v>0.55451734768893601</v>
      </c>
      <c r="K1257">
        <v>0.430351892545982</v>
      </c>
      <c r="L1257">
        <v>363.46470854821303</v>
      </c>
      <c r="M1257">
        <v>6.71972059614738</v>
      </c>
      <c r="N1257">
        <v>63.916463149465997</v>
      </c>
      <c r="O1257">
        <v>49.903313524197699</v>
      </c>
      <c r="P1257">
        <v>-2.2871097252067801E-2</v>
      </c>
      <c r="Q1257">
        <v>0.32206003913922698</v>
      </c>
      <c r="R1257">
        <v>0.83501248048883103</v>
      </c>
      <c r="S1257" t="s">
        <v>4886</v>
      </c>
      <c r="T1257" t="s">
        <v>7256</v>
      </c>
      <c r="U1257" t="s">
        <v>7256</v>
      </c>
      <c r="V1257" t="s">
        <v>7256</v>
      </c>
      <c r="W1257">
        <v>3</v>
      </c>
      <c r="X1257" t="s">
        <v>8513</v>
      </c>
      <c r="Y1257">
        <v>0.66440061894479485</v>
      </c>
      <c r="Z1257" t="str">
        <f>HYPERLINK("Melting_Curves/meltCurve_sp_P62995_3_TRA2B_HUMAN_.pdf", "Melting_Curves/meltCurve_sp_P62995_3_TRA2B_HUMAN_.pdf")</f>
        <v>Melting_Curves/meltCurve_sp_P62995_3_TRA2B_HUMAN_.pdf</v>
      </c>
      <c r="AA1257" t="s">
        <v>12121</v>
      </c>
      <c r="AB1257" t="s">
        <v>15682</v>
      </c>
    </row>
    <row r="1258" spans="1:28" x14ac:dyDescent="0.25">
      <c r="A1258" t="s">
        <v>1262</v>
      </c>
      <c r="B1258">
        <v>0.98018197421672304</v>
      </c>
      <c r="C1258">
        <v>0.90603565315863099</v>
      </c>
      <c r="D1258">
        <v>0.89802658231746002</v>
      </c>
      <c r="E1258">
        <v>0.663945465448605</v>
      </c>
      <c r="F1258">
        <v>0.31916651902278298</v>
      </c>
      <c r="G1258">
        <v>6.5098419643726799E-2</v>
      </c>
      <c r="H1258">
        <v>3.8337654644301E-2</v>
      </c>
      <c r="I1258">
        <v>3.0190910461802899E-2</v>
      </c>
      <c r="J1258">
        <v>4.1908769375680402E-2</v>
      </c>
      <c r="K1258">
        <v>2.3767695310660201E-2</v>
      </c>
      <c r="L1258">
        <v>1178.9035622507899</v>
      </c>
      <c r="M1258">
        <v>23.044321004936599</v>
      </c>
      <c r="N1258">
        <v>51.2339465724218</v>
      </c>
      <c r="O1258">
        <v>50.777523419575097</v>
      </c>
      <c r="P1258">
        <v>-0.11155662308784101</v>
      </c>
      <c r="Q1258">
        <v>1.67705787151941E-2</v>
      </c>
      <c r="R1258">
        <v>0.99311944614546299</v>
      </c>
      <c r="S1258" t="s">
        <v>4887</v>
      </c>
      <c r="T1258" t="s">
        <v>7256</v>
      </c>
      <c r="U1258" t="s">
        <v>7256</v>
      </c>
      <c r="V1258" t="s">
        <v>7256</v>
      </c>
      <c r="W1258">
        <v>9</v>
      </c>
      <c r="X1258" t="s">
        <v>8514</v>
      </c>
      <c r="Y1258">
        <v>0.39289628676596311</v>
      </c>
      <c r="Z1258" t="str">
        <f>HYPERLINK("Melting_Curves/meltCurve_sp_P63000_RAC1_HUMAN_.pdf", "Melting_Curves/meltCurve_sp_P63000_RAC1_HUMAN_.pdf")</f>
        <v>Melting_Curves/meltCurve_sp_P63000_RAC1_HUMAN_.pdf</v>
      </c>
      <c r="AA1258" t="s">
        <v>12122</v>
      </c>
      <c r="AB1258" t="s">
        <v>15683</v>
      </c>
    </row>
    <row r="1259" spans="1:28" x14ac:dyDescent="0.25">
      <c r="A1259" t="s">
        <v>1263</v>
      </c>
      <c r="B1259">
        <v>0.98018197421672304</v>
      </c>
      <c r="C1259">
        <v>0.99725379626475597</v>
      </c>
      <c r="D1259">
        <v>0.95539688368651499</v>
      </c>
      <c r="E1259">
        <v>0.75000517392427102</v>
      </c>
      <c r="F1259">
        <v>0.43689197625395898</v>
      </c>
      <c r="G1259">
        <v>0.202545215407053</v>
      </c>
      <c r="H1259">
        <v>7.3890724219748696E-2</v>
      </c>
      <c r="I1259">
        <v>4.5346874930316403E-2</v>
      </c>
      <c r="J1259">
        <v>6.1535626356024199E-2</v>
      </c>
      <c r="K1259">
        <v>2.9977229806420098E-2</v>
      </c>
      <c r="L1259">
        <v>1115.1243774209099</v>
      </c>
      <c r="M1259">
        <v>21.303159669038699</v>
      </c>
      <c r="N1259">
        <v>52.530957503604903</v>
      </c>
      <c r="O1259">
        <v>51.890794464998798</v>
      </c>
      <c r="P1259">
        <v>-9.8919034446682E-2</v>
      </c>
      <c r="Q1259">
        <v>3.6226311624997398E-2</v>
      </c>
      <c r="R1259">
        <v>0.99885915348214904</v>
      </c>
      <c r="S1259" t="s">
        <v>4888</v>
      </c>
      <c r="T1259" t="s">
        <v>7256</v>
      </c>
      <c r="U1259" t="s">
        <v>7256</v>
      </c>
      <c r="V1259" t="s">
        <v>7256</v>
      </c>
      <c r="W1259">
        <v>28</v>
      </c>
      <c r="X1259" t="s">
        <v>8515</v>
      </c>
      <c r="Y1259">
        <v>0.44472915919476269</v>
      </c>
      <c r="Z1259" t="str">
        <f>HYPERLINK("Melting_Curves/meltCurve_sp_P63010_AP2B1_HUMAN_.pdf", "Melting_Curves/meltCurve_sp_P63010_AP2B1_HUMAN_.pdf")</f>
        <v>Melting_Curves/meltCurve_sp_P63010_AP2B1_HUMAN_.pdf</v>
      </c>
      <c r="AA1259" t="s">
        <v>12123</v>
      </c>
      <c r="AB1259" t="s">
        <v>15684</v>
      </c>
    </row>
    <row r="1260" spans="1:28" x14ac:dyDescent="0.25">
      <c r="A1260" t="s">
        <v>1264</v>
      </c>
      <c r="B1260">
        <v>0.98018197421672304</v>
      </c>
      <c r="C1260">
        <v>0.76437041975674802</v>
      </c>
      <c r="D1260">
        <v>0.64327109914036495</v>
      </c>
      <c r="E1260">
        <v>0.34490210007600403</v>
      </c>
      <c r="F1260">
        <v>0.18740551684221901</v>
      </c>
      <c r="G1260">
        <v>8.5538518685304293E-2</v>
      </c>
      <c r="H1260">
        <v>6.5346700061845897E-2</v>
      </c>
      <c r="I1260">
        <v>5.5035239987432399E-2</v>
      </c>
      <c r="J1260">
        <v>6.4323462909894796E-2</v>
      </c>
      <c r="K1260">
        <v>8.9770529622392403E-2</v>
      </c>
      <c r="L1260">
        <v>713.03991311710797</v>
      </c>
      <c r="M1260">
        <v>15.120879119340801</v>
      </c>
      <c r="N1260">
        <v>47.4676747825917</v>
      </c>
      <c r="O1260">
        <v>46.354288557855398</v>
      </c>
      <c r="P1260">
        <v>-7.7704144551004495E-2</v>
      </c>
      <c r="Q1260">
        <v>4.72599020838156E-2</v>
      </c>
      <c r="R1260">
        <v>0.99160557058571297</v>
      </c>
      <c r="S1260" t="s">
        <v>4889</v>
      </c>
      <c r="T1260" t="s">
        <v>7256</v>
      </c>
      <c r="U1260" t="s">
        <v>7256</v>
      </c>
      <c r="V1260" t="s">
        <v>7256</v>
      </c>
      <c r="W1260">
        <v>1</v>
      </c>
      <c r="X1260" t="s">
        <v>8516</v>
      </c>
      <c r="Y1260">
        <v>0.29974146820382302</v>
      </c>
      <c r="Z1260" t="str">
        <f>HYPERLINK("Melting_Curves/meltCurve_sp_P63096_GNAI1_HUMAN_.pdf", "Melting_Curves/meltCurve_sp_P63096_GNAI1_HUMAN_.pdf")</f>
        <v>Melting_Curves/meltCurve_sp_P63096_GNAI1_HUMAN_.pdf</v>
      </c>
      <c r="AA1260" t="s">
        <v>12124</v>
      </c>
      <c r="AB1260" t="s">
        <v>15685</v>
      </c>
    </row>
    <row r="1261" spans="1:28" x14ac:dyDescent="0.25">
      <c r="A1261" t="s">
        <v>1265</v>
      </c>
      <c r="B1261">
        <v>0.98018197421672304</v>
      </c>
      <c r="C1261">
        <v>0.94853470431766695</v>
      </c>
      <c r="D1261">
        <v>0.93181161984651595</v>
      </c>
      <c r="E1261">
        <v>0.84334534005515405</v>
      </c>
      <c r="F1261">
        <v>0.81540466672407197</v>
      </c>
      <c r="G1261">
        <v>0.69033816708389595</v>
      </c>
      <c r="H1261">
        <v>0.352889702235469</v>
      </c>
      <c r="I1261">
        <v>8.8630498484695397E-2</v>
      </c>
      <c r="J1261">
        <v>7.4168845690343002E-2</v>
      </c>
      <c r="K1261">
        <v>5.7412885160444203E-2</v>
      </c>
      <c r="L1261">
        <v>1027.6873119376601</v>
      </c>
      <c r="M1261">
        <v>17.5843864061255</v>
      </c>
      <c r="N1261">
        <v>58.443172555973</v>
      </c>
      <c r="O1261">
        <v>57.703047032175</v>
      </c>
      <c r="P1261">
        <v>-7.6188947761983802E-2</v>
      </c>
      <c r="Q1261">
        <v>0</v>
      </c>
      <c r="R1261">
        <v>0.97396969371576303</v>
      </c>
      <c r="S1261" t="s">
        <v>4890</v>
      </c>
      <c r="T1261" t="s">
        <v>7256</v>
      </c>
      <c r="U1261" t="s">
        <v>7256</v>
      </c>
      <c r="V1261" t="s">
        <v>7256</v>
      </c>
      <c r="W1261">
        <v>21</v>
      </c>
      <c r="X1261" t="s">
        <v>8517</v>
      </c>
      <c r="Y1261">
        <v>0.62655150742220889</v>
      </c>
      <c r="Z1261" t="str">
        <f>HYPERLINK("Melting_Curves/meltCurve_sp_P63104_1433Z_HUMAN_.pdf", "Melting_Curves/meltCurve_sp_P63104_1433Z_HUMAN_.pdf")</f>
        <v>Melting_Curves/meltCurve_sp_P63104_1433Z_HUMAN_.pdf</v>
      </c>
      <c r="AA1261" t="s">
        <v>12125</v>
      </c>
      <c r="AB1261" t="s">
        <v>15686</v>
      </c>
    </row>
    <row r="1262" spans="1:28" x14ac:dyDescent="0.25">
      <c r="A1262" t="s">
        <v>1266</v>
      </c>
      <c r="B1262">
        <v>0.98018197421672304</v>
      </c>
      <c r="C1262">
        <v>0.861485318796824</v>
      </c>
      <c r="D1262">
        <v>0.84667166071545097</v>
      </c>
      <c r="E1262">
        <v>0.66262629079221702</v>
      </c>
      <c r="F1262">
        <v>0.53500627279500301</v>
      </c>
      <c r="G1262">
        <v>0.18454432850522201</v>
      </c>
      <c r="H1262">
        <v>5.7203920830719401E-2</v>
      </c>
      <c r="I1262">
        <v>4.7951952815963698E-2</v>
      </c>
      <c r="J1262">
        <v>4.6253288039071798E-2</v>
      </c>
      <c r="K1262">
        <v>5.3429106107978797E-2</v>
      </c>
      <c r="L1262">
        <v>749.90669385921206</v>
      </c>
      <c r="M1262">
        <v>14.345631743427401</v>
      </c>
      <c r="N1262">
        <v>52.274243335780199</v>
      </c>
      <c r="O1262">
        <v>51.289918146067102</v>
      </c>
      <c r="P1262">
        <v>-6.9932640836475005E-2</v>
      </c>
      <c r="Q1262">
        <v>0</v>
      </c>
      <c r="R1262">
        <v>0.98227432602713605</v>
      </c>
      <c r="S1262" t="s">
        <v>4891</v>
      </c>
      <c r="T1262" t="s">
        <v>7256</v>
      </c>
      <c r="U1262" t="s">
        <v>7256</v>
      </c>
      <c r="V1262" t="s">
        <v>7256</v>
      </c>
      <c r="W1262">
        <v>5</v>
      </c>
      <c r="X1262" t="s">
        <v>8518</v>
      </c>
      <c r="Y1262">
        <v>0.43277722398287799</v>
      </c>
      <c r="Z1262" t="str">
        <f>HYPERLINK("Melting_Curves/meltCurve_sp_P63151_2ABA_HUMAN_.pdf", "Melting_Curves/meltCurve_sp_P63151_2ABA_HUMAN_.pdf")</f>
        <v>Melting_Curves/meltCurve_sp_P63151_2ABA_HUMAN_.pdf</v>
      </c>
      <c r="AA1262" t="s">
        <v>12126</v>
      </c>
      <c r="AB1262" t="s">
        <v>15687</v>
      </c>
    </row>
    <row r="1263" spans="1:28" x14ac:dyDescent="0.25">
      <c r="A1263" t="s">
        <v>1267</v>
      </c>
      <c r="B1263">
        <v>0.98018197421672304</v>
      </c>
      <c r="C1263">
        <v>0.90179167766143298</v>
      </c>
      <c r="D1263">
        <v>0.68912951140476997</v>
      </c>
      <c r="E1263">
        <v>0.34331330243165498</v>
      </c>
      <c r="F1263">
        <v>0.19985434787391801</v>
      </c>
      <c r="G1263">
        <v>0.13218020598733499</v>
      </c>
      <c r="H1263">
        <v>0.101253014524279</v>
      </c>
      <c r="I1263">
        <v>7.24420141503829E-2</v>
      </c>
      <c r="J1263">
        <v>0.10578824494233099</v>
      </c>
      <c r="K1263">
        <v>6.9878458604547097E-2</v>
      </c>
      <c r="L1263">
        <v>906.47164624228697</v>
      </c>
      <c r="M1263">
        <v>19.035479709710799</v>
      </c>
      <c r="N1263">
        <v>48.078092968535302</v>
      </c>
      <c r="O1263">
        <v>47.103911157613801</v>
      </c>
      <c r="P1263">
        <v>-9.2655611481853098E-2</v>
      </c>
      <c r="Q1263">
        <v>8.2919255240660697E-2</v>
      </c>
      <c r="R1263">
        <v>0.99907589354432003</v>
      </c>
      <c r="S1263" t="s">
        <v>4892</v>
      </c>
      <c r="T1263" t="s">
        <v>7256</v>
      </c>
      <c r="U1263" t="s">
        <v>7256</v>
      </c>
      <c r="V1263" t="s">
        <v>7256</v>
      </c>
      <c r="W1263">
        <v>8</v>
      </c>
      <c r="X1263" t="s">
        <v>8519</v>
      </c>
      <c r="Y1263">
        <v>0.33048618337945462</v>
      </c>
      <c r="Z1263" t="str">
        <f>HYPERLINK("Melting_Curves/meltCurve_sp_P63244_GBLP_HUMAN_.pdf", "Melting_Curves/meltCurve_sp_P63244_GBLP_HUMAN_.pdf")</f>
        <v>Melting_Curves/meltCurve_sp_P63244_GBLP_HUMAN_.pdf</v>
      </c>
      <c r="AA1263" t="s">
        <v>12127</v>
      </c>
      <c r="AB1263" t="s">
        <v>15688</v>
      </c>
    </row>
    <row r="1264" spans="1:28" x14ac:dyDescent="0.25">
      <c r="A1264" t="s">
        <v>1268</v>
      </c>
      <c r="B1264">
        <v>0.98018197421672304</v>
      </c>
      <c r="C1264">
        <v>0.81496830046114099</v>
      </c>
      <c r="D1264">
        <v>0.49926310748977898</v>
      </c>
      <c r="E1264">
        <v>0.20862323713990799</v>
      </c>
      <c r="F1264">
        <v>0.13509972398720699</v>
      </c>
      <c r="G1264">
        <v>9.8068650889944806E-2</v>
      </c>
      <c r="H1264">
        <v>4.9989307612768298E-2</v>
      </c>
      <c r="I1264">
        <v>3.7209453273054E-2</v>
      </c>
      <c r="J1264">
        <v>9.0010028062819006E-2</v>
      </c>
      <c r="K1264">
        <v>8.2879631079429597E-2</v>
      </c>
      <c r="L1264">
        <v>961.35799521845797</v>
      </c>
      <c r="M1264">
        <v>21.011938499256399</v>
      </c>
      <c r="N1264">
        <v>46.0832639828852</v>
      </c>
      <c r="O1264">
        <v>45.344548900442398</v>
      </c>
      <c r="P1264">
        <v>-0.107750577909335</v>
      </c>
      <c r="Q1264">
        <v>6.9905313564762497E-2</v>
      </c>
      <c r="R1264">
        <v>0.99677807304439903</v>
      </c>
      <c r="S1264" t="s">
        <v>4893</v>
      </c>
      <c r="T1264" t="s">
        <v>7256</v>
      </c>
      <c r="U1264" t="s">
        <v>7256</v>
      </c>
      <c r="V1264" t="s">
        <v>7256</v>
      </c>
      <c r="W1264">
        <v>28</v>
      </c>
      <c r="X1264" t="s">
        <v>8520</v>
      </c>
      <c r="Y1264">
        <v>0.26133200267338841</v>
      </c>
      <c r="Z1264" t="str">
        <f>HYPERLINK("Melting_Curves/meltCurve_sp_P63261_ACTG_HUMAN_.pdf", "Melting_Curves/meltCurve_sp_P63261_ACTG_HUMAN_.pdf")</f>
        <v>Melting_Curves/meltCurve_sp_P63261_ACTG_HUMAN_.pdf</v>
      </c>
      <c r="AA1264" t="s">
        <v>12128</v>
      </c>
      <c r="AB1264" t="s">
        <v>15689</v>
      </c>
    </row>
    <row r="1265" spans="1:28" x14ac:dyDescent="0.25">
      <c r="A1265" t="s">
        <v>1269</v>
      </c>
      <c r="B1265">
        <v>0.98018197421672304</v>
      </c>
      <c r="C1265">
        <v>0.72695596882236602</v>
      </c>
      <c r="D1265">
        <v>1.0190835947561201</v>
      </c>
      <c r="E1265">
        <v>0.80332255871361502</v>
      </c>
      <c r="F1265">
        <v>0.880048465275168</v>
      </c>
      <c r="G1265">
        <v>0.45979816016351799</v>
      </c>
      <c r="H1265">
        <v>0.29274680103483403</v>
      </c>
      <c r="I1265">
        <v>0.33516572352676299</v>
      </c>
      <c r="J1265">
        <v>0.18852343481047201</v>
      </c>
      <c r="K1265">
        <v>0.268359222965254</v>
      </c>
      <c r="L1265">
        <v>1124.84503490529</v>
      </c>
      <c r="M1265">
        <v>20.328716335717701</v>
      </c>
      <c r="N1265">
        <v>57.003194755358898</v>
      </c>
      <c r="O1265">
        <v>54.805716247534598</v>
      </c>
      <c r="P1265">
        <v>-7.1923218085560903E-2</v>
      </c>
      <c r="Q1265">
        <v>0.224410805615821</v>
      </c>
      <c r="R1265">
        <v>0.87944816830654204</v>
      </c>
      <c r="S1265" t="s">
        <v>4894</v>
      </c>
      <c r="T1265" t="s">
        <v>7256</v>
      </c>
      <c r="U1265" t="s">
        <v>7256</v>
      </c>
      <c r="V1265" t="s">
        <v>7256</v>
      </c>
      <c r="W1265">
        <v>1</v>
      </c>
      <c r="X1265" t="s">
        <v>8521</v>
      </c>
      <c r="Y1265">
        <v>0.63079817551464601</v>
      </c>
      <c r="Z1265" t="str">
        <f>HYPERLINK("Melting_Curves/meltCurve_sp_P63302_SELW_HUMAN_.pdf", "Melting_Curves/meltCurve_sp_P63302_SELW_HUMAN_.pdf")</f>
        <v>Melting_Curves/meltCurve_sp_P63302_SELW_HUMAN_.pdf</v>
      </c>
      <c r="AA1265" t="s">
        <v>12129</v>
      </c>
      <c r="AB1265" t="s">
        <v>15690</v>
      </c>
    </row>
    <row r="1266" spans="1:28" x14ac:dyDescent="0.25">
      <c r="A1266" t="s">
        <v>1270</v>
      </c>
      <c r="B1266">
        <v>0.98018197421672304</v>
      </c>
      <c r="C1266">
        <v>0.92867577344993801</v>
      </c>
      <c r="D1266">
        <v>0.92682024759840897</v>
      </c>
      <c r="E1266">
        <v>0.85924275920635895</v>
      </c>
      <c r="F1266">
        <v>0.902340029594076</v>
      </c>
      <c r="G1266">
        <v>0.87752112614939604</v>
      </c>
      <c r="H1266">
        <v>0.57551783244641297</v>
      </c>
      <c r="I1266">
        <v>0.59465041441863398</v>
      </c>
      <c r="J1266">
        <v>0.68939738040352405</v>
      </c>
      <c r="K1266">
        <v>0.90045460200442995</v>
      </c>
      <c r="L1266">
        <v>611.49108316980096</v>
      </c>
      <c r="M1266">
        <v>11.7671444657107</v>
      </c>
      <c r="O1266">
        <v>50.533269030963602</v>
      </c>
      <c r="P1266">
        <v>-1.7753007533065301E-2</v>
      </c>
      <c r="Q1266">
        <v>0.69512254867246204</v>
      </c>
      <c r="R1266">
        <v>0.48264404258812299</v>
      </c>
      <c r="S1266" t="s">
        <v>4895</v>
      </c>
      <c r="T1266" t="s">
        <v>7256</v>
      </c>
      <c r="U1266" t="s">
        <v>7256</v>
      </c>
      <c r="V1266" t="s">
        <v>7256</v>
      </c>
      <c r="W1266">
        <v>6</v>
      </c>
      <c r="X1266" t="s">
        <v>8522</v>
      </c>
      <c r="Y1266">
        <v>0.82631643473867011</v>
      </c>
      <c r="Z1266" t="str">
        <f>HYPERLINK("Melting_Curves/meltCurve_sp_P63313_TYB10_HUMAN_.pdf", "Melting_Curves/meltCurve_sp_P63313_TYB10_HUMAN_.pdf")</f>
        <v>Melting_Curves/meltCurve_sp_P63313_TYB10_HUMAN_.pdf</v>
      </c>
      <c r="AA1266" t="s">
        <v>12130</v>
      </c>
      <c r="AB1266" t="s">
        <v>15691</v>
      </c>
    </row>
    <row r="1267" spans="1:28" x14ac:dyDescent="0.25">
      <c r="A1267" t="s">
        <v>1271</v>
      </c>
      <c r="B1267">
        <v>0.98018197421672304</v>
      </c>
      <c r="C1267">
        <v>1.02751454712922</v>
      </c>
      <c r="D1267">
        <v>1.21761510237541</v>
      </c>
      <c r="E1267">
        <v>1.0698589502635001</v>
      </c>
      <c r="F1267">
        <v>1.1280252213284501</v>
      </c>
      <c r="G1267">
        <v>0.859674948673257</v>
      </c>
      <c r="H1267">
        <v>0.49021597424018398</v>
      </c>
      <c r="I1267">
        <v>0.232473053360193</v>
      </c>
      <c r="J1267">
        <v>0.133471436143897</v>
      </c>
      <c r="K1267">
        <v>0.10613433673295899</v>
      </c>
      <c r="L1267">
        <v>1951.67080662854</v>
      </c>
      <c r="M1267">
        <v>32.278550909349597</v>
      </c>
      <c r="N1267">
        <v>60.875427280042402</v>
      </c>
      <c r="O1267">
        <v>60.232748487571001</v>
      </c>
      <c r="P1267">
        <v>-0.120827922280591</v>
      </c>
      <c r="Q1267">
        <v>9.8130283446983504E-2</v>
      </c>
      <c r="R1267">
        <v>0.95758194887745396</v>
      </c>
      <c r="S1267" t="s">
        <v>4896</v>
      </c>
      <c r="T1267" t="s">
        <v>7256</v>
      </c>
      <c r="U1267" t="s">
        <v>7256</v>
      </c>
      <c r="V1267" t="s">
        <v>7256</v>
      </c>
      <c r="W1267">
        <v>11</v>
      </c>
      <c r="X1267" t="s">
        <v>8523</v>
      </c>
      <c r="Y1267">
        <v>0.71812732104848054</v>
      </c>
      <c r="Z1267" t="str">
        <f>HYPERLINK("Melting_Curves/meltCurve_sp_P67775_PP2AA_HUMAN_.pdf", "Melting_Curves/meltCurve_sp_P67775_PP2AA_HUMAN_.pdf")</f>
        <v>Melting_Curves/meltCurve_sp_P67775_PP2AA_HUMAN_.pdf</v>
      </c>
      <c r="AA1267" t="s">
        <v>12131</v>
      </c>
      <c r="AB1267" t="s">
        <v>15692</v>
      </c>
    </row>
    <row r="1268" spans="1:28" x14ac:dyDescent="0.25">
      <c r="A1268" t="s">
        <v>1272</v>
      </c>
      <c r="B1268">
        <v>0.98018197421672304</v>
      </c>
      <c r="C1268">
        <v>0.88242066162112798</v>
      </c>
      <c r="D1268">
        <v>0.87576475874919002</v>
      </c>
      <c r="E1268">
        <v>0.79557453467160799</v>
      </c>
      <c r="F1268">
        <v>0.70698410483282503</v>
      </c>
      <c r="G1268">
        <v>0.61787728387368002</v>
      </c>
      <c r="H1268">
        <v>0.52157930169378197</v>
      </c>
      <c r="I1268">
        <v>0.54246678819701299</v>
      </c>
      <c r="J1268">
        <v>0.53003110259349195</v>
      </c>
      <c r="K1268">
        <v>0.56125478386355698</v>
      </c>
      <c r="L1268">
        <v>508.96544325335702</v>
      </c>
      <c r="M1268">
        <v>10.000963037047001</v>
      </c>
      <c r="O1268">
        <v>48.982399902874299</v>
      </c>
      <c r="P1268">
        <v>-2.6016494927888299E-2</v>
      </c>
      <c r="Q1268">
        <v>0.49055663633760799</v>
      </c>
      <c r="R1268">
        <v>0.97090682154434804</v>
      </c>
      <c r="S1268" t="s">
        <v>4897</v>
      </c>
      <c r="T1268" t="s">
        <v>7256</v>
      </c>
      <c r="U1268" t="s">
        <v>7256</v>
      </c>
      <c r="V1268" t="s">
        <v>7256</v>
      </c>
      <c r="W1268">
        <v>5</v>
      </c>
      <c r="X1268" t="s">
        <v>8524</v>
      </c>
      <c r="Y1268">
        <v>0.69689699442635911</v>
      </c>
      <c r="Z1268" t="str">
        <f>HYPERLINK("Melting_Curves/meltCurve_sp_P67809_YBOX1_HUMAN_.pdf", "Melting_Curves/meltCurve_sp_P67809_YBOX1_HUMAN_.pdf")</f>
        <v>Melting_Curves/meltCurve_sp_P67809_YBOX1_HUMAN_.pdf</v>
      </c>
      <c r="AA1268" t="s">
        <v>12132</v>
      </c>
      <c r="AB1268" t="s">
        <v>15693</v>
      </c>
    </row>
    <row r="1269" spans="1:28" x14ac:dyDescent="0.25">
      <c r="A1269" t="s">
        <v>1273</v>
      </c>
      <c r="B1269">
        <v>0.98018197421672304</v>
      </c>
      <c r="C1269">
        <v>1.0182492730125401</v>
      </c>
      <c r="D1269">
        <v>0.90279376847128401</v>
      </c>
      <c r="E1269">
        <v>0.65204991951105495</v>
      </c>
      <c r="F1269">
        <v>0.37062262629590098</v>
      </c>
      <c r="G1269">
        <v>0.12314637267044599</v>
      </c>
      <c r="H1269">
        <v>6.1672908295753198E-2</v>
      </c>
      <c r="I1269">
        <v>4.6046418415208297E-2</v>
      </c>
      <c r="J1269">
        <v>5.73259846206573E-2</v>
      </c>
      <c r="K1269">
        <v>4.1643234700805797E-2</v>
      </c>
      <c r="L1269">
        <v>1096.2082439148101</v>
      </c>
      <c r="M1269">
        <v>21.3620862193523</v>
      </c>
      <c r="N1269">
        <v>51.496390819587802</v>
      </c>
      <c r="O1269">
        <v>50.872256610847501</v>
      </c>
      <c r="P1269">
        <v>-0.10118904228289299</v>
      </c>
      <c r="Q1269">
        <v>3.6126724107412897E-2</v>
      </c>
      <c r="R1269">
        <v>0.99845047973248602</v>
      </c>
      <c r="S1269" t="s">
        <v>4898</v>
      </c>
      <c r="T1269" t="s">
        <v>7256</v>
      </c>
      <c r="U1269" t="s">
        <v>7256</v>
      </c>
      <c r="V1269" t="s">
        <v>7256</v>
      </c>
      <c r="W1269">
        <v>3</v>
      </c>
      <c r="X1269" t="s">
        <v>8525</v>
      </c>
      <c r="Y1269">
        <v>0.41150885870148812</v>
      </c>
      <c r="Z1269" t="str">
        <f>HYPERLINK("Melting_Curves/meltCurve_sp_P67870_CSK2B_HUMAN_.pdf", "Melting_Curves/meltCurve_sp_P67870_CSK2B_HUMAN_.pdf")</f>
        <v>Melting_Curves/meltCurve_sp_P67870_CSK2B_HUMAN_.pdf</v>
      </c>
      <c r="AA1269" t="s">
        <v>12133</v>
      </c>
      <c r="AB1269" t="s">
        <v>15694</v>
      </c>
    </row>
    <row r="1270" spans="1:28" x14ac:dyDescent="0.25">
      <c r="A1270" t="s">
        <v>1274</v>
      </c>
      <c r="B1270">
        <v>0.98018197421672304</v>
      </c>
      <c r="C1270">
        <v>0.92125696802198398</v>
      </c>
      <c r="D1270">
        <v>0.881451993355162</v>
      </c>
      <c r="E1270">
        <v>0.74739187666330498</v>
      </c>
      <c r="F1270">
        <v>0.71533042454639895</v>
      </c>
      <c r="G1270">
        <v>0.55086450999909098</v>
      </c>
      <c r="H1270">
        <v>0.51154738792061305</v>
      </c>
      <c r="I1270">
        <v>0.50776218620344704</v>
      </c>
      <c r="J1270">
        <v>0.42804333672351103</v>
      </c>
      <c r="K1270">
        <v>0.68301983088237805</v>
      </c>
      <c r="L1270">
        <v>690.342005767199</v>
      </c>
      <c r="M1270">
        <v>13.8739546528357</v>
      </c>
      <c r="O1270">
        <v>48.758564343326</v>
      </c>
      <c r="P1270">
        <v>-3.4499129165820999E-2</v>
      </c>
      <c r="Q1270">
        <v>0.51509215271292697</v>
      </c>
      <c r="R1270">
        <v>0.87026578672361099</v>
      </c>
      <c r="S1270" t="s">
        <v>4899</v>
      </c>
      <c r="T1270" t="s">
        <v>7256</v>
      </c>
      <c r="U1270" t="s">
        <v>7256</v>
      </c>
      <c r="V1270" t="s">
        <v>7256</v>
      </c>
      <c r="W1270">
        <v>21</v>
      </c>
      <c r="X1270" t="s">
        <v>8526</v>
      </c>
      <c r="Y1270">
        <v>0.68619539316436906</v>
      </c>
      <c r="Z1270" t="str">
        <f>HYPERLINK("Melting_Curves/meltCurve_sp_P67936_TPM4_HUMAN_.pdf", "Melting_Curves/meltCurve_sp_P67936_TPM4_HUMAN_.pdf")</f>
        <v>Melting_Curves/meltCurve_sp_P67936_TPM4_HUMAN_.pdf</v>
      </c>
      <c r="AA1270" t="s">
        <v>12134</v>
      </c>
      <c r="AB1270" t="s">
        <v>15695</v>
      </c>
    </row>
    <row r="1271" spans="1:28" x14ac:dyDescent="0.25">
      <c r="A1271" t="s">
        <v>1275</v>
      </c>
      <c r="B1271">
        <v>0.98018197421672304</v>
      </c>
      <c r="C1271">
        <v>0.88124594566502501</v>
      </c>
      <c r="D1271">
        <v>0.85795732857009199</v>
      </c>
      <c r="E1271">
        <v>0.72930371499910096</v>
      </c>
      <c r="F1271">
        <v>0.856699592676476</v>
      </c>
      <c r="G1271">
        <v>0.74366417036034504</v>
      </c>
      <c r="H1271">
        <v>0.77362731486216596</v>
      </c>
      <c r="I1271">
        <v>0.62402319996125899</v>
      </c>
      <c r="J1271">
        <v>0.41377631319663599</v>
      </c>
      <c r="K1271">
        <v>0.37952261751502703</v>
      </c>
      <c r="L1271">
        <v>332.15734884335302</v>
      </c>
      <c r="M1271">
        <v>4.9223475568491599</v>
      </c>
      <c r="N1271">
        <v>67.479461839919793</v>
      </c>
      <c r="O1271">
        <v>58.6769112598231</v>
      </c>
      <c r="P1271">
        <v>-2.1107828166911698E-2</v>
      </c>
      <c r="Q1271">
        <v>0</v>
      </c>
      <c r="R1271">
        <v>0.81551829866885295</v>
      </c>
      <c r="S1271" t="s">
        <v>4900</v>
      </c>
      <c r="T1271" t="s">
        <v>7256</v>
      </c>
      <c r="U1271" t="s">
        <v>7256</v>
      </c>
      <c r="V1271" t="s">
        <v>7256</v>
      </c>
      <c r="W1271">
        <v>7</v>
      </c>
      <c r="X1271" t="s">
        <v>8527</v>
      </c>
      <c r="Y1271">
        <v>0.73902546685939341</v>
      </c>
      <c r="Z1271" t="str">
        <f>HYPERLINK("Melting_Curves/meltCurve_sp_P68036_UB2L3_HUMAN_.pdf", "Melting_Curves/meltCurve_sp_P68036_UB2L3_HUMAN_.pdf")</f>
        <v>Melting_Curves/meltCurve_sp_P68036_UB2L3_HUMAN_.pdf</v>
      </c>
      <c r="AA1271" t="s">
        <v>12135</v>
      </c>
      <c r="AB1271" t="s">
        <v>15696</v>
      </c>
    </row>
    <row r="1272" spans="1:28" x14ac:dyDescent="0.25">
      <c r="A1272" t="s">
        <v>1276</v>
      </c>
      <c r="B1272">
        <v>0.98018197421672304</v>
      </c>
      <c r="C1272">
        <v>1.0366057858800699</v>
      </c>
      <c r="D1272">
        <v>0.62386583672238904</v>
      </c>
      <c r="E1272">
        <v>0.24806774594951</v>
      </c>
      <c r="F1272">
        <v>0.132971302075995</v>
      </c>
      <c r="G1272">
        <v>9.9406479440883905E-2</v>
      </c>
      <c r="H1272">
        <v>7.4029952992871698E-2</v>
      </c>
      <c r="I1272">
        <v>5.8510029558317501E-2</v>
      </c>
      <c r="J1272">
        <v>6.4025530524696603E-2</v>
      </c>
      <c r="K1272">
        <v>4.9656815320130498E-2</v>
      </c>
      <c r="L1272">
        <v>1302.8499153120999</v>
      </c>
      <c r="M1272">
        <v>27.729645220326098</v>
      </c>
      <c r="N1272">
        <v>47.256459863343103</v>
      </c>
      <c r="O1272">
        <v>46.741696216163398</v>
      </c>
      <c r="P1272">
        <v>-0.13735810061574699</v>
      </c>
      <c r="Q1272">
        <v>7.3872980750939704E-2</v>
      </c>
      <c r="R1272">
        <v>0.98961509873803599</v>
      </c>
      <c r="S1272" t="s">
        <v>4901</v>
      </c>
      <c r="T1272" t="s">
        <v>7256</v>
      </c>
      <c r="U1272" t="s">
        <v>7256</v>
      </c>
      <c r="V1272" t="s">
        <v>7256</v>
      </c>
      <c r="W1272">
        <v>18</v>
      </c>
      <c r="X1272" t="s">
        <v>8528</v>
      </c>
      <c r="Y1272">
        <v>0.29606463454691678</v>
      </c>
      <c r="Z1272" t="str">
        <f>HYPERLINK("Melting_Curves/meltCurve_sp_P68133_ACTS_HUMAN_.pdf", "Melting_Curves/meltCurve_sp_P68133_ACTS_HUMAN_.pdf")</f>
        <v>Melting_Curves/meltCurve_sp_P68133_ACTS_HUMAN_.pdf</v>
      </c>
      <c r="AA1272" t="s">
        <v>12136</v>
      </c>
      <c r="AB1272" t="s">
        <v>15697</v>
      </c>
    </row>
    <row r="1273" spans="1:28" x14ac:dyDescent="0.25">
      <c r="A1273" t="s">
        <v>1277</v>
      </c>
      <c r="B1273">
        <v>0.98018197421672304</v>
      </c>
      <c r="C1273">
        <v>0.86262871617133097</v>
      </c>
      <c r="D1273">
        <v>0.65556234402555202</v>
      </c>
      <c r="E1273">
        <v>0.40439449995390397</v>
      </c>
      <c r="F1273">
        <v>0.22540448710836</v>
      </c>
      <c r="G1273">
        <v>0.13843042912609199</v>
      </c>
      <c r="H1273">
        <v>7.9465931318220606E-2</v>
      </c>
      <c r="I1273">
        <v>6.5264004252601301E-2</v>
      </c>
      <c r="J1273">
        <v>7.1760872957924396E-2</v>
      </c>
      <c r="K1273">
        <v>4.9820852862458201E-2</v>
      </c>
      <c r="L1273">
        <v>715.72473846028299</v>
      </c>
      <c r="M1273">
        <v>14.9063023805464</v>
      </c>
      <c r="N1273">
        <v>48.337097888545401</v>
      </c>
      <c r="O1273">
        <v>47.175612936608601</v>
      </c>
      <c r="P1273">
        <v>-7.5265672237314604E-2</v>
      </c>
      <c r="Q1273">
        <v>4.7292446898878703E-2</v>
      </c>
      <c r="R1273">
        <v>0.99850583550233996</v>
      </c>
      <c r="S1273" t="s">
        <v>4902</v>
      </c>
      <c r="T1273" t="s">
        <v>7256</v>
      </c>
      <c r="U1273" t="s">
        <v>7256</v>
      </c>
      <c r="V1273" t="s">
        <v>7256</v>
      </c>
      <c r="W1273">
        <v>14</v>
      </c>
      <c r="X1273" t="s">
        <v>8529</v>
      </c>
      <c r="Y1273">
        <v>0.3266255920649625</v>
      </c>
      <c r="Z1273" t="str">
        <f>HYPERLINK("Melting_Curves/meltCurve_sp_P68363_TBA1B_HUMAN_.pdf", "Melting_Curves/meltCurve_sp_P68363_TBA1B_HUMAN_.pdf")</f>
        <v>Melting_Curves/meltCurve_sp_P68363_TBA1B_HUMAN_.pdf</v>
      </c>
      <c r="AA1273" t="s">
        <v>12137</v>
      </c>
      <c r="AB1273" t="s">
        <v>15698</v>
      </c>
    </row>
    <row r="1274" spans="1:28" x14ac:dyDescent="0.25">
      <c r="A1274" t="s">
        <v>1278</v>
      </c>
      <c r="B1274">
        <v>0.98018197421672304</v>
      </c>
      <c r="C1274">
        <v>0.81968632947692799</v>
      </c>
      <c r="D1274">
        <v>0.59918283271040795</v>
      </c>
      <c r="E1274">
        <v>0.33672000267336799</v>
      </c>
      <c r="F1274">
        <v>0.159071573426142</v>
      </c>
      <c r="G1274">
        <v>8.5216395591448599E-2</v>
      </c>
      <c r="H1274">
        <v>5.3446789253803202E-2</v>
      </c>
      <c r="I1274">
        <v>4.72877854161394E-2</v>
      </c>
      <c r="J1274">
        <v>5.3586734110121402E-2</v>
      </c>
      <c r="K1274">
        <v>4.3262670501262E-2</v>
      </c>
      <c r="L1274">
        <v>754.43027268759397</v>
      </c>
      <c r="M1274">
        <v>16.010456933862699</v>
      </c>
      <c r="N1274">
        <v>47.3359999968241</v>
      </c>
      <c r="O1274">
        <v>46.404379295195</v>
      </c>
      <c r="P1274">
        <v>-8.3238048615642907E-2</v>
      </c>
      <c r="Q1274">
        <v>3.5054127683391202E-2</v>
      </c>
      <c r="R1274">
        <v>0.99770523350921403</v>
      </c>
      <c r="S1274" t="s">
        <v>4903</v>
      </c>
      <c r="T1274" t="s">
        <v>7256</v>
      </c>
      <c r="U1274" t="s">
        <v>7256</v>
      </c>
      <c r="V1274" t="s">
        <v>7256</v>
      </c>
      <c r="W1274">
        <v>20</v>
      </c>
      <c r="X1274" t="s">
        <v>8530</v>
      </c>
      <c r="Y1274">
        <v>0.28683344688881629</v>
      </c>
      <c r="Z1274" t="str">
        <f>HYPERLINK("Melting_Curves/meltCurve_sp_P68371_TBB4B_HUMAN_.pdf", "Melting_Curves/meltCurve_sp_P68371_TBB4B_HUMAN_.pdf")</f>
        <v>Melting_Curves/meltCurve_sp_P68371_TBB4B_HUMAN_.pdf</v>
      </c>
      <c r="AA1274" t="s">
        <v>12138</v>
      </c>
      <c r="AB1274" t="s">
        <v>15699</v>
      </c>
    </row>
    <row r="1275" spans="1:28" x14ac:dyDescent="0.25">
      <c r="A1275" t="s">
        <v>1279</v>
      </c>
      <c r="B1275">
        <v>0.98018197421672304</v>
      </c>
      <c r="C1275">
        <v>0.98790170529491605</v>
      </c>
      <c r="D1275">
        <v>1.0399493027567399</v>
      </c>
      <c r="E1275">
        <v>0.98540299483419003</v>
      </c>
      <c r="F1275">
        <v>0.92138128209190295</v>
      </c>
      <c r="G1275">
        <v>0.64986300558244703</v>
      </c>
      <c r="H1275">
        <v>0.49951439381087098</v>
      </c>
      <c r="I1275">
        <v>0.35550585070829399</v>
      </c>
      <c r="J1275">
        <v>0.336375464470206</v>
      </c>
      <c r="K1275">
        <v>0.211037965807406</v>
      </c>
      <c r="L1275">
        <v>1019.46238967727</v>
      </c>
      <c r="M1275">
        <v>17.3978051578489</v>
      </c>
      <c r="N1275">
        <v>60.5015003034868</v>
      </c>
      <c r="O1275">
        <v>57.839449750195598</v>
      </c>
      <c r="P1275">
        <v>-5.9347595412267397E-2</v>
      </c>
      <c r="Q1275">
        <v>0.21083411179407499</v>
      </c>
      <c r="R1275">
        <v>0.98813436243763197</v>
      </c>
      <c r="S1275" t="s">
        <v>4904</v>
      </c>
      <c r="T1275" t="s">
        <v>7256</v>
      </c>
      <c r="U1275" t="s">
        <v>7256</v>
      </c>
      <c r="V1275" t="s">
        <v>7256</v>
      </c>
      <c r="W1275">
        <v>1</v>
      </c>
      <c r="X1275" t="s">
        <v>8531</v>
      </c>
      <c r="Y1275">
        <v>0.7091438676311298</v>
      </c>
      <c r="Z1275" t="str">
        <f>HYPERLINK("Melting_Curves/meltCurve_sp_P68402_PA1B2_HUMAN_.pdf", "Melting_Curves/meltCurve_sp_P68402_PA1B2_HUMAN_.pdf")</f>
        <v>Melting_Curves/meltCurve_sp_P68402_PA1B2_HUMAN_.pdf</v>
      </c>
      <c r="AA1275" t="s">
        <v>12139</v>
      </c>
      <c r="AB1275" t="s">
        <v>15700</v>
      </c>
    </row>
    <row r="1276" spans="1:28" x14ac:dyDescent="0.25">
      <c r="A1276" t="s">
        <v>1280</v>
      </c>
      <c r="B1276">
        <v>0.98018197421672304</v>
      </c>
      <c r="C1276">
        <v>0.98263104661938405</v>
      </c>
      <c r="D1276">
        <v>0.79284751190714797</v>
      </c>
      <c r="E1276">
        <v>0.67092983753117597</v>
      </c>
      <c r="F1276">
        <v>0.45275772675174902</v>
      </c>
      <c r="G1276">
        <v>0.23802267662037899</v>
      </c>
      <c r="H1276">
        <v>0.18274232217578801</v>
      </c>
      <c r="I1276">
        <v>0.10688842889455299</v>
      </c>
      <c r="J1276">
        <v>7.8613196507206495E-2</v>
      </c>
      <c r="K1276">
        <v>0.17511631200418301</v>
      </c>
      <c r="L1276">
        <v>743.59525060238695</v>
      </c>
      <c r="M1276">
        <v>14.4807400744111</v>
      </c>
      <c r="N1276">
        <v>52.051449813786299</v>
      </c>
      <c r="O1276">
        <v>50.401119907332699</v>
      </c>
      <c r="P1276">
        <v>-6.5473397882241102E-2</v>
      </c>
      <c r="Q1276">
        <v>8.8568366739586402E-2</v>
      </c>
      <c r="R1276">
        <v>0.98748222064339797</v>
      </c>
      <c r="S1276" t="s">
        <v>4905</v>
      </c>
      <c r="T1276" t="s">
        <v>7256</v>
      </c>
      <c r="U1276" t="s">
        <v>7256</v>
      </c>
      <c r="V1276" t="s">
        <v>7256</v>
      </c>
      <c r="W1276">
        <v>2</v>
      </c>
      <c r="X1276" t="s">
        <v>8532</v>
      </c>
      <c r="Y1276">
        <v>0.45543944015946719</v>
      </c>
      <c r="Z1276" t="str">
        <f>HYPERLINK("Melting_Curves/meltCurve_sp_P78314_3BP2_HUMAN_.pdf", "Melting_Curves/meltCurve_sp_P78314_3BP2_HUMAN_.pdf")</f>
        <v>Melting_Curves/meltCurve_sp_P78314_3BP2_HUMAN_.pdf</v>
      </c>
      <c r="AA1276" t="s">
        <v>12140</v>
      </c>
      <c r="AB1276" t="s">
        <v>15701</v>
      </c>
    </row>
    <row r="1277" spans="1:28" x14ac:dyDescent="0.25">
      <c r="A1277" t="s">
        <v>1281</v>
      </c>
      <c r="B1277">
        <v>0.98018197421672304</v>
      </c>
      <c r="C1277">
        <v>0.97955040582909503</v>
      </c>
      <c r="D1277">
        <v>0.85153529385263005</v>
      </c>
      <c r="E1277">
        <v>0.727966561558544</v>
      </c>
      <c r="F1277">
        <v>0.61064319775380704</v>
      </c>
      <c r="G1277">
        <v>0.48895153759273902</v>
      </c>
      <c r="H1277">
        <v>0.32415411339454703</v>
      </c>
      <c r="I1277">
        <v>0.32323663188794899</v>
      </c>
      <c r="J1277">
        <v>0.35774018848801697</v>
      </c>
      <c r="K1277">
        <v>0.395213831803847</v>
      </c>
      <c r="L1277">
        <v>708.98671964720995</v>
      </c>
      <c r="M1277">
        <v>13.8002223603545</v>
      </c>
      <c r="N1277">
        <v>55.520071049427401</v>
      </c>
      <c r="O1277">
        <v>50.3322756417816</v>
      </c>
      <c r="P1277">
        <v>-4.6511130651427403E-2</v>
      </c>
      <c r="Q1277">
        <v>0.321551803376731</v>
      </c>
      <c r="R1277">
        <v>0.98042231923955703</v>
      </c>
      <c r="S1277" t="s">
        <v>4906</v>
      </c>
      <c r="T1277" t="s">
        <v>7256</v>
      </c>
      <c r="U1277" t="s">
        <v>7256</v>
      </c>
      <c r="V1277" t="s">
        <v>7256</v>
      </c>
      <c r="W1277">
        <v>5</v>
      </c>
      <c r="X1277" t="s">
        <v>8533</v>
      </c>
      <c r="Y1277">
        <v>0.59644684819714</v>
      </c>
      <c r="Z1277" t="str">
        <f>HYPERLINK("Melting_Curves/meltCurve_sp_P78318_IGBP1_HUMAN_.pdf", "Melting_Curves/meltCurve_sp_P78318_IGBP1_HUMAN_.pdf")</f>
        <v>Melting_Curves/meltCurve_sp_P78318_IGBP1_HUMAN_.pdf</v>
      </c>
      <c r="AA1277" t="s">
        <v>12141</v>
      </c>
      <c r="AB1277" t="s">
        <v>15702</v>
      </c>
    </row>
    <row r="1278" spans="1:28" x14ac:dyDescent="0.25">
      <c r="A1278" t="s">
        <v>1282</v>
      </c>
      <c r="B1278">
        <v>0.98018197421672304</v>
      </c>
      <c r="C1278">
        <v>0.95626982518256098</v>
      </c>
      <c r="D1278">
        <v>0.69226144696036296</v>
      </c>
      <c r="E1278">
        <v>0.359414788653863</v>
      </c>
      <c r="F1278">
        <v>0.19197421512219101</v>
      </c>
      <c r="G1278">
        <v>0.124927319656071</v>
      </c>
      <c r="H1278">
        <v>8.2534782615657207E-2</v>
      </c>
      <c r="I1278">
        <v>8.4290954610047999E-2</v>
      </c>
      <c r="J1278">
        <v>6.5944588533128706E-2</v>
      </c>
      <c r="K1278">
        <v>5.5378191413830602E-2</v>
      </c>
      <c r="L1278">
        <v>948.66683443684201</v>
      </c>
      <c r="M1278">
        <v>19.797748456975999</v>
      </c>
      <c r="N1278">
        <v>48.286353818900999</v>
      </c>
      <c r="O1278">
        <v>47.437053816959597</v>
      </c>
      <c r="P1278">
        <v>-9.7025804687950301E-2</v>
      </c>
      <c r="Q1278">
        <v>7.0103882335402004E-2</v>
      </c>
      <c r="R1278">
        <v>0.99771542022674597</v>
      </c>
      <c r="S1278" t="s">
        <v>4907</v>
      </c>
      <c r="T1278" t="s">
        <v>7256</v>
      </c>
      <c r="U1278" t="s">
        <v>7256</v>
      </c>
      <c r="V1278" t="s">
        <v>7256</v>
      </c>
      <c r="W1278">
        <v>3</v>
      </c>
      <c r="X1278" t="s">
        <v>8534</v>
      </c>
      <c r="Y1278">
        <v>0.32905935113532531</v>
      </c>
      <c r="Z1278" t="str">
        <f>HYPERLINK("Melting_Curves/meltCurve_sp_P78329_CP4F2_HUMAN_.pdf", "Melting_Curves/meltCurve_sp_P78329_CP4F2_HUMAN_.pdf")</f>
        <v>Melting_Curves/meltCurve_sp_P78329_CP4F2_HUMAN_.pdf</v>
      </c>
      <c r="AA1278" t="s">
        <v>12142</v>
      </c>
      <c r="AB1278" t="s">
        <v>15703</v>
      </c>
    </row>
    <row r="1279" spans="1:28" x14ac:dyDescent="0.25">
      <c r="A1279" t="s">
        <v>1283</v>
      </c>
      <c r="B1279">
        <v>0.98018197421672304</v>
      </c>
      <c r="C1279">
        <v>0.93554461629944097</v>
      </c>
      <c r="D1279">
        <v>0.85068887107121904</v>
      </c>
      <c r="E1279">
        <v>0.68114990502176298</v>
      </c>
      <c r="F1279">
        <v>0.57401427572955299</v>
      </c>
      <c r="G1279">
        <v>0.43974003389590999</v>
      </c>
      <c r="H1279">
        <v>0.290926484247433</v>
      </c>
      <c r="I1279">
        <v>0.25908482465028598</v>
      </c>
      <c r="J1279">
        <v>0.219823751745854</v>
      </c>
      <c r="K1279">
        <v>0.192882559301951</v>
      </c>
      <c r="L1279">
        <v>536.93827515841201</v>
      </c>
      <c r="M1279">
        <v>10.086648842287101</v>
      </c>
      <c r="N1279">
        <v>54.721029783771399</v>
      </c>
      <c r="O1279">
        <v>51.2672554274071</v>
      </c>
      <c r="P1279">
        <v>-4.3305987757992097E-2</v>
      </c>
      <c r="Q1279">
        <v>0.119971446209202</v>
      </c>
      <c r="R1279">
        <v>0.998418302693593</v>
      </c>
      <c r="S1279" t="s">
        <v>4908</v>
      </c>
      <c r="T1279" t="s">
        <v>7256</v>
      </c>
      <c r="U1279" t="s">
        <v>7256</v>
      </c>
      <c r="V1279" t="s">
        <v>7256</v>
      </c>
      <c r="W1279">
        <v>14</v>
      </c>
      <c r="X1279" t="s">
        <v>8535</v>
      </c>
      <c r="Y1279">
        <v>0.53723266559495075</v>
      </c>
      <c r="Z1279" t="str">
        <f>HYPERLINK("Melting_Curves/meltCurve_sp_P78347_2_GTF2I_HUMAN_.pdf", "Melting_Curves/meltCurve_sp_P78347_2_GTF2I_HUMAN_.pdf")</f>
        <v>Melting_Curves/meltCurve_sp_P78347_2_GTF2I_HUMAN_.pdf</v>
      </c>
      <c r="AA1279" t="s">
        <v>12143</v>
      </c>
      <c r="AB1279" t="s">
        <v>15704</v>
      </c>
    </row>
    <row r="1280" spans="1:28" x14ac:dyDescent="0.25">
      <c r="A1280" t="s">
        <v>1284</v>
      </c>
      <c r="B1280">
        <v>0.98018197421672304</v>
      </c>
      <c r="C1280">
        <v>0.97413884769631498</v>
      </c>
      <c r="D1280">
        <v>0.94023000484661801</v>
      </c>
      <c r="E1280">
        <v>0.81078735333877605</v>
      </c>
      <c r="F1280">
        <v>0.62102845457219902</v>
      </c>
      <c r="G1280">
        <v>0.190563889179581</v>
      </c>
      <c r="H1280">
        <v>7.2670541950075995E-2</v>
      </c>
      <c r="I1280">
        <v>5.4541367803742399E-2</v>
      </c>
      <c r="J1280">
        <v>6.9258770706954395E-2</v>
      </c>
      <c r="K1280">
        <v>4.98216432597266E-2</v>
      </c>
      <c r="L1280">
        <v>1258.13316708958</v>
      </c>
      <c r="M1280">
        <v>23.5042116550086</v>
      </c>
      <c r="N1280">
        <v>53.707159620682397</v>
      </c>
      <c r="O1280">
        <v>53.145031966008901</v>
      </c>
      <c r="P1280">
        <v>-0.106398928002659</v>
      </c>
      <c r="Q1280">
        <v>3.7708241654552201E-2</v>
      </c>
      <c r="R1280">
        <v>0.99518594239380498</v>
      </c>
      <c r="S1280" t="s">
        <v>4909</v>
      </c>
      <c r="T1280" t="s">
        <v>7256</v>
      </c>
      <c r="U1280" t="s">
        <v>7256</v>
      </c>
      <c r="V1280" t="s">
        <v>7256</v>
      </c>
      <c r="W1280">
        <v>22</v>
      </c>
      <c r="X1280" t="s">
        <v>8536</v>
      </c>
      <c r="Y1280">
        <v>0.48158641219401421</v>
      </c>
      <c r="Z1280" t="str">
        <f>HYPERLINK("Melting_Curves/meltCurve_sp_P78371_TCPB_HUMAN_.pdf", "Melting_Curves/meltCurve_sp_P78371_TCPB_HUMAN_.pdf")</f>
        <v>Melting_Curves/meltCurve_sp_P78371_TCPB_HUMAN_.pdf</v>
      </c>
      <c r="AA1280" t="s">
        <v>12144</v>
      </c>
      <c r="AB1280" t="s">
        <v>15705</v>
      </c>
    </row>
    <row r="1281" spans="1:28" x14ac:dyDescent="0.25">
      <c r="A1281" t="s">
        <v>1285</v>
      </c>
      <c r="B1281">
        <v>0.98018197421672304</v>
      </c>
      <c r="C1281">
        <v>1.01151616022813</v>
      </c>
      <c r="D1281">
        <v>0.97845170087053401</v>
      </c>
      <c r="E1281">
        <v>0.85202671296027299</v>
      </c>
      <c r="F1281">
        <v>0.838056943465741</v>
      </c>
      <c r="G1281">
        <v>0.60515628598815996</v>
      </c>
      <c r="H1281">
        <v>0.23738062046717201</v>
      </c>
      <c r="I1281">
        <v>0.13888153729496799</v>
      </c>
      <c r="J1281">
        <v>9.0742136139268501E-2</v>
      </c>
      <c r="K1281">
        <v>6.5073900780069402E-2</v>
      </c>
      <c r="L1281">
        <v>1002.38909513846</v>
      </c>
      <c r="M1281">
        <v>17.371017254759</v>
      </c>
      <c r="N1281">
        <v>57.710928229638803</v>
      </c>
      <c r="O1281">
        <v>56.956236544929297</v>
      </c>
      <c r="P1281">
        <v>-7.6179978417519903E-2</v>
      </c>
      <c r="Q1281">
        <v>9.3847020781770603E-4</v>
      </c>
      <c r="R1281">
        <v>0.99102839818184496</v>
      </c>
      <c r="S1281" t="s">
        <v>4910</v>
      </c>
      <c r="T1281" t="s">
        <v>7256</v>
      </c>
      <c r="U1281" t="s">
        <v>7256</v>
      </c>
      <c r="V1281" t="s">
        <v>7256</v>
      </c>
      <c r="W1281">
        <v>20</v>
      </c>
      <c r="X1281" t="s">
        <v>8537</v>
      </c>
      <c r="Y1281">
        <v>0.60368547468793976</v>
      </c>
      <c r="Z1281" t="str">
        <f>HYPERLINK("Melting_Curves/meltCurve_sp_P78417_GSTO1_HUMAN_.pdf", "Melting_Curves/meltCurve_sp_P78417_GSTO1_HUMAN_.pdf")</f>
        <v>Melting_Curves/meltCurve_sp_P78417_GSTO1_HUMAN_.pdf</v>
      </c>
      <c r="AA1281" t="s">
        <v>12145</v>
      </c>
      <c r="AB1281" t="s">
        <v>15706</v>
      </c>
    </row>
    <row r="1282" spans="1:28" x14ac:dyDescent="0.25">
      <c r="A1282" t="s">
        <v>1286</v>
      </c>
      <c r="B1282">
        <v>0.98018197421672304</v>
      </c>
      <c r="C1282">
        <v>0.85755558860797798</v>
      </c>
      <c r="D1282">
        <v>0.78493177640018097</v>
      </c>
      <c r="E1282">
        <v>0.58282830222735704</v>
      </c>
      <c r="F1282">
        <v>0.30956705439267101</v>
      </c>
      <c r="G1282">
        <v>0.159245097338263</v>
      </c>
      <c r="H1282">
        <v>8.21096844401423E-2</v>
      </c>
      <c r="I1282">
        <v>5.1940771023211998E-2</v>
      </c>
      <c r="J1282">
        <v>2.24089486377737E-2</v>
      </c>
      <c r="K1282">
        <v>3.9918110237678703E-2</v>
      </c>
      <c r="L1282">
        <v>683.43149832584595</v>
      </c>
      <c r="M1282">
        <v>13.556509658657699</v>
      </c>
      <c r="N1282">
        <v>50.413528621753102</v>
      </c>
      <c r="O1282">
        <v>49.354477528519801</v>
      </c>
      <c r="P1282">
        <v>-6.8679402465455994E-2</v>
      </c>
      <c r="Q1282">
        <v>0</v>
      </c>
      <c r="R1282">
        <v>0.99380664798775498</v>
      </c>
      <c r="S1282" t="s">
        <v>4911</v>
      </c>
      <c r="T1282" t="s">
        <v>7256</v>
      </c>
      <c r="U1282" t="s">
        <v>7256</v>
      </c>
      <c r="V1282" t="s">
        <v>7256</v>
      </c>
      <c r="W1282">
        <v>3</v>
      </c>
      <c r="X1282" t="s">
        <v>8538</v>
      </c>
      <c r="Y1282">
        <v>0.37500829289832249</v>
      </c>
      <c r="Z1282" t="str">
        <f>HYPERLINK("Melting_Curves/meltCurve_sp_P78524_ST5_HUMAN_.pdf", "Melting_Curves/meltCurve_sp_P78524_ST5_HUMAN_.pdf")</f>
        <v>Melting_Curves/meltCurve_sp_P78524_ST5_HUMAN_.pdf</v>
      </c>
      <c r="AA1282" t="s">
        <v>12146</v>
      </c>
      <c r="AB1282" t="s">
        <v>15707</v>
      </c>
    </row>
    <row r="1283" spans="1:28" x14ac:dyDescent="0.25">
      <c r="A1283" t="s">
        <v>1287</v>
      </c>
      <c r="B1283">
        <v>0.98018197421672304</v>
      </c>
      <c r="C1283">
        <v>0.88891383351596898</v>
      </c>
      <c r="D1283">
        <v>0.72846810783748395</v>
      </c>
      <c r="E1283">
        <v>0.260999203522497</v>
      </c>
      <c r="F1283">
        <v>0.13806056801504499</v>
      </c>
      <c r="G1283">
        <v>9.1722439828375496E-2</v>
      </c>
      <c r="H1283">
        <v>6.4196749968812403E-2</v>
      </c>
      <c r="I1283">
        <v>4.3321887456275097E-2</v>
      </c>
      <c r="J1283">
        <v>4.8752493727527497E-2</v>
      </c>
      <c r="K1283">
        <v>3.45374790357122E-2</v>
      </c>
      <c r="L1283">
        <v>1080.1237181268</v>
      </c>
      <c r="M1283">
        <v>22.7085754571191</v>
      </c>
      <c r="N1283">
        <v>47.778931047390401</v>
      </c>
      <c r="O1283">
        <v>47.200345537607703</v>
      </c>
      <c r="P1283">
        <v>-0.114454792648326</v>
      </c>
      <c r="Q1283">
        <v>4.84304431420748E-2</v>
      </c>
      <c r="R1283">
        <v>0.99718919830841002</v>
      </c>
      <c r="S1283" t="s">
        <v>4912</v>
      </c>
      <c r="T1283" t="s">
        <v>7256</v>
      </c>
      <c r="U1283" t="s">
        <v>7256</v>
      </c>
      <c r="V1283" t="s">
        <v>7256</v>
      </c>
      <c r="W1283">
        <v>25</v>
      </c>
      <c r="X1283" t="s">
        <v>8539</v>
      </c>
      <c r="Y1283">
        <v>0.29874999879689917</v>
      </c>
      <c r="Z1283" t="str">
        <f>HYPERLINK("Melting_Curves/meltCurve_sp_P78527_PRKDC_HUMAN_.pdf", "Melting_Curves/meltCurve_sp_P78527_PRKDC_HUMAN_.pdf")</f>
        <v>Melting_Curves/meltCurve_sp_P78527_PRKDC_HUMAN_.pdf</v>
      </c>
      <c r="AA1283" t="s">
        <v>12147</v>
      </c>
      <c r="AB1283" t="s">
        <v>15708</v>
      </c>
    </row>
    <row r="1284" spans="1:28" x14ac:dyDescent="0.25">
      <c r="A1284" t="s">
        <v>1288</v>
      </c>
      <c r="B1284">
        <v>0.98018197421672304</v>
      </c>
      <c r="C1284">
        <v>1.06963313022387</v>
      </c>
      <c r="D1284">
        <v>0.86875921487445196</v>
      </c>
      <c r="E1284">
        <v>0.61538412023866096</v>
      </c>
      <c r="F1284">
        <v>0.29171279540839901</v>
      </c>
      <c r="G1284">
        <v>0.22238525485734101</v>
      </c>
      <c r="H1284">
        <v>0.176001670270618</v>
      </c>
      <c r="I1284">
        <v>0.14710489497416701</v>
      </c>
      <c r="J1284">
        <v>0.17704231606601301</v>
      </c>
      <c r="K1284">
        <v>8.0535007383134002E-2</v>
      </c>
      <c r="L1284">
        <v>1193.91082884054</v>
      </c>
      <c r="M1284">
        <v>23.804208347868101</v>
      </c>
      <c r="N1284">
        <v>50.875347794775301</v>
      </c>
      <c r="O1284">
        <v>49.805505897252601</v>
      </c>
      <c r="P1284">
        <v>-0.102402657060883</v>
      </c>
      <c r="Q1284">
        <v>0.142986337648914</v>
      </c>
      <c r="R1284">
        <v>0.98634910530527697</v>
      </c>
      <c r="S1284" t="s">
        <v>4913</v>
      </c>
      <c r="T1284" t="s">
        <v>7256</v>
      </c>
      <c r="U1284" t="s">
        <v>7256</v>
      </c>
      <c r="V1284" t="s">
        <v>7256</v>
      </c>
      <c r="W1284">
        <v>2</v>
      </c>
      <c r="X1284" t="s">
        <v>8540</v>
      </c>
      <c r="Y1284">
        <v>0.44156029516240403</v>
      </c>
      <c r="Z1284" t="str">
        <f>HYPERLINK("Melting_Curves/meltCurve_sp_P78560_CRADD_HUMAN_.pdf", "Melting_Curves/meltCurve_sp_P78560_CRADD_HUMAN_.pdf")</f>
        <v>Melting_Curves/meltCurve_sp_P78560_CRADD_HUMAN_.pdf</v>
      </c>
      <c r="AA1284" t="s">
        <v>12148</v>
      </c>
      <c r="AB1284" t="s">
        <v>15709</v>
      </c>
    </row>
    <row r="1285" spans="1:28" x14ac:dyDescent="0.25">
      <c r="A1285" t="s">
        <v>1289</v>
      </c>
      <c r="B1285">
        <v>0.98018197421672304</v>
      </c>
      <c r="C1285">
        <v>0.93360426000654595</v>
      </c>
      <c r="D1285">
        <v>0.90474320862732405</v>
      </c>
      <c r="E1285">
        <v>0.77613267980205103</v>
      </c>
      <c r="F1285">
        <v>0.59243299171872499</v>
      </c>
      <c r="G1285">
        <v>0.264218714798022</v>
      </c>
      <c r="H1285">
        <v>7.8186906254653799E-2</v>
      </c>
      <c r="I1285">
        <v>6.5454210097742396E-2</v>
      </c>
      <c r="J1285">
        <v>8.2125990827835907E-2</v>
      </c>
      <c r="K1285">
        <v>5.3877434640523601E-2</v>
      </c>
      <c r="L1285">
        <v>937.79065416012395</v>
      </c>
      <c r="M1285">
        <v>17.515602428760499</v>
      </c>
      <c r="N1285">
        <v>53.682732689347802</v>
      </c>
      <c r="O1285">
        <v>52.857044856796698</v>
      </c>
      <c r="P1285">
        <v>-8.0967797236427996E-2</v>
      </c>
      <c r="Q1285">
        <v>2.2703697151628899E-2</v>
      </c>
      <c r="R1285">
        <v>0.993057524320202</v>
      </c>
      <c r="S1285" t="s">
        <v>4914</v>
      </c>
      <c r="T1285" t="s">
        <v>7256</v>
      </c>
      <c r="U1285" t="s">
        <v>7256</v>
      </c>
      <c r="V1285" t="s">
        <v>7256</v>
      </c>
      <c r="W1285">
        <v>7</v>
      </c>
      <c r="X1285" t="s">
        <v>8541</v>
      </c>
      <c r="Y1285">
        <v>0.48029208366453469</v>
      </c>
      <c r="Z1285" t="str">
        <f>HYPERLINK("Melting_Curves/meltCurve_sp_P80217_IN35_HUMAN_.pdf", "Melting_Curves/meltCurve_sp_P80217_IN35_HUMAN_.pdf")</f>
        <v>Melting_Curves/meltCurve_sp_P80217_IN35_HUMAN_.pdf</v>
      </c>
      <c r="AA1285" t="s">
        <v>12149</v>
      </c>
      <c r="AB1285" t="s">
        <v>15710</v>
      </c>
    </row>
    <row r="1286" spans="1:28" x14ac:dyDescent="0.25">
      <c r="A1286" t="s">
        <v>1290</v>
      </c>
      <c r="B1286">
        <v>0.98018197421672304</v>
      </c>
      <c r="C1286">
        <v>1.36108315270277</v>
      </c>
      <c r="D1286">
        <v>0.96098533215838899</v>
      </c>
      <c r="E1286">
        <v>0.79972615559113402</v>
      </c>
      <c r="F1286">
        <v>0.93319011015654096</v>
      </c>
      <c r="G1286">
        <v>0.83835529068521297</v>
      </c>
      <c r="H1286">
        <v>0.60675365949277105</v>
      </c>
      <c r="I1286">
        <v>0.81888556447447303</v>
      </c>
      <c r="J1286">
        <v>1.9225395863982599</v>
      </c>
      <c r="K1286">
        <v>2.3044059678536399</v>
      </c>
      <c r="L1286">
        <v>15000</v>
      </c>
      <c r="M1286">
        <v>229.547060466239</v>
      </c>
      <c r="O1286">
        <v>65.3411119728529</v>
      </c>
      <c r="P1286">
        <v>0.43913210718773199</v>
      </c>
      <c r="Q1286">
        <v>1.5</v>
      </c>
      <c r="R1286">
        <v>0.55021326831242101</v>
      </c>
      <c r="S1286" t="s">
        <v>4915</v>
      </c>
      <c r="T1286" t="s">
        <v>7256</v>
      </c>
      <c r="U1286" t="s">
        <v>7256</v>
      </c>
      <c r="V1286" t="s">
        <v>7256</v>
      </c>
      <c r="W1286">
        <v>3</v>
      </c>
      <c r="X1286" t="s">
        <v>8542</v>
      </c>
      <c r="Y1286">
        <v>1.0774973595593349</v>
      </c>
      <c r="Z1286" t="str">
        <f>HYPERLINK("Melting_Curves/meltCurve_sp_P80294_MT1H_HUMAN_.pdf", "Melting_Curves/meltCurve_sp_P80294_MT1H_HUMAN_.pdf")</f>
        <v>Melting_Curves/meltCurve_sp_P80294_MT1H_HUMAN_.pdf</v>
      </c>
      <c r="AA1286" t="s">
        <v>12150</v>
      </c>
      <c r="AB1286" t="s">
        <v>15711</v>
      </c>
    </row>
    <row r="1287" spans="1:28" x14ac:dyDescent="0.25">
      <c r="A1287" t="s">
        <v>1291</v>
      </c>
      <c r="B1287">
        <v>0.98018197421672304</v>
      </c>
      <c r="C1287">
        <v>0.89732070034562705</v>
      </c>
      <c r="D1287">
        <v>0.95142035527382995</v>
      </c>
      <c r="E1287">
        <v>0.672264108024895</v>
      </c>
      <c r="F1287">
        <v>0.66448547191874696</v>
      </c>
      <c r="G1287">
        <v>0.61760502957060803</v>
      </c>
      <c r="H1287">
        <v>0.396198344217427</v>
      </c>
      <c r="I1287">
        <v>0.44721968047127902</v>
      </c>
      <c r="J1287">
        <v>0.55395518970650004</v>
      </c>
      <c r="K1287">
        <v>0.92266088878819497</v>
      </c>
      <c r="L1287">
        <v>1309.3694980508301</v>
      </c>
      <c r="M1287">
        <v>27.1566869718222</v>
      </c>
      <c r="O1287">
        <v>47.956190019718399</v>
      </c>
      <c r="P1287">
        <v>-5.80111587647055E-2</v>
      </c>
      <c r="Q1287">
        <v>0.59023466921282597</v>
      </c>
      <c r="R1287">
        <v>0.55850086882125805</v>
      </c>
      <c r="S1287" t="s">
        <v>4916</v>
      </c>
      <c r="T1287" t="s">
        <v>7256</v>
      </c>
      <c r="U1287" t="s">
        <v>7256</v>
      </c>
      <c r="V1287" t="s">
        <v>7256</v>
      </c>
      <c r="W1287">
        <v>5</v>
      </c>
      <c r="X1287" t="s">
        <v>8543</v>
      </c>
      <c r="Y1287">
        <v>0.705489551944392</v>
      </c>
      <c r="Z1287" t="str">
        <f>HYPERLINK("Melting_Curves/meltCurve_sp_P80297_MT1X_HUMAN_.pdf", "Melting_Curves/meltCurve_sp_P80297_MT1X_HUMAN_.pdf")</f>
        <v>Melting_Curves/meltCurve_sp_P80297_MT1X_HUMAN_.pdf</v>
      </c>
      <c r="AA1287" t="s">
        <v>12151</v>
      </c>
      <c r="AB1287" t="s">
        <v>15712</v>
      </c>
    </row>
    <row r="1288" spans="1:28" x14ac:dyDescent="0.25">
      <c r="A1288" t="s">
        <v>1292</v>
      </c>
      <c r="B1288">
        <v>0.98018197421672304</v>
      </c>
      <c r="C1288">
        <v>0.96401012485679205</v>
      </c>
      <c r="D1288">
        <v>0.87141525961630795</v>
      </c>
      <c r="E1288">
        <v>0.73149362596933898</v>
      </c>
      <c r="F1288">
        <v>0.57258124784597697</v>
      </c>
      <c r="G1288">
        <v>0.41914127277327101</v>
      </c>
      <c r="H1288">
        <v>0.32634270211205202</v>
      </c>
      <c r="I1288">
        <v>0.322322192149332</v>
      </c>
      <c r="J1288">
        <v>0.26948282368488202</v>
      </c>
      <c r="K1288">
        <v>0.339063214737022</v>
      </c>
      <c r="L1288">
        <v>748.86538195007097</v>
      </c>
      <c r="M1288">
        <v>14.539936020462299</v>
      </c>
      <c r="N1288">
        <v>54.569492760527098</v>
      </c>
      <c r="O1288">
        <v>50.559203329212899</v>
      </c>
      <c r="P1288">
        <v>-5.1837238799439099E-2</v>
      </c>
      <c r="Q1288">
        <v>0.279075122128699</v>
      </c>
      <c r="R1288">
        <v>0.99400924203296903</v>
      </c>
      <c r="S1288" t="s">
        <v>4917</v>
      </c>
      <c r="T1288" t="s">
        <v>7256</v>
      </c>
      <c r="U1288" t="s">
        <v>7256</v>
      </c>
      <c r="V1288" t="s">
        <v>7256</v>
      </c>
      <c r="W1288">
        <v>5</v>
      </c>
      <c r="X1288" t="s">
        <v>8544</v>
      </c>
      <c r="Y1288">
        <v>0.57274091206591005</v>
      </c>
      <c r="Z1288" t="str">
        <f>HYPERLINK("Melting_Curves/meltCurve_sp_P80303_2_NUCB2_HUMAN_.pdf", "Melting_Curves/meltCurve_sp_P80303_2_NUCB2_HUMAN_.pdf")</f>
        <v>Melting_Curves/meltCurve_sp_P80303_2_NUCB2_HUMAN_.pdf</v>
      </c>
      <c r="AA1288" t="s">
        <v>12152</v>
      </c>
      <c r="AB1288" t="s">
        <v>15713</v>
      </c>
    </row>
    <row r="1289" spans="1:28" x14ac:dyDescent="0.25">
      <c r="A1289" t="s">
        <v>1293</v>
      </c>
      <c r="B1289">
        <v>0.98018197421672304</v>
      </c>
      <c r="C1289">
        <v>0.94502869789515798</v>
      </c>
      <c r="D1289">
        <v>0.92245270994682005</v>
      </c>
      <c r="E1289">
        <v>0.84502767916236698</v>
      </c>
      <c r="F1289">
        <v>0.75961041955728903</v>
      </c>
      <c r="G1289">
        <v>0.59271032411041302</v>
      </c>
      <c r="H1289">
        <v>0.250407487295842</v>
      </c>
      <c r="I1289">
        <v>0.11722453238085601</v>
      </c>
      <c r="J1289">
        <v>5.9790638654309697E-2</v>
      </c>
      <c r="K1289">
        <v>4.1686343500909002E-2</v>
      </c>
      <c r="L1289">
        <v>898.33806679011104</v>
      </c>
      <c r="M1289">
        <v>15.7236265628138</v>
      </c>
      <c r="N1289">
        <v>57.133007107111503</v>
      </c>
      <c r="O1289">
        <v>56.232821573450103</v>
      </c>
      <c r="P1289">
        <v>-6.9910003345788396E-2</v>
      </c>
      <c r="Q1289">
        <v>0</v>
      </c>
      <c r="R1289">
        <v>0.985976851190977</v>
      </c>
      <c r="S1289" t="s">
        <v>4918</v>
      </c>
      <c r="T1289" t="s">
        <v>7256</v>
      </c>
      <c r="U1289" t="s">
        <v>7256</v>
      </c>
      <c r="V1289" t="s">
        <v>7256</v>
      </c>
      <c r="W1289">
        <v>35</v>
      </c>
      <c r="X1289" t="s">
        <v>8545</v>
      </c>
      <c r="Y1289">
        <v>0.58620932023783989</v>
      </c>
      <c r="Z1289" t="str">
        <f>HYPERLINK("Melting_Curves/meltCurve_sp_P80404_GABT_HUMAN_.pdf", "Melting_Curves/meltCurve_sp_P80404_GABT_HUMAN_.pdf")</f>
        <v>Melting_Curves/meltCurve_sp_P80404_GABT_HUMAN_.pdf</v>
      </c>
      <c r="AA1289" t="s">
        <v>12153</v>
      </c>
      <c r="AB1289" t="s">
        <v>15714</v>
      </c>
    </row>
    <row r="1290" spans="1:28" x14ac:dyDescent="0.25">
      <c r="A1290" t="s">
        <v>1294</v>
      </c>
      <c r="B1290">
        <v>0.98018197421672304</v>
      </c>
      <c r="C1290">
        <v>1.0048062976972401</v>
      </c>
      <c r="D1290">
        <v>0.916029116639971</v>
      </c>
      <c r="E1290">
        <v>0.825195461773506</v>
      </c>
      <c r="F1290">
        <v>0.89357535618178396</v>
      </c>
      <c r="G1290">
        <v>0.81301961421415003</v>
      </c>
      <c r="H1290">
        <v>0.62047411810429398</v>
      </c>
      <c r="I1290">
        <v>0.70945518724637102</v>
      </c>
      <c r="J1290">
        <v>0.80214048785249203</v>
      </c>
      <c r="K1290">
        <v>0.97889379763700102</v>
      </c>
      <c r="L1290">
        <v>916.54160958318096</v>
      </c>
      <c r="M1290">
        <v>19.246713885238101</v>
      </c>
      <c r="O1290">
        <v>47.115545727350103</v>
      </c>
      <c r="P1290">
        <v>-2.1284013983054E-2</v>
      </c>
      <c r="Q1290">
        <v>0.79159669230716501</v>
      </c>
      <c r="R1290">
        <v>0.42903392530673201</v>
      </c>
      <c r="S1290" t="s">
        <v>4919</v>
      </c>
      <c r="T1290" t="s">
        <v>7256</v>
      </c>
      <c r="U1290" t="s">
        <v>7256</v>
      </c>
      <c r="V1290" t="s">
        <v>7256</v>
      </c>
      <c r="W1290">
        <v>4</v>
      </c>
      <c r="X1290" t="s">
        <v>8546</v>
      </c>
      <c r="Y1290">
        <v>0.84778155957312629</v>
      </c>
      <c r="Z1290" t="str">
        <f>HYPERLINK("Melting_Curves/meltCurve_sp_P80723_BASP1_HUMAN_.pdf", "Melting_Curves/meltCurve_sp_P80723_BASP1_HUMAN_.pdf")</f>
        <v>Melting_Curves/meltCurve_sp_P80723_BASP1_HUMAN_.pdf</v>
      </c>
      <c r="AA1290" t="s">
        <v>12154</v>
      </c>
      <c r="AB1290" t="s">
        <v>15715</v>
      </c>
    </row>
    <row r="1291" spans="1:28" x14ac:dyDescent="0.25">
      <c r="A1291" t="s">
        <v>1295</v>
      </c>
      <c r="B1291">
        <v>0.98018197421672304</v>
      </c>
      <c r="C1291">
        <v>0.906006279181372</v>
      </c>
      <c r="D1291">
        <v>0.90652574961708599</v>
      </c>
      <c r="E1291">
        <v>0.74936350725029399</v>
      </c>
      <c r="F1291">
        <v>0.66529299004978304</v>
      </c>
      <c r="G1291">
        <v>0.48070454778095201</v>
      </c>
      <c r="H1291">
        <v>0.44806581599624201</v>
      </c>
      <c r="I1291">
        <v>0.44437651787986898</v>
      </c>
      <c r="J1291">
        <v>0.511928219976581</v>
      </c>
      <c r="K1291">
        <v>0.59261708973248495</v>
      </c>
      <c r="L1291">
        <v>863.18846540806101</v>
      </c>
      <c r="M1291">
        <v>17.2925635982307</v>
      </c>
      <c r="N1291">
        <v>62.520869297886499</v>
      </c>
      <c r="O1291">
        <v>49.263548168165997</v>
      </c>
      <c r="P1291">
        <v>-4.5223757101212597E-2</v>
      </c>
      <c r="Q1291">
        <v>0.48469086246527199</v>
      </c>
      <c r="R1291">
        <v>0.92903742049369797</v>
      </c>
      <c r="S1291" t="s">
        <v>4920</v>
      </c>
      <c r="T1291" t="s">
        <v>7256</v>
      </c>
      <c r="U1291" t="s">
        <v>7256</v>
      </c>
      <c r="V1291" t="s">
        <v>7256</v>
      </c>
      <c r="W1291">
        <v>2</v>
      </c>
      <c r="X1291" t="s">
        <v>8547</v>
      </c>
      <c r="Y1291">
        <v>0.66452254776240205</v>
      </c>
      <c r="Z1291" t="str">
        <f>HYPERLINK("Melting_Curves/meltCurve_sp_P82094_TMF1_HUMAN_.pdf", "Melting_Curves/meltCurve_sp_P82094_TMF1_HUMAN_.pdf")</f>
        <v>Melting_Curves/meltCurve_sp_P82094_TMF1_HUMAN_.pdf</v>
      </c>
      <c r="AA1291" t="s">
        <v>12155</v>
      </c>
      <c r="AB1291" t="s">
        <v>15716</v>
      </c>
    </row>
    <row r="1292" spans="1:28" x14ac:dyDescent="0.25">
      <c r="A1292" t="s">
        <v>1296</v>
      </c>
      <c r="B1292">
        <v>0.98018197421672304</v>
      </c>
      <c r="C1292">
        <v>1.02382158131031</v>
      </c>
      <c r="D1292">
        <v>0.80654328780839701</v>
      </c>
      <c r="E1292">
        <v>0.41947675878891699</v>
      </c>
      <c r="F1292">
        <v>0.19882325187739799</v>
      </c>
      <c r="G1292">
        <v>9.5110201935225E-2</v>
      </c>
      <c r="H1292">
        <v>7.8839990332607301E-2</v>
      </c>
      <c r="I1292">
        <v>4.6435724981690497E-2</v>
      </c>
      <c r="J1292">
        <v>6.4813557546823303E-2</v>
      </c>
      <c r="K1292">
        <v>4.3035770870559098E-2</v>
      </c>
      <c r="L1292">
        <v>1130.9438715476001</v>
      </c>
      <c r="M1292">
        <v>23.092642116385001</v>
      </c>
      <c r="N1292">
        <v>49.225948480169002</v>
      </c>
      <c r="O1292">
        <v>48.611385855982</v>
      </c>
      <c r="P1292">
        <v>-0.112149241723608</v>
      </c>
      <c r="Q1292">
        <v>5.56940879120306E-2</v>
      </c>
      <c r="R1292">
        <v>0.996866443282588</v>
      </c>
      <c r="S1292" t="s">
        <v>4921</v>
      </c>
      <c r="T1292" t="s">
        <v>7256</v>
      </c>
      <c r="U1292" t="s">
        <v>7256</v>
      </c>
      <c r="V1292" t="s">
        <v>7256</v>
      </c>
      <c r="W1292">
        <v>2</v>
      </c>
      <c r="X1292" t="s">
        <v>8548</v>
      </c>
      <c r="Y1292">
        <v>0.3480275424738366</v>
      </c>
      <c r="Z1292" t="str">
        <f>HYPERLINK("Melting_Curves/meltCurve_sp_P82673_2_RT35_HUMAN_.pdf", "Melting_Curves/meltCurve_sp_P82673_2_RT35_HUMAN_.pdf")</f>
        <v>Melting_Curves/meltCurve_sp_P82673_2_RT35_HUMAN_.pdf</v>
      </c>
      <c r="AA1292" t="s">
        <v>12156</v>
      </c>
      <c r="AB1292" t="s">
        <v>15717</v>
      </c>
    </row>
    <row r="1293" spans="1:28" x14ac:dyDescent="0.25">
      <c r="A1293" t="s">
        <v>1297</v>
      </c>
      <c r="B1293">
        <v>0.98018197421672304</v>
      </c>
      <c r="C1293">
        <v>0.95524123026871899</v>
      </c>
      <c r="D1293">
        <v>0.74374634357182601</v>
      </c>
      <c r="E1293">
        <v>0.37168714791148799</v>
      </c>
      <c r="F1293">
        <v>0.21900501351492799</v>
      </c>
      <c r="G1293">
        <v>0.110897685842473</v>
      </c>
      <c r="H1293">
        <v>7.3172837582529196E-2</v>
      </c>
      <c r="I1293">
        <v>5.6004320162832001E-2</v>
      </c>
      <c r="J1293">
        <v>4.6513135191860303E-2</v>
      </c>
      <c r="K1293">
        <v>2.8747620284289802E-2</v>
      </c>
      <c r="L1293">
        <v>927.82502786994201</v>
      </c>
      <c r="M1293">
        <v>19.137740372966402</v>
      </c>
      <c r="N1293">
        <v>48.729097831843802</v>
      </c>
      <c r="O1293">
        <v>47.9613849878317</v>
      </c>
      <c r="P1293">
        <v>-9.5136605958052303E-2</v>
      </c>
      <c r="Q1293">
        <v>4.6343709232821703E-2</v>
      </c>
      <c r="R1293">
        <v>0.99846829988879904</v>
      </c>
      <c r="S1293" t="s">
        <v>4922</v>
      </c>
      <c r="T1293" t="s">
        <v>7256</v>
      </c>
      <c r="U1293" t="s">
        <v>7256</v>
      </c>
      <c r="V1293" t="s">
        <v>7256</v>
      </c>
      <c r="W1293">
        <v>3</v>
      </c>
      <c r="X1293" t="s">
        <v>8549</v>
      </c>
      <c r="Y1293">
        <v>0.33068091111740949</v>
      </c>
      <c r="Z1293" t="str">
        <f>HYPERLINK("Melting_Curves/meltCurve_sp_P82675_RT05_HUMAN_.pdf", "Melting_Curves/meltCurve_sp_P82675_RT05_HUMAN_.pdf")</f>
        <v>Melting_Curves/meltCurve_sp_P82675_RT05_HUMAN_.pdf</v>
      </c>
      <c r="AA1293" t="s">
        <v>12157</v>
      </c>
      <c r="AB1293" t="s">
        <v>15718</v>
      </c>
    </row>
    <row r="1294" spans="1:28" x14ac:dyDescent="0.25">
      <c r="A1294" t="s">
        <v>1298</v>
      </c>
      <c r="B1294">
        <v>0.98018197421672304</v>
      </c>
      <c r="C1294">
        <v>0.93802686425770898</v>
      </c>
      <c r="D1294">
        <v>0.87821544946476204</v>
      </c>
      <c r="E1294">
        <v>0.76563694616700995</v>
      </c>
      <c r="F1294">
        <v>0.63394161094303902</v>
      </c>
      <c r="G1294">
        <v>0.48232455364416998</v>
      </c>
      <c r="H1294">
        <v>0.42777272590806997</v>
      </c>
      <c r="I1294">
        <v>0.47507128501870399</v>
      </c>
      <c r="J1294">
        <v>0.480136028683183</v>
      </c>
      <c r="K1294">
        <v>0.49999843596594201</v>
      </c>
      <c r="L1294">
        <v>815.71000947181096</v>
      </c>
      <c r="M1294">
        <v>16.2461557156448</v>
      </c>
      <c r="N1294">
        <v>58.753100609830902</v>
      </c>
      <c r="O1294">
        <v>49.467166157931302</v>
      </c>
      <c r="P1294">
        <v>-4.4922882015002302E-2</v>
      </c>
      <c r="Q1294">
        <v>0.452906012858801</v>
      </c>
      <c r="R1294">
        <v>0.97774611563404301</v>
      </c>
      <c r="S1294" t="s">
        <v>4923</v>
      </c>
      <c r="T1294" t="s">
        <v>7256</v>
      </c>
      <c r="U1294" t="s">
        <v>7256</v>
      </c>
      <c r="V1294" t="s">
        <v>7256</v>
      </c>
      <c r="W1294">
        <v>4</v>
      </c>
      <c r="X1294" t="s">
        <v>8550</v>
      </c>
      <c r="Y1294">
        <v>0.650333109220401</v>
      </c>
      <c r="Z1294" t="str">
        <f>HYPERLINK("Melting_Curves/meltCurve_sp_P82909_RT36_HUMAN_.pdf", "Melting_Curves/meltCurve_sp_P82909_RT36_HUMAN_.pdf")</f>
        <v>Melting_Curves/meltCurve_sp_P82909_RT36_HUMAN_.pdf</v>
      </c>
      <c r="AA1294" t="s">
        <v>12158</v>
      </c>
      <c r="AB1294" t="s">
        <v>15719</v>
      </c>
    </row>
    <row r="1295" spans="1:28" x14ac:dyDescent="0.25">
      <c r="A1295" t="s">
        <v>1299</v>
      </c>
      <c r="B1295">
        <v>0.98018197421672304</v>
      </c>
      <c r="C1295">
        <v>0.88470375934322498</v>
      </c>
      <c r="D1295">
        <v>0.756338282859079</v>
      </c>
      <c r="E1295">
        <v>0.41941353518345298</v>
      </c>
      <c r="F1295">
        <v>0.25883596643032902</v>
      </c>
      <c r="G1295">
        <v>0.13991698287406601</v>
      </c>
      <c r="H1295">
        <v>0.111271016368447</v>
      </c>
      <c r="I1295">
        <v>8.9076684406736106E-2</v>
      </c>
      <c r="J1295">
        <v>0.12435011648564499</v>
      </c>
      <c r="K1295">
        <v>0.161638111352603</v>
      </c>
      <c r="L1295">
        <v>880.19882814104801</v>
      </c>
      <c r="M1295">
        <v>18.242551195688399</v>
      </c>
      <c r="N1295">
        <v>48.910291193067401</v>
      </c>
      <c r="O1295">
        <v>47.681196867721802</v>
      </c>
      <c r="P1295">
        <v>-8.52096568696947E-2</v>
      </c>
      <c r="Q1295">
        <v>0.10918010014601399</v>
      </c>
      <c r="R1295">
        <v>0.99504949538877296</v>
      </c>
      <c r="S1295" t="s">
        <v>4924</v>
      </c>
      <c r="T1295" t="s">
        <v>7256</v>
      </c>
      <c r="U1295" t="s">
        <v>7256</v>
      </c>
      <c r="V1295" t="s">
        <v>7256</v>
      </c>
      <c r="W1295">
        <v>4</v>
      </c>
      <c r="X1295" t="s">
        <v>8551</v>
      </c>
      <c r="Y1295">
        <v>0.36941330085325602</v>
      </c>
      <c r="Z1295" t="str">
        <f>HYPERLINK("Melting_Curves/meltCurve_sp_P82914_RT15_HUMAN_.pdf", "Melting_Curves/meltCurve_sp_P82914_RT15_HUMAN_.pdf")</f>
        <v>Melting_Curves/meltCurve_sp_P82914_RT15_HUMAN_.pdf</v>
      </c>
      <c r="AA1295" t="s">
        <v>12159</v>
      </c>
      <c r="AB1295" t="s">
        <v>15720</v>
      </c>
    </row>
    <row r="1296" spans="1:28" x14ac:dyDescent="0.25">
      <c r="A1296" t="s">
        <v>1300</v>
      </c>
      <c r="B1296">
        <v>0.98018197421672304</v>
      </c>
      <c r="C1296">
        <v>0.99123267268527904</v>
      </c>
      <c r="D1296">
        <v>0.77106626100780096</v>
      </c>
      <c r="E1296">
        <v>0.46838777096994799</v>
      </c>
      <c r="F1296">
        <v>0.32179268572254099</v>
      </c>
      <c r="G1296">
        <v>0.17032897471022301</v>
      </c>
      <c r="H1296">
        <v>6.8463179471791494E-2</v>
      </c>
      <c r="I1296">
        <v>5.1798549020575999E-2</v>
      </c>
      <c r="J1296">
        <v>5.1942957927515902E-2</v>
      </c>
      <c r="K1296">
        <v>3.9131497502065002E-2</v>
      </c>
      <c r="L1296">
        <v>790.930188237165</v>
      </c>
      <c r="M1296">
        <v>15.902185827847701</v>
      </c>
      <c r="N1296">
        <v>49.957055778820397</v>
      </c>
      <c r="O1296">
        <v>48.970578823579203</v>
      </c>
      <c r="P1296">
        <v>-7.8445010241011498E-2</v>
      </c>
      <c r="Q1296">
        <v>3.3795639283415002E-2</v>
      </c>
      <c r="R1296">
        <v>0.99520500954162205</v>
      </c>
      <c r="S1296" t="s">
        <v>4925</v>
      </c>
      <c r="T1296" t="s">
        <v>7256</v>
      </c>
      <c r="U1296" t="s">
        <v>7256</v>
      </c>
      <c r="V1296" t="s">
        <v>7256</v>
      </c>
      <c r="W1296">
        <v>4</v>
      </c>
      <c r="X1296" t="s">
        <v>8552</v>
      </c>
      <c r="Y1296">
        <v>0.36829091559668659</v>
      </c>
      <c r="Z1296" t="str">
        <f>HYPERLINK("Melting_Curves/meltCurve_sp_P82930_RT34_HUMAN_.pdf", "Melting_Curves/meltCurve_sp_P82930_RT34_HUMAN_.pdf")</f>
        <v>Melting_Curves/meltCurve_sp_P82930_RT34_HUMAN_.pdf</v>
      </c>
      <c r="AA1296" t="s">
        <v>12160</v>
      </c>
      <c r="AB1296" t="s">
        <v>15721</v>
      </c>
    </row>
    <row r="1297" spans="1:28" x14ac:dyDescent="0.25">
      <c r="A1297" t="s">
        <v>1301</v>
      </c>
      <c r="B1297">
        <v>0.98018197421672304</v>
      </c>
      <c r="C1297">
        <v>0.93742195317591204</v>
      </c>
      <c r="D1297">
        <v>0.89801795454008304</v>
      </c>
      <c r="E1297">
        <v>0.80580626000425704</v>
      </c>
      <c r="F1297">
        <v>0.71193684251957401</v>
      </c>
      <c r="G1297">
        <v>0.473291098635163</v>
      </c>
      <c r="H1297">
        <v>0.47352626469351</v>
      </c>
      <c r="I1297">
        <v>0.501092373813248</v>
      </c>
      <c r="J1297">
        <v>0.639979568745627</v>
      </c>
      <c r="K1297">
        <v>0.814230309223828</v>
      </c>
      <c r="L1297">
        <v>1107.44594894076</v>
      </c>
      <c r="M1297">
        <v>22.325415038524099</v>
      </c>
      <c r="O1297">
        <v>49.211869050846502</v>
      </c>
      <c r="P1297">
        <v>-4.7054282536902498E-2</v>
      </c>
      <c r="Q1297">
        <v>0.58512206735792405</v>
      </c>
      <c r="R1297">
        <v>0.69889897653171795</v>
      </c>
      <c r="S1297" t="s">
        <v>4926</v>
      </c>
      <c r="T1297" t="s">
        <v>7256</v>
      </c>
      <c r="U1297" t="s">
        <v>7256</v>
      </c>
      <c r="V1297" t="s">
        <v>7256</v>
      </c>
      <c r="W1297">
        <v>7</v>
      </c>
      <c r="X1297" t="s">
        <v>8553</v>
      </c>
      <c r="Y1297">
        <v>0.72259212558748598</v>
      </c>
      <c r="Z1297" t="str">
        <f>HYPERLINK("Melting_Curves/meltCurve_sp_P82979_SARNP_HUMAN_.pdf", "Melting_Curves/meltCurve_sp_P82979_SARNP_HUMAN_.pdf")</f>
        <v>Melting_Curves/meltCurve_sp_P82979_SARNP_HUMAN_.pdf</v>
      </c>
      <c r="AA1297" t="s">
        <v>12161</v>
      </c>
      <c r="AB1297" t="s">
        <v>15722</v>
      </c>
    </row>
    <row r="1298" spans="1:28" x14ac:dyDescent="0.25">
      <c r="A1298" t="s">
        <v>1302</v>
      </c>
      <c r="B1298">
        <v>0.98018197421672304</v>
      </c>
      <c r="C1298">
        <v>1.0071492506120101</v>
      </c>
      <c r="D1298">
        <v>0.92561294857830401</v>
      </c>
      <c r="E1298">
        <v>0.76920025754580501</v>
      </c>
      <c r="F1298">
        <v>0.62151296001479805</v>
      </c>
      <c r="G1298">
        <v>0.29359924935252002</v>
      </c>
      <c r="H1298">
        <v>9.6423727311658505E-2</v>
      </c>
      <c r="I1298">
        <v>6.6938951729990703E-2</v>
      </c>
      <c r="J1298">
        <v>5.0328278088747597E-2</v>
      </c>
      <c r="K1298">
        <v>5.5786412026085301E-2</v>
      </c>
      <c r="L1298">
        <v>926.92180216711597</v>
      </c>
      <c r="M1298">
        <v>17.176725989430299</v>
      </c>
      <c r="N1298">
        <v>54.039209935804998</v>
      </c>
      <c r="O1298">
        <v>53.248319035047302</v>
      </c>
      <c r="P1298">
        <v>-7.96944606648365E-2</v>
      </c>
      <c r="Q1298">
        <v>1.1838571615162901E-2</v>
      </c>
      <c r="R1298">
        <v>0.99633496054881099</v>
      </c>
      <c r="S1298" t="s">
        <v>4927</v>
      </c>
      <c r="T1298" t="s">
        <v>7256</v>
      </c>
      <c r="U1298" t="s">
        <v>7256</v>
      </c>
      <c r="V1298" t="s">
        <v>7256</v>
      </c>
      <c r="W1298">
        <v>3</v>
      </c>
      <c r="X1298" t="s">
        <v>8554</v>
      </c>
      <c r="Y1298">
        <v>0.48873399623415342</v>
      </c>
      <c r="Z1298" t="str">
        <f>HYPERLINK("Melting_Curves/meltCurve_sp_P82980_RET5_HUMAN_.pdf", "Melting_Curves/meltCurve_sp_P82980_RET5_HUMAN_.pdf")</f>
        <v>Melting_Curves/meltCurve_sp_P82980_RET5_HUMAN_.pdf</v>
      </c>
      <c r="AA1298" t="s">
        <v>12162</v>
      </c>
      <c r="AB1298" t="s">
        <v>15723</v>
      </c>
    </row>
    <row r="1299" spans="1:28" x14ac:dyDescent="0.25">
      <c r="A1299" t="s">
        <v>1303</v>
      </c>
      <c r="B1299">
        <v>0.98018197421672304</v>
      </c>
      <c r="C1299">
        <v>0.84928029148441597</v>
      </c>
      <c r="D1299">
        <v>0.84680889677290905</v>
      </c>
      <c r="E1299">
        <v>0</v>
      </c>
      <c r="F1299">
        <v>0.63420023756361599</v>
      </c>
      <c r="G1299">
        <v>0.44318967610452198</v>
      </c>
      <c r="H1299">
        <v>0.19325766221826701</v>
      </c>
      <c r="I1299">
        <v>0.23155236898588799</v>
      </c>
      <c r="J1299">
        <v>0.27584663008314397</v>
      </c>
      <c r="K1299">
        <v>0.21372812943543101</v>
      </c>
      <c r="L1299">
        <v>11559.8135812945</v>
      </c>
      <c r="M1299">
        <v>250</v>
      </c>
      <c r="N1299">
        <v>46.395487237270501</v>
      </c>
      <c r="O1299">
        <v>46.236295459334102</v>
      </c>
      <c r="P1299">
        <v>-0.96712543704192799</v>
      </c>
      <c r="Q1299">
        <v>0.284539243747854</v>
      </c>
      <c r="R1299">
        <v>0.740420928563435</v>
      </c>
      <c r="S1299" t="s">
        <v>4928</v>
      </c>
      <c r="T1299" t="s">
        <v>7256</v>
      </c>
      <c r="U1299" t="s">
        <v>7256</v>
      </c>
      <c r="V1299" t="s">
        <v>7256</v>
      </c>
      <c r="W1299">
        <v>2</v>
      </c>
      <c r="X1299" t="s">
        <v>8555</v>
      </c>
      <c r="Y1299">
        <v>0.43339535672694668</v>
      </c>
      <c r="Z1299" t="str">
        <f>HYPERLINK("Melting_Curves/meltCurve_sp_P83111_LACTB_HUMAN_.pdf", "Melting_Curves/meltCurve_sp_P83111_LACTB_HUMAN_.pdf")</f>
        <v>Melting_Curves/meltCurve_sp_P83111_LACTB_HUMAN_.pdf</v>
      </c>
      <c r="AA1299" t="s">
        <v>12163</v>
      </c>
      <c r="AB1299" t="s">
        <v>15724</v>
      </c>
    </row>
    <row r="1300" spans="1:28" x14ac:dyDescent="0.25">
      <c r="A1300" t="s">
        <v>1304</v>
      </c>
      <c r="B1300">
        <v>0.98018197421672304</v>
      </c>
      <c r="C1300">
        <v>0.94788828084426102</v>
      </c>
      <c r="D1300">
        <v>0.90019719696539502</v>
      </c>
      <c r="E1300">
        <v>0.58757547631448204</v>
      </c>
      <c r="F1300">
        <v>0.25169344386421</v>
      </c>
      <c r="G1300">
        <v>0.127600388211803</v>
      </c>
      <c r="H1300">
        <v>7.1821081446294704E-2</v>
      </c>
      <c r="I1300">
        <v>5.1583482438158301E-2</v>
      </c>
      <c r="J1300">
        <v>5.0536996444087601E-2</v>
      </c>
      <c r="K1300">
        <v>3.4577297584489998E-2</v>
      </c>
      <c r="L1300">
        <v>1151.5552109560799</v>
      </c>
      <c r="M1300">
        <v>22.8451941256893</v>
      </c>
      <c r="N1300">
        <v>50.618470635663698</v>
      </c>
      <c r="O1300">
        <v>50.025423760488202</v>
      </c>
      <c r="P1300">
        <v>-0.108971216681987</v>
      </c>
      <c r="Q1300">
        <v>4.5536429314200801E-2</v>
      </c>
      <c r="R1300">
        <v>0.99775043258279195</v>
      </c>
      <c r="S1300" t="s">
        <v>4929</v>
      </c>
      <c r="T1300" t="s">
        <v>7256</v>
      </c>
      <c r="U1300" t="s">
        <v>7256</v>
      </c>
      <c r="V1300" t="s">
        <v>7256</v>
      </c>
      <c r="W1300">
        <v>7</v>
      </c>
      <c r="X1300" t="s">
        <v>8556</v>
      </c>
      <c r="Y1300">
        <v>0.3868794845925681</v>
      </c>
      <c r="Z1300" t="str">
        <f>HYPERLINK("Melting_Curves/meltCurve_sp_P84077_ARF1_HUMAN_.pdf", "Melting_Curves/meltCurve_sp_P84077_ARF1_HUMAN_.pdf")</f>
        <v>Melting_Curves/meltCurve_sp_P84077_ARF1_HUMAN_.pdf</v>
      </c>
      <c r="AA1300" t="s">
        <v>12164</v>
      </c>
      <c r="AB1300" t="s">
        <v>15725</v>
      </c>
    </row>
    <row r="1301" spans="1:28" x14ac:dyDescent="0.25">
      <c r="A1301" t="s">
        <v>1305</v>
      </c>
      <c r="B1301">
        <v>0.98018197421672304</v>
      </c>
      <c r="C1301">
        <v>0.99218753889552502</v>
      </c>
      <c r="D1301">
        <v>0.88128570193323097</v>
      </c>
      <c r="E1301">
        <v>0.711008005767647</v>
      </c>
      <c r="F1301">
        <v>0.66418384280337295</v>
      </c>
      <c r="G1301">
        <v>0.51380767056259202</v>
      </c>
      <c r="H1301">
        <v>0.288334450385133</v>
      </c>
      <c r="I1301">
        <v>0.265943066703618</v>
      </c>
      <c r="J1301">
        <v>0.17973899010182001</v>
      </c>
      <c r="K1301">
        <v>0.23965074223430299</v>
      </c>
      <c r="L1301">
        <v>577.41998426641101</v>
      </c>
      <c r="M1301">
        <v>10.5388308721627</v>
      </c>
      <c r="N1301">
        <v>56.087593390322198</v>
      </c>
      <c r="O1301">
        <v>52.927353551711803</v>
      </c>
      <c r="P1301">
        <v>-4.4411067768547002E-2</v>
      </c>
      <c r="Q1301">
        <v>0.108202537175626</v>
      </c>
      <c r="R1301">
        <v>0.98444624379013901</v>
      </c>
      <c r="S1301" t="s">
        <v>4930</v>
      </c>
      <c r="T1301" t="s">
        <v>7256</v>
      </c>
      <c r="U1301" t="s">
        <v>7256</v>
      </c>
      <c r="V1301" t="s">
        <v>7256</v>
      </c>
      <c r="W1301">
        <v>6</v>
      </c>
      <c r="X1301" t="s">
        <v>8557</v>
      </c>
      <c r="Y1301">
        <v>0.57115003947488208</v>
      </c>
      <c r="Z1301" t="str">
        <f>HYPERLINK("Melting_Curves/meltCurve_sp_P84090_ERH_HUMAN_.pdf", "Melting_Curves/meltCurve_sp_P84090_ERH_HUMAN_.pdf")</f>
        <v>Melting_Curves/meltCurve_sp_P84090_ERH_HUMAN_.pdf</v>
      </c>
      <c r="AA1301" t="s">
        <v>12165</v>
      </c>
      <c r="AB1301" t="s">
        <v>15726</v>
      </c>
    </row>
    <row r="1302" spans="1:28" x14ac:dyDescent="0.25">
      <c r="A1302" t="s">
        <v>1306</v>
      </c>
      <c r="B1302">
        <v>0.98018197421672304</v>
      </c>
      <c r="C1302">
        <v>0.80335219112052003</v>
      </c>
      <c r="D1302">
        <v>0.83035470730961003</v>
      </c>
      <c r="E1302">
        <v>0.76539506260146495</v>
      </c>
      <c r="F1302">
        <v>0.72458135931509404</v>
      </c>
      <c r="G1302">
        <v>0.72099489785113202</v>
      </c>
      <c r="H1302">
        <v>0.56729852440093997</v>
      </c>
      <c r="I1302">
        <v>0.51197931580328904</v>
      </c>
      <c r="J1302">
        <v>0.57184987862824299</v>
      </c>
      <c r="K1302">
        <v>0.34674033617530797</v>
      </c>
      <c r="L1302">
        <v>256.76739531307402</v>
      </c>
      <c r="M1302">
        <v>3.8945711171244199</v>
      </c>
      <c r="N1302">
        <v>65.929569121507896</v>
      </c>
      <c r="O1302">
        <v>53.660556506420001</v>
      </c>
      <c r="P1302">
        <v>-1.8398482262401601E-2</v>
      </c>
      <c r="Q1302">
        <v>0</v>
      </c>
      <c r="R1302">
        <v>0.88915521868665504</v>
      </c>
      <c r="S1302" t="s">
        <v>4931</v>
      </c>
      <c r="T1302" t="s">
        <v>7256</v>
      </c>
      <c r="U1302" t="s">
        <v>7256</v>
      </c>
      <c r="V1302" t="s">
        <v>7256</v>
      </c>
      <c r="W1302">
        <v>2</v>
      </c>
      <c r="X1302" t="s">
        <v>8558</v>
      </c>
      <c r="Y1302">
        <v>0.68568320772106739</v>
      </c>
      <c r="Z1302" t="str">
        <f>HYPERLINK("Melting_Curves/meltCurve_sp_P84101_4_SERF2_HUMAN_.pdf", "Melting_Curves/meltCurve_sp_P84101_4_SERF2_HUMAN_.pdf")</f>
        <v>Melting_Curves/meltCurve_sp_P84101_4_SERF2_HUMAN_.pdf</v>
      </c>
      <c r="AA1302" t="s">
        <v>12166</v>
      </c>
      <c r="AB1302" t="s">
        <v>15727</v>
      </c>
    </row>
    <row r="1303" spans="1:28" x14ac:dyDescent="0.25">
      <c r="A1303" t="s">
        <v>1307</v>
      </c>
      <c r="B1303">
        <v>0.98018197421672304</v>
      </c>
      <c r="C1303">
        <v>0.93739260158575699</v>
      </c>
      <c r="D1303">
        <v>0.76270810085923002</v>
      </c>
      <c r="E1303">
        <v>0.56460701546997805</v>
      </c>
      <c r="F1303">
        <v>0.49546367321914497</v>
      </c>
      <c r="G1303">
        <v>0.306503334391446</v>
      </c>
      <c r="H1303">
        <v>0.23511818219703901</v>
      </c>
      <c r="I1303">
        <v>0.236138541589856</v>
      </c>
      <c r="J1303">
        <v>0.34387065935565397</v>
      </c>
      <c r="K1303">
        <v>0.30509387120787901</v>
      </c>
      <c r="L1303">
        <v>739.09478679922995</v>
      </c>
      <c r="M1303">
        <v>15.133637744723</v>
      </c>
      <c r="N1303">
        <v>51.390274332927497</v>
      </c>
      <c r="O1303">
        <v>48.008926045076798</v>
      </c>
      <c r="P1303">
        <v>-5.7991124241359597E-2</v>
      </c>
      <c r="Q1303">
        <v>0.26420311256033702</v>
      </c>
      <c r="R1303">
        <v>0.97554276315022204</v>
      </c>
      <c r="S1303" t="s">
        <v>4932</v>
      </c>
      <c r="T1303" t="s">
        <v>7256</v>
      </c>
      <c r="U1303" t="s">
        <v>7256</v>
      </c>
      <c r="V1303" t="s">
        <v>7256</v>
      </c>
      <c r="W1303">
        <v>1</v>
      </c>
      <c r="X1303" t="s">
        <v>8559</v>
      </c>
      <c r="Y1303">
        <v>0.49893210738147531</v>
      </c>
      <c r="Z1303" t="str">
        <f>HYPERLINK("Melting_Curves/meltCurve_sp_P85037_FOXK1_HUMAN_.pdf", "Melting_Curves/meltCurve_sp_P85037_FOXK1_HUMAN_.pdf")</f>
        <v>Melting_Curves/meltCurve_sp_P85037_FOXK1_HUMAN_.pdf</v>
      </c>
      <c r="AA1303" t="s">
        <v>12167</v>
      </c>
      <c r="AB1303" t="s">
        <v>15728</v>
      </c>
    </row>
    <row r="1304" spans="1:28" x14ac:dyDescent="0.25">
      <c r="A1304" t="s">
        <v>1308</v>
      </c>
      <c r="B1304">
        <v>0.98018197421672304</v>
      </c>
      <c r="C1304">
        <v>0.970022748427114</v>
      </c>
      <c r="D1304">
        <v>0.86677170043852902</v>
      </c>
      <c r="E1304">
        <v>0.77391575842825699</v>
      </c>
      <c r="F1304">
        <v>0.65717021932842701</v>
      </c>
      <c r="G1304">
        <v>0.39366607820271599</v>
      </c>
      <c r="H1304">
        <v>0.17710595903441201</v>
      </c>
      <c r="I1304">
        <v>0.10949901721895899</v>
      </c>
      <c r="J1304">
        <v>0.123120079857148</v>
      </c>
      <c r="K1304">
        <v>0.13010858461109201</v>
      </c>
      <c r="L1304">
        <v>743.98612908284701</v>
      </c>
      <c r="M1304">
        <v>13.659034548487501</v>
      </c>
      <c r="N1304">
        <v>54.819165340362296</v>
      </c>
      <c r="O1304">
        <v>53.3407221202554</v>
      </c>
      <c r="P1304">
        <v>-6.1348230759411898E-2</v>
      </c>
      <c r="Q1304">
        <v>4.1840891786648599E-2</v>
      </c>
      <c r="R1304">
        <v>0.98991139693963803</v>
      </c>
      <c r="S1304" t="s">
        <v>4933</v>
      </c>
      <c r="T1304" t="s">
        <v>7256</v>
      </c>
      <c r="U1304" t="s">
        <v>7256</v>
      </c>
      <c r="V1304" t="s">
        <v>7256</v>
      </c>
      <c r="W1304">
        <v>2</v>
      </c>
      <c r="X1304" t="s">
        <v>8560</v>
      </c>
      <c r="Y1304">
        <v>0.52513519522789032</v>
      </c>
      <c r="Z1304" t="str">
        <f>HYPERLINK("Melting_Curves/meltCurve_sp_P98160_PGBM_HUMAN_.pdf", "Melting_Curves/meltCurve_sp_P98160_PGBM_HUMAN_.pdf")</f>
        <v>Melting_Curves/meltCurve_sp_P98160_PGBM_HUMAN_.pdf</v>
      </c>
      <c r="AA1304" t="s">
        <v>12168</v>
      </c>
      <c r="AB1304" t="s">
        <v>15729</v>
      </c>
    </row>
    <row r="1305" spans="1:28" x14ac:dyDescent="0.25">
      <c r="A1305" t="s">
        <v>1309</v>
      </c>
      <c r="B1305">
        <v>0.98018197421672304</v>
      </c>
      <c r="C1305">
        <v>0.82922467002133704</v>
      </c>
      <c r="D1305">
        <v>0.78202173227162997</v>
      </c>
      <c r="E1305">
        <v>0.66439259654427196</v>
      </c>
      <c r="F1305">
        <v>0.55075332887952899</v>
      </c>
      <c r="G1305">
        <v>0.28687972428528602</v>
      </c>
      <c r="H1305">
        <v>0.17259668845750101</v>
      </c>
      <c r="I1305">
        <v>0.115564626683613</v>
      </c>
      <c r="J1305">
        <v>0.114521076603338</v>
      </c>
      <c r="K1305">
        <v>0.14386549833534601</v>
      </c>
      <c r="L1305">
        <v>511.87549559736601</v>
      </c>
      <c r="M1305">
        <v>9.7172739877425993</v>
      </c>
      <c r="N1305">
        <v>52.707487989785797</v>
      </c>
      <c r="O1305">
        <v>50.591155508175802</v>
      </c>
      <c r="P1305">
        <v>-4.7909437735210898E-2</v>
      </c>
      <c r="Q1305">
        <v>2.8154769043615101E-3</v>
      </c>
      <c r="R1305">
        <v>0.98047082448575795</v>
      </c>
      <c r="S1305" t="s">
        <v>4934</v>
      </c>
      <c r="T1305" t="s">
        <v>7256</v>
      </c>
      <c r="U1305" t="s">
        <v>7256</v>
      </c>
      <c r="V1305" t="s">
        <v>7256</v>
      </c>
      <c r="W1305">
        <v>3</v>
      </c>
      <c r="X1305" t="s">
        <v>8561</v>
      </c>
      <c r="Y1305">
        <v>0.46050631859863761</v>
      </c>
      <c r="Z1305" t="str">
        <f>HYPERLINK("Melting_Curves/meltCurve_sp_P98170_XIAP_HUMAN_.pdf", "Melting_Curves/meltCurve_sp_P98170_XIAP_HUMAN_.pdf")</f>
        <v>Melting_Curves/meltCurve_sp_P98170_XIAP_HUMAN_.pdf</v>
      </c>
      <c r="AA1305" t="s">
        <v>12169</v>
      </c>
      <c r="AB1305" t="s">
        <v>15730</v>
      </c>
    </row>
    <row r="1306" spans="1:28" x14ac:dyDescent="0.25">
      <c r="A1306" t="s">
        <v>1310</v>
      </c>
      <c r="B1306">
        <v>0.98018197421672304</v>
      </c>
      <c r="C1306">
        <v>0.81805153050723001</v>
      </c>
      <c r="D1306">
        <v>0.75242976433734898</v>
      </c>
      <c r="E1306">
        <v>0.70249161313470099</v>
      </c>
      <c r="F1306">
        <v>0.60563390669431905</v>
      </c>
      <c r="G1306">
        <v>0.50820545930764305</v>
      </c>
      <c r="H1306">
        <v>0.46117925423380601</v>
      </c>
      <c r="I1306">
        <v>0.44534521951769501</v>
      </c>
      <c r="J1306">
        <v>0.58396903601610095</v>
      </c>
      <c r="K1306">
        <v>0.67255623278115695</v>
      </c>
      <c r="L1306">
        <v>630.906439971949</v>
      </c>
      <c r="M1306">
        <v>13.8019432500761</v>
      </c>
      <c r="O1306">
        <v>44.783865126698998</v>
      </c>
      <c r="P1306">
        <v>-3.60325681045639E-2</v>
      </c>
      <c r="Q1306">
        <v>0.53239864249705504</v>
      </c>
      <c r="R1306">
        <v>0.81396601440549698</v>
      </c>
      <c r="S1306" t="s">
        <v>4935</v>
      </c>
      <c r="T1306" t="s">
        <v>7256</v>
      </c>
      <c r="U1306" t="s">
        <v>7256</v>
      </c>
      <c r="V1306" t="s">
        <v>7256</v>
      </c>
      <c r="W1306">
        <v>1</v>
      </c>
      <c r="X1306" t="s">
        <v>8562</v>
      </c>
      <c r="Y1306">
        <v>0.63804998955084735</v>
      </c>
      <c r="Z1306" t="str">
        <f>HYPERLINK("Melting_Curves/meltCurve_sp_P98179_RBM3_HUMAN_.pdf", "Melting_Curves/meltCurve_sp_P98179_RBM3_HUMAN_.pdf")</f>
        <v>Melting_Curves/meltCurve_sp_P98179_RBM3_HUMAN_.pdf</v>
      </c>
      <c r="AA1306" t="s">
        <v>12170</v>
      </c>
      <c r="AB1306" t="s">
        <v>15731</v>
      </c>
    </row>
    <row r="1307" spans="1:28" x14ac:dyDescent="0.25">
      <c r="A1307" t="s">
        <v>1311</v>
      </c>
      <c r="B1307">
        <v>0.98018197421672304</v>
      </c>
      <c r="C1307">
        <v>0.88320449488123898</v>
      </c>
      <c r="D1307">
        <v>0.87667333500801703</v>
      </c>
      <c r="E1307">
        <v>0.67161409772553604</v>
      </c>
      <c r="F1307">
        <v>0.45472161431486802</v>
      </c>
      <c r="G1307">
        <v>0.30557996436632101</v>
      </c>
      <c r="H1307">
        <v>0.23817013433081499</v>
      </c>
      <c r="I1307">
        <v>0.191582781144159</v>
      </c>
      <c r="J1307">
        <v>0.19501562261386099</v>
      </c>
      <c r="K1307">
        <v>0.18109591964310801</v>
      </c>
      <c r="L1307">
        <v>725.45726244535899</v>
      </c>
      <c r="M1307">
        <v>14.193695275878399</v>
      </c>
      <c r="N1307">
        <v>52.505989363012901</v>
      </c>
      <c r="O1307">
        <v>50.128779166551297</v>
      </c>
      <c r="P1307">
        <v>-5.9676377354901201E-2</v>
      </c>
      <c r="Q1307">
        <v>0.15705434707320601</v>
      </c>
      <c r="R1307">
        <v>0.99355375767051801</v>
      </c>
      <c r="S1307" t="s">
        <v>4936</v>
      </c>
      <c r="T1307" t="s">
        <v>7256</v>
      </c>
      <c r="U1307" t="s">
        <v>7256</v>
      </c>
      <c r="V1307" t="s">
        <v>7256</v>
      </c>
      <c r="W1307">
        <v>8</v>
      </c>
      <c r="X1307" t="s">
        <v>8563</v>
      </c>
      <c r="Y1307">
        <v>0.49047764401112193</v>
      </c>
      <c r="Z1307" t="str">
        <f>HYPERLINK("Melting_Curves/meltCurve_sp_Q00059_TFAM_HUMAN_.pdf", "Melting_Curves/meltCurve_sp_Q00059_TFAM_HUMAN_.pdf")</f>
        <v>Melting_Curves/meltCurve_sp_Q00059_TFAM_HUMAN_.pdf</v>
      </c>
      <c r="AA1307" t="s">
        <v>12171</v>
      </c>
      <c r="AB1307" t="s">
        <v>15732</v>
      </c>
    </row>
    <row r="1308" spans="1:28" x14ac:dyDescent="0.25">
      <c r="A1308" t="s">
        <v>1312</v>
      </c>
      <c r="B1308">
        <v>0.98018197421672304</v>
      </c>
      <c r="C1308">
        <v>1.0876045026307</v>
      </c>
      <c r="D1308">
        <v>0.87542726428156104</v>
      </c>
      <c r="E1308">
        <v>0.70256049515221797</v>
      </c>
      <c r="F1308">
        <v>0.55924311886497802</v>
      </c>
      <c r="G1308">
        <v>0.41170311713611102</v>
      </c>
      <c r="H1308">
        <v>0.279716836333951</v>
      </c>
      <c r="I1308">
        <v>0.149659260529556</v>
      </c>
      <c r="J1308">
        <v>7.7573002309308803E-2</v>
      </c>
      <c r="K1308">
        <v>5.9529081672053001E-2</v>
      </c>
      <c r="L1308">
        <v>622.61592840519802</v>
      </c>
      <c r="M1308">
        <v>11.4022402645305</v>
      </c>
      <c r="N1308">
        <v>54.6047016574244</v>
      </c>
      <c r="O1308">
        <v>53.006059352928098</v>
      </c>
      <c r="P1308">
        <v>-5.3793800693726398E-2</v>
      </c>
      <c r="Q1308">
        <v>0</v>
      </c>
      <c r="R1308">
        <v>0.98179193734055903</v>
      </c>
      <c r="S1308" t="s">
        <v>4937</v>
      </c>
      <c r="T1308" t="s">
        <v>7256</v>
      </c>
      <c r="U1308" t="s">
        <v>7256</v>
      </c>
      <c r="V1308" t="s">
        <v>7256</v>
      </c>
      <c r="W1308">
        <v>14</v>
      </c>
      <c r="X1308" t="s">
        <v>8564</v>
      </c>
      <c r="Y1308">
        <v>0.51232912785807039</v>
      </c>
      <c r="Z1308" t="str">
        <f>HYPERLINK("Melting_Curves/meltCurve_sp_Q00169_PIPNA_HUMAN_.pdf", "Melting_Curves/meltCurve_sp_Q00169_PIPNA_HUMAN_.pdf")</f>
        <v>Melting_Curves/meltCurve_sp_Q00169_PIPNA_HUMAN_.pdf</v>
      </c>
      <c r="AA1308" t="s">
        <v>12172</v>
      </c>
      <c r="AB1308" t="s">
        <v>15733</v>
      </c>
    </row>
    <row r="1309" spans="1:28" x14ac:dyDescent="0.25">
      <c r="A1309" t="s">
        <v>1313</v>
      </c>
      <c r="B1309">
        <v>0.98018197421672304</v>
      </c>
      <c r="C1309">
        <v>0.90504544664036801</v>
      </c>
      <c r="D1309">
        <v>0.91682357151045402</v>
      </c>
      <c r="E1309">
        <v>0.63519953022257702</v>
      </c>
      <c r="F1309">
        <v>0.21496741616519899</v>
      </c>
      <c r="G1309">
        <v>0.108266054634975</v>
      </c>
      <c r="H1309">
        <v>6.9660995332211595E-2</v>
      </c>
      <c r="I1309">
        <v>4.5448737088306303E-2</v>
      </c>
      <c r="J1309">
        <v>4.1924440548611497E-2</v>
      </c>
      <c r="K1309">
        <v>3.2773706697140297E-2</v>
      </c>
      <c r="L1309">
        <v>1437.64705019382</v>
      </c>
      <c r="M1309">
        <v>28.408731858685101</v>
      </c>
      <c r="N1309">
        <v>50.777427359004001</v>
      </c>
      <c r="O1309">
        <v>50.357031349523602</v>
      </c>
      <c r="P1309">
        <v>-0.13458195445030799</v>
      </c>
      <c r="Q1309">
        <v>4.5772888343706603E-2</v>
      </c>
      <c r="R1309">
        <v>0.99167170409405703</v>
      </c>
      <c r="S1309" t="s">
        <v>4938</v>
      </c>
      <c r="T1309" t="s">
        <v>7256</v>
      </c>
      <c r="U1309" t="s">
        <v>7256</v>
      </c>
      <c r="V1309" t="s">
        <v>7256</v>
      </c>
      <c r="W1309">
        <v>16</v>
      </c>
      <c r="X1309" t="s">
        <v>8565</v>
      </c>
      <c r="Y1309">
        <v>0.38976851883549118</v>
      </c>
      <c r="Z1309" t="str">
        <f>HYPERLINK("Melting_Curves/meltCurve_sp_Q00266_METK1_HUMAN_.pdf", "Melting_Curves/meltCurve_sp_Q00266_METK1_HUMAN_.pdf")</f>
        <v>Melting_Curves/meltCurve_sp_Q00266_METK1_HUMAN_.pdf</v>
      </c>
      <c r="AA1309" t="s">
        <v>12173</v>
      </c>
      <c r="AB1309" t="s">
        <v>15734</v>
      </c>
    </row>
    <row r="1310" spans="1:28" x14ac:dyDescent="0.25">
      <c r="A1310" t="s">
        <v>1314</v>
      </c>
      <c r="B1310">
        <v>0.98018197421672304</v>
      </c>
      <c r="C1310">
        <v>0.95787194877786497</v>
      </c>
      <c r="D1310">
        <v>0.86032331873470802</v>
      </c>
      <c r="E1310">
        <v>0.39532434798432198</v>
      </c>
      <c r="F1310">
        <v>0.18540774439761401</v>
      </c>
      <c r="G1310">
        <v>0.111657906672727</v>
      </c>
      <c r="H1310">
        <v>7.8499779180920104E-2</v>
      </c>
      <c r="I1310">
        <v>6.5577909852240698E-2</v>
      </c>
      <c r="J1310">
        <v>7.4040266150520506E-2</v>
      </c>
      <c r="K1310">
        <v>7.0666915589237794E-2</v>
      </c>
      <c r="L1310">
        <v>1273.64556836818</v>
      </c>
      <c r="M1310">
        <v>26.063358015496402</v>
      </c>
      <c r="N1310">
        <v>49.169047015398199</v>
      </c>
      <c r="O1310">
        <v>48.582341921999301</v>
      </c>
      <c r="P1310">
        <v>-0.124208290952491</v>
      </c>
      <c r="Q1310">
        <v>7.3909197828419398E-2</v>
      </c>
      <c r="R1310">
        <v>0.99912225902195395</v>
      </c>
      <c r="S1310" t="s">
        <v>4939</v>
      </c>
      <c r="T1310" t="s">
        <v>7256</v>
      </c>
      <c r="U1310" t="s">
        <v>7256</v>
      </c>
      <c r="V1310" t="s">
        <v>7256</v>
      </c>
      <c r="W1310">
        <v>39</v>
      </c>
      <c r="X1310" t="s">
        <v>8566</v>
      </c>
      <c r="Y1310">
        <v>0.3551629516639927</v>
      </c>
      <c r="Z1310" t="str">
        <f>HYPERLINK("Melting_Curves/meltCurve_sp_Q00341_VIGLN_HUMAN_.pdf", "Melting_Curves/meltCurve_sp_Q00341_VIGLN_HUMAN_.pdf")</f>
        <v>Melting_Curves/meltCurve_sp_Q00341_VIGLN_HUMAN_.pdf</v>
      </c>
      <c r="AA1310" t="s">
        <v>12174</v>
      </c>
      <c r="AB1310" t="s">
        <v>15735</v>
      </c>
    </row>
    <row r="1311" spans="1:28" x14ac:dyDescent="0.25">
      <c r="A1311" t="s">
        <v>1315</v>
      </c>
      <c r="B1311">
        <v>0.98018197421672304</v>
      </c>
      <c r="C1311">
        <v>1.12973673495922</v>
      </c>
      <c r="D1311">
        <v>0.94281340688780402</v>
      </c>
      <c r="E1311">
        <v>0.55848388397729998</v>
      </c>
      <c r="F1311">
        <v>0.41102208195407203</v>
      </c>
      <c r="G1311">
        <v>0.34214834786820902</v>
      </c>
      <c r="H1311">
        <v>0.24927696548831499</v>
      </c>
      <c r="I1311">
        <v>0.34013020415843698</v>
      </c>
      <c r="J1311">
        <v>0.23921846496888699</v>
      </c>
      <c r="K1311">
        <v>0.39628863351791299</v>
      </c>
      <c r="L1311">
        <v>1644.2377429238099</v>
      </c>
      <c r="M1311">
        <v>33.379173804747701</v>
      </c>
      <c r="N1311">
        <v>50.782343458132502</v>
      </c>
      <c r="O1311">
        <v>49.0835940748063</v>
      </c>
      <c r="P1311">
        <v>-0.116246007814595</v>
      </c>
      <c r="Q1311">
        <v>0.31625059695080099</v>
      </c>
      <c r="R1311">
        <v>0.96176966044337397</v>
      </c>
      <c r="S1311" t="s">
        <v>4940</v>
      </c>
      <c r="T1311" t="s">
        <v>7256</v>
      </c>
      <c r="U1311" t="s">
        <v>7256</v>
      </c>
      <c r="V1311" t="s">
        <v>7256</v>
      </c>
      <c r="W1311">
        <v>1</v>
      </c>
      <c r="X1311" t="s">
        <v>8567</v>
      </c>
      <c r="Y1311">
        <v>0.53065028891124277</v>
      </c>
      <c r="Z1311" t="str">
        <f>HYPERLINK("Melting_Curves/meltCurve_sp_Q00403_TF2B_HUMAN_.pdf", "Melting_Curves/meltCurve_sp_Q00403_TF2B_HUMAN_.pdf")</f>
        <v>Melting_Curves/meltCurve_sp_Q00403_TF2B_HUMAN_.pdf</v>
      </c>
      <c r="AA1311" t="s">
        <v>12175</v>
      </c>
      <c r="AB1311" t="s">
        <v>15736</v>
      </c>
    </row>
    <row r="1312" spans="1:28" x14ac:dyDescent="0.25">
      <c r="A1312" t="s">
        <v>1316</v>
      </c>
      <c r="B1312">
        <v>0.98018197421672304</v>
      </c>
      <c r="C1312">
        <v>0.89408458987069395</v>
      </c>
      <c r="D1312">
        <v>0.83129322233167702</v>
      </c>
      <c r="E1312">
        <v>0.61477858443889399</v>
      </c>
      <c r="F1312">
        <v>0.49463273620820403</v>
      </c>
      <c r="G1312">
        <v>0.302371903819949</v>
      </c>
      <c r="H1312">
        <v>0.13656824070423301</v>
      </c>
      <c r="I1312">
        <v>7.7499330595575996E-2</v>
      </c>
      <c r="J1312">
        <v>8.2925688114381696E-2</v>
      </c>
      <c r="K1312">
        <v>6.9197089077170496E-2</v>
      </c>
      <c r="L1312">
        <v>595.74622995689106</v>
      </c>
      <c r="M1312">
        <v>11.3807081877813</v>
      </c>
      <c r="N1312">
        <v>52.347019804788303</v>
      </c>
      <c r="O1312">
        <v>50.808956740863003</v>
      </c>
      <c r="P1312">
        <v>-5.6014118558772301E-2</v>
      </c>
      <c r="Q1312">
        <v>0</v>
      </c>
      <c r="R1312">
        <v>0.99593381387871904</v>
      </c>
      <c r="S1312" t="s">
        <v>4941</v>
      </c>
      <c r="T1312" t="s">
        <v>7256</v>
      </c>
      <c r="U1312" t="s">
        <v>7256</v>
      </c>
      <c r="V1312" t="s">
        <v>7256</v>
      </c>
      <c r="W1312">
        <v>4</v>
      </c>
      <c r="X1312" t="s">
        <v>8568</v>
      </c>
      <c r="Y1312">
        <v>0.44340799453692797</v>
      </c>
      <c r="Z1312" t="str">
        <f>HYPERLINK("Melting_Curves/meltCurve_sp_Q00534_CDK6_HUMAN_.pdf", "Melting_Curves/meltCurve_sp_Q00534_CDK6_HUMAN_.pdf")</f>
        <v>Melting_Curves/meltCurve_sp_Q00534_CDK6_HUMAN_.pdf</v>
      </c>
      <c r="AA1312" t="s">
        <v>12176</v>
      </c>
      <c r="AB1312" t="s">
        <v>15737</v>
      </c>
    </row>
    <row r="1313" spans="1:28" x14ac:dyDescent="0.25">
      <c r="A1313" t="s">
        <v>1317</v>
      </c>
      <c r="B1313">
        <v>0.98018197421672304</v>
      </c>
      <c r="C1313">
        <v>0.95569801341222305</v>
      </c>
      <c r="D1313">
        <v>0.891850929506115</v>
      </c>
      <c r="E1313">
        <v>0.82551718813945896</v>
      </c>
      <c r="F1313">
        <v>0.75475475070508102</v>
      </c>
      <c r="G1313">
        <v>0.65505380775566102</v>
      </c>
      <c r="H1313">
        <v>0.52703981369401698</v>
      </c>
      <c r="I1313">
        <v>0.58515237487708605</v>
      </c>
      <c r="J1313">
        <v>0.46459877064357402</v>
      </c>
      <c r="K1313">
        <v>0.38922208771336397</v>
      </c>
      <c r="L1313">
        <v>382.78605962162698</v>
      </c>
      <c r="M1313">
        <v>6.3448364676409996</v>
      </c>
      <c r="N1313">
        <v>64.673810124120294</v>
      </c>
      <c r="O1313">
        <v>55.171022855716302</v>
      </c>
      <c r="P1313">
        <v>-2.3826051045288101E-2</v>
      </c>
      <c r="Q1313">
        <v>0.17348029962436301</v>
      </c>
      <c r="R1313">
        <v>0.97840918455593495</v>
      </c>
      <c r="S1313" t="s">
        <v>4942</v>
      </c>
      <c r="T1313" t="s">
        <v>7256</v>
      </c>
      <c r="U1313" t="s">
        <v>7256</v>
      </c>
      <c r="V1313" t="s">
        <v>7256</v>
      </c>
      <c r="W1313">
        <v>6</v>
      </c>
      <c r="X1313" t="s">
        <v>8569</v>
      </c>
      <c r="Y1313">
        <v>0.70536102860600236</v>
      </c>
      <c r="Z1313" t="str">
        <f>HYPERLINK("Melting_Curves/meltCurve_sp_Q00577_PURA_HUMAN_.pdf", "Melting_Curves/meltCurve_sp_Q00577_PURA_HUMAN_.pdf")</f>
        <v>Melting_Curves/meltCurve_sp_Q00577_PURA_HUMAN_.pdf</v>
      </c>
      <c r="AA1313" t="s">
        <v>12177</v>
      </c>
      <c r="AB1313" t="s">
        <v>15738</v>
      </c>
    </row>
    <row r="1314" spans="1:28" x14ac:dyDescent="0.25">
      <c r="A1314" t="s">
        <v>1318</v>
      </c>
      <c r="B1314">
        <v>0.98018197421672304</v>
      </c>
      <c r="C1314">
        <v>0.97691623775116199</v>
      </c>
      <c r="D1314">
        <v>0.89799618228098299</v>
      </c>
      <c r="E1314">
        <v>0.48292423747131902</v>
      </c>
      <c r="F1314">
        <v>0.151496585272832</v>
      </c>
      <c r="G1314">
        <v>0.106077935887501</v>
      </c>
      <c r="H1314">
        <v>7.2675059002513198E-2</v>
      </c>
      <c r="I1314">
        <v>5.4580843258332297E-2</v>
      </c>
      <c r="J1314">
        <v>6.7689910901886002E-2</v>
      </c>
      <c r="K1314">
        <v>5.6278576089543203E-2</v>
      </c>
      <c r="L1314">
        <v>1459.18186625259</v>
      </c>
      <c r="M1314">
        <v>29.463754584724999</v>
      </c>
      <c r="N1314">
        <v>49.7513436098643</v>
      </c>
      <c r="O1314">
        <v>49.298173342586701</v>
      </c>
      <c r="P1314">
        <v>-0.140031213849832</v>
      </c>
      <c r="Q1314">
        <v>6.2816500544035203E-2</v>
      </c>
      <c r="R1314">
        <v>0.99825985295219999</v>
      </c>
      <c r="S1314" t="s">
        <v>4943</v>
      </c>
      <c r="T1314" t="s">
        <v>7256</v>
      </c>
      <c r="U1314" t="s">
        <v>7256</v>
      </c>
      <c r="V1314" t="s">
        <v>7256</v>
      </c>
      <c r="W1314">
        <v>49</v>
      </c>
      <c r="X1314" t="s">
        <v>8570</v>
      </c>
      <c r="Y1314">
        <v>0.36632912598953088</v>
      </c>
      <c r="Z1314" t="str">
        <f>HYPERLINK("Melting_Curves/meltCurve_sp_Q00610_2_CLH1_HUMAN_.pdf", "Melting_Curves/meltCurve_sp_Q00610_2_CLH1_HUMAN_.pdf")</f>
        <v>Melting_Curves/meltCurve_sp_Q00610_2_CLH1_HUMAN_.pdf</v>
      </c>
      <c r="AA1314" t="s">
        <v>12178</v>
      </c>
      <c r="AB1314" t="s">
        <v>15739</v>
      </c>
    </row>
    <row r="1315" spans="1:28" x14ac:dyDescent="0.25">
      <c r="A1315" t="s">
        <v>1319</v>
      </c>
      <c r="B1315">
        <v>0.98018197421672304</v>
      </c>
      <c r="C1315">
        <v>1.10703798144743</v>
      </c>
      <c r="D1315">
        <v>0.804001024503054</v>
      </c>
      <c r="E1315">
        <v>0.48424611673778301</v>
      </c>
      <c r="F1315">
        <v>0.37975652858446901</v>
      </c>
      <c r="G1315">
        <v>0.26989288887948998</v>
      </c>
      <c r="H1315">
        <v>0.22374769909897699</v>
      </c>
      <c r="I1315">
        <v>0.17734177486844799</v>
      </c>
      <c r="J1315">
        <v>0.22608520809800101</v>
      </c>
      <c r="K1315">
        <v>0.19468863866077801</v>
      </c>
      <c r="L1315">
        <v>1078.2287551237</v>
      </c>
      <c r="M1315">
        <v>22.052590655409599</v>
      </c>
      <c r="N1315">
        <v>50.150772171837801</v>
      </c>
      <c r="O1315">
        <v>48.496807424653703</v>
      </c>
      <c r="P1315">
        <v>-8.9543086885387493E-2</v>
      </c>
      <c r="Q1315">
        <v>0.212345336751953</v>
      </c>
      <c r="R1315">
        <v>0.97527990467078696</v>
      </c>
      <c r="S1315" t="s">
        <v>4944</v>
      </c>
      <c r="T1315" t="s">
        <v>7256</v>
      </c>
      <c r="U1315" t="s">
        <v>7256</v>
      </c>
      <c r="V1315" t="s">
        <v>7256</v>
      </c>
      <c r="W1315">
        <v>1</v>
      </c>
      <c r="X1315" t="s">
        <v>8571</v>
      </c>
      <c r="Y1315">
        <v>0.45488392427446489</v>
      </c>
      <c r="Z1315" t="str">
        <f>HYPERLINK("Melting_Curves/meltCurve_sp_Q00653_NFKB2_HUMAN_.pdf", "Melting_Curves/meltCurve_sp_Q00653_NFKB2_HUMAN_.pdf")</f>
        <v>Melting_Curves/meltCurve_sp_Q00653_NFKB2_HUMAN_.pdf</v>
      </c>
      <c r="AA1315" t="s">
        <v>12179</v>
      </c>
      <c r="AB1315" t="s">
        <v>15740</v>
      </c>
    </row>
    <row r="1316" spans="1:28" x14ac:dyDescent="0.25">
      <c r="A1316" t="s">
        <v>1320</v>
      </c>
      <c r="B1316">
        <v>0.98018197421672304</v>
      </c>
      <c r="C1316">
        <v>0.94084184390785996</v>
      </c>
      <c r="D1316">
        <v>0.94749693570473403</v>
      </c>
      <c r="E1316">
        <v>0.80697420322795799</v>
      </c>
      <c r="F1316">
        <v>0.79318353156733101</v>
      </c>
      <c r="G1316">
        <v>0.63273561986371396</v>
      </c>
      <c r="H1316">
        <v>0.43986004043024401</v>
      </c>
      <c r="I1316">
        <v>0.44584178137651198</v>
      </c>
      <c r="J1316">
        <v>0.48787284596001401</v>
      </c>
      <c r="K1316">
        <v>0.52674103724951205</v>
      </c>
      <c r="L1316">
        <v>774.30471262293497</v>
      </c>
      <c r="M1316">
        <v>14.5134353222626</v>
      </c>
      <c r="N1316">
        <v>62.959818084294298</v>
      </c>
      <c r="O1316">
        <v>52.368710239045299</v>
      </c>
      <c r="P1316">
        <v>-3.8428038154935E-2</v>
      </c>
      <c r="Q1316">
        <v>0.44542544289400099</v>
      </c>
      <c r="R1316">
        <v>0.95053242266593396</v>
      </c>
      <c r="S1316" t="s">
        <v>4945</v>
      </c>
      <c r="T1316" t="s">
        <v>7256</v>
      </c>
      <c r="U1316" t="s">
        <v>7256</v>
      </c>
      <c r="V1316" t="s">
        <v>7256</v>
      </c>
      <c r="W1316">
        <v>15</v>
      </c>
      <c r="X1316" t="s">
        <v>8572</v>
      </c>
      <c r="Y1316">
        <v>0.70450144737466591</v>
      </c>
      <c r="Z1316" t="str">
        <f>HYPERLINK("Melting_Curves/meltCurve_sp_Q00688_FKBP3_HUMAN_.pdf", "Melting_Curves/meltCurve_sp_Q00688_FKBP3_HUMAN_.pdf")</f>
        <v>Melting_Curves/meltCurve_sp_Q00688_FKBP3_HUMAN_.pdf</v>
      </c>
      <c r="AA1316" t="s">
        <v>12180</v>
      </c>
      <c r="AB1316" t="s">
        <v>15741</v>
      </c>
    </row>
    <row r="1317" spans="1:28" x14ac:dyDescent="0.25">
      <c r="A1317" t="s">
        <v>1321</v>
      </c>
      <c r="B1317">
        <v>0.98018197421672304</v>
      </c>
      <c r="C1317">
        <v>0.71758967715534805</v>
      </c>
      <c r="D1317">
        <v>0.75264413705595601</v>
      </c>
      <c r="E1317">
        <v>0.52454137876615703</v>
      </c>
      <c r="F1317">
        <v>0.40905835575167099</v>
      </c>
      <c r="G1317">
        <v>0.234684425176791</v>
      </c>
      <c r="H1317">
        <v>0.22039683933756801</v>
      </c>
      <c r="I1317">
        <v>0.20319451378558001</v>
      </c>
      <c r="J1317">
        <v>0.189597437893707</v>
      </c>
      <c r="K1317">
        <v>0.119595652746585</v>
      </c>
      <c r="L1317">
        <v>480.720354274378</v>
      </c>
      <c r="M1317">
        <v>9.7641597178767405</v>
      </c>
      <c r="N1317">
        <v>50.351091907596803</v>
      </c>
      <c r="O1317">
        <v>47.301267933948203</v>
      </c>
      <c r="P1317">
        <v>-4.6601934685749198E-2</v>
      </c>
      <c r="Q1317">
        <v>9.7451567645385706E-2</v>
      </c>
      <c r="R1317">
        <v>0.96928885844585</v>
      </c>
      <c r="S1317" t="s">
        <v>4946</v>
      </c>
      <c r="T1317" t="s">
        <v>7256</v>
      </c>
      <c r="U1317" t="s">
        <v>7256</v>
      </c>
      <c r="V1317" t="s">
        <v>7256</v>
      </c>
      <c r="W1317">
        <v>1</v>
      </c>
      <c r="X1317" t="s">
        <v>8573</v>
      </c>
      <c r="Y1317">
        <v>0.42011291901794229</v>
      </c>
      <c r="Z1317" t="str">
        <f>HYPERLINK("Melting_Curves/meltCurve_sp_Q00765_REEP5_HUMAN_.pdf", "Melting_Curves/meltCurve_sp_Q00765_REEP5_HUMAN_.pdf")</f>
        <v>Melting_Curves/meltCurve_sp_Q00765_REEP5_HUMAN_.pdf</v>
      </c>
      <c r="AA1317" t="s">
        <v>12181</v>
      </c>
      <c r="AB1317" t="s">
        <v>15742</v>
      </c>
    </row>
    <row r="1318" spans="1:28" x14ac:dyDescent="0.25">
      <c r="A1318" t="s">
        <v>1322</v>
      </c>
      <c r="B1318">
        <v>0.98018197421672304</v>
      </c>
      <c r="C1318">
        <v>0.97007596850073396</v>
      </c>
      <c r="D1318">
        <v>0.96741988032674098</v>
      </c>
      <c r="E1318">
        <v>0.882609899883391</v>
      </c>
      <c r="F1318">
        <v>0.82584000553182002</v>
      </c>
      <c r="G1318">
        <v>0.73299726006206101</v>
      </c>
      <c r="H1318">
        <v>0.393522301638002</v>
      </c>
      <c r="I1318">
        <v>8.9575199018497795E-2</v>
      </c>
      <c r="J1318">
        <v>4.3008558916259203E-2</v>
      </c>
      <c r="K1318">
        <v>4.2947376986847002E-2</v>
      </c>
      <c r="L1318">
        <v>1223.5440109491301</v>
      </c>
      <c r="M1318">
        <v>20.709175621845901</v>
      </c>
      <c r="N1318">
        <v>59.082217175337398</v>
      </c>
      <c r="O1318">
        <v>58.539581642900501</v>
      </c>
      <c r="P1318">
        <v>-8.8443417755612194E-2</v>
      </c>
      <c r="Q1318">
        <v>0</v>
      </c>
      <c r="R1318">
        <v>0.97843253497560501</v>
      </c>
      <c r="S1318" t="s">
        <v>4947</v>
      </c>
      <c r="T1318" t="s">
        <v>7256</v>
      </c>
      <c r="U1318" t="s">
        <v>7256</v>
      </c>
      <c r="V1318" t="s">
        <v>7256</v>
      </c>
      <c r="W1318">
        <v>23</v>
      </c>
      <c r="X1318" t="s">
        <v>8574</v>
      </c>
      <c r="Y1318">
        <v>0.64579648393550071</v>
      </c>
      <c r="Z1318" t="str">
        <f>HYPERLINK("Melting_Curves/meltCurve_sp_Q00796_DHSO_HUMAN_.pdf", "Melting_Curves/meltCurve_sp_Q00796_DHSO_HUMAN_.pdf")</f>
        <v>Melting_Curves/meltCurve_sp_Q00796_DHSO_HUMAN_.pdf</v>
      </c>
      <c r="AA1318" t="s">
        <v>12182</v>
      </c>
      <c r="AB1318" t="s">
        <v>15743</v>
      </c>
    </row>
    <row r="1319" spans="1:28" x14ac:dyDescent="0.25">
      <c r="A1319" t="s">
        <v>1323</v>
      </c>
      <c r="B1319">
        <v>0.98018197421672304</v>
      </c>
      <c r="C1319">
        <v>0.96269857260882297</v>
      </c>
      <c r="D1319">
        <v>0.84851671147043795</v>
      </c>
      <c r="E1319">
        <v>0.60715193667200396</v>
      </c>
      <c r="F1319">
        <v>0.40712218925744098</v>
      </c>
      <c r="G1319">
        <v>0.243792157685399</v>
      </c>
      <c r="H1319">
        <v>0.11818776672806</v>
      </c>
      <c r="I1319">
        <v>9.4033934741615505E-2</v>
      </c>
      <c r="J1319">
        <v>0.113819249482159</v>
      </c>
      <c r="K1319">
        <v>0.100256405160082</v>
      </c>
      <c r="L1319">
        <v>789.60391130485596</v>
      </c>
      <c r="M1319">
        <v>15.4836547940582</v>
      </c>
      <c r="N1319">
        <v>51.5381848215387</v>
      </c>
      <c r="O1319">
        <v>50.168049670193902</v>
      </c>
      <c r="P1319">
        <v>-7.1365908245293597E-2</v>
      </c>
      <c r="Q1319">
        <v>7.5161748297059502E-2</v>
      </c>
      <c r="R1319">
        <v>0.99850268782804197</v>
      </c>
      <c r="S1319" t="s">
        <v>4948</v>
      </c>
      <c r="T1319" t="s">
        <v>7256</v>
      </c>
      <c r="U1319" t="s">
        <v>7256</v>
      </c>
      <c r="V1319" t="s">
        <v>7256</v>
      </c>
      <c r="W1319">
        <v>25</v>
      </c>
      <c r="X1319" t="s">
        <v>8575</v>
      </c>
      <c r="Y1319">
        <v>0.43441348905964777</v>
      </c>
      <c r="Z1319" t="str">
        <f>HYPERLINK("Melting_Curves/meltCurve_sp_Q00839_HNRPU_HUMAN_.pdf", "Melting_Curves/meltCurve_sp_Q00839_HNRPU_HUMAN_.pdf")</f>
        <v>Melting_Curves/meltCurve_sp_Q00839_HNRPU_HUMAN_.pdf</v>
      </c>
      <c r="AA1319" t="s">
        <v>12183</v>
      </c>
      <c r="AB1319" t="s">
        <v>15744</v>
      </c>
    </row>
    <row r="1320" spans="1:28" x14ac:dyDescent="0.25">
      <c r="A1320" t="s">
        <v>1324</v>
      </c>
      <c r="B1320">
        <v>0.98018197421672304</v>
      </c>
      <c r="C1320">
        <v>0.75257489987496295</v>
      </c>
      <c r="D1320">
        <v>0.74678809549435798</v>
      </c>
      <c r="E1320">
        <v>0.27138460354181498</v>
      </c>
      <c r="F1320">
        <v>0.243504330612448</v>
      </c>
      <c r="G1320">
        <v>0.13391161429059101</v>
      </c>
      <c r="H1320">
        <v>0.18370221415709401</v>
      </c>
      <c r="I1320">
        <v>0.14626870050779101</v>
      </c>
      <c r="J1320">
        <v>0.16774161718914801</v>
      </c>
      <c r="K1320">
        <v>0.70612098686116798</v>
      </c>
      <c r="L1320">
        <v>1092.72625671284</v>
      </c>
      <c r="M1320">
        <v>23.738246307503299</v>
      </c>
      <c r="N1320">
        <v>47.431705246559297</v>
      </c>
      <c r="O1320">
        <v>45.709377314365199</v>
      </c>
      <c r="P1320">
        <v>-9.7142732423570702E-2</v>
      </c>
      <c r="Q1320">
        <v>0.25179659259174703</v>
      </c>
      <c r="R1320">
        <v>0.69667547688424303</v>
      </c>
      <c r="S1320" t="s">
        <v>4949</v>
      </c>
      <c r="T1320" t="s">
        <v>7256</v>
      </c>
      <c r="U1320" t="s">
        <v>7256</v>
      </c>
      <c r="V1320" t="s">
        <v>7256</v>
      </c>
      <c r="W1320">
        <v>2</v>
      </c>
      <c r="X1320" t="s">
        <v>8576</v>
      </c>
      <c r="Y1320">
        <v>0.41001905538563199</v>
      </c>
      <c r="Z1320" t="str">
        <f>HYPERLINK("Melting_Curves/meltCurve_sp_Q01081_U2AF1_HUMAN_.pdf", "Melting_Curves/meltCurve_sp_Q01081_U2AF1_HUMAN_.pdf")</f>
        <v>Melting_Curves/meltCurve_sp_Q01081_U2AF1_HUMAN_.pdf</v>
      </c>
      <c r="AA1320" t="s">
        <v>12184</v>
      </c>
      <c r="AB1320" t="s">
        <v>15745</v>
      </c>
    </row>
    <row r="1321" spans="1:28" x14ac:dyDescent="0.25">
      <c r="A1321" t="s">
        <v>1325</v>
      </c>
      <c r="B1321">
        <v>0.98018197421672304</v>
      </c>
      <c r="C1321">
        <v>0.95586148867463705</v>
      </c>
      <c r="D1321">
        <v>0.94653445993791196</v>
      </c>
      <c r="E1321">
        <v>0.87397794679034702</v>
      </c>
      <c r="F1321">
        <v>0.79730742710298597</v>
      </c>
      <c r="G1321">
        <v>0.52533347203034098</v>
      </c>
      <c r="H1321">
        <v>5.7547155595969297E-2</v>
      </c>
      <c r="I1321">
        <v>3.62928385134847E-2</v>
      </c>
      <c r="J1321">
        <v>2.5173542950806399E-2</v>
      </c>
      <c r="K1321">
        <v>1.8530819144760499E-2</v>
      </c>
      <c r="L1321">
        <v>1335.70741774424</v>
      </c>
      <c r="M1321">
        <v>23.655767281437601</v>
      </c>
      <c r="N1321">
        <v>56.464345623060602</v>
      </c>
      <c r="O1321">
        <v>56.065480304958498</v>
      </c>
      <c r="P1321">
        <v>-0.105484529839763</v>
      </c>
      <c r="Q1321">
        <v>0</v>
      </c>
      <c r="R1321">
        <v>0.98436726903064498</v>
      </c>
      <c r="S1321" t="s">
        <v>4950</v>
      </c>
      <c r="T1321" t="s">
        <v>7256</v>
      </c>
      <c r="U1321" t="s">
        <v>7256</v>
      </c>
      <c r="V1321" t="s">
        <v>7256</v>
      </c>
      <c r="W1321">
        <v>95</v>
      </c>
      <c r="X1321" t="s">
        <v>8577</v>
      </c>
      <c r="Y1321">
        <v>0.55875574523661464</v>
      </c>
      <c r="Z1321" t="str">
        <f>HYPERLINK("Melting_Curves/meltCurve_sp_Q01082_3_SPTB2_HUMAN_.pdf", "Melting_Curves/meltCurve_sp_Q01082_3_SPTB2_HUMAN_.pdf")</f>
        <v>Melting_Curves/meltCurve_sp_Q01082_3_SPTB2_HUMAN_.pdf</v>
      </c>
      <c r="AA1321" t="s">
        <v>12185</v>
      </c>
      <c r="AB1321" t="s">
        <v>15746</v>
      </c>
    </row>
    <row r="1322" spans="1:28" x14ac:dyDescent="0.25">
      <c r="A1322" t="s">
        <v>1326</v>
      </c>
      <c r="B1322">
        <v>0.98018197421672304</v>
      </c>
      <c r="C1322">
        <v>0.956988532562702</v>
      </c>
      <c r="D1322">
        <v>0.876415000046743</v>
      </c>
      <c r="E1322">
        <v>0.75966910792196696</v>
      </c>
      <c r="F1322">
        <v>0.65597553400240904</v>
      </c>
      <c r="G1322">
        <v>0.38114512130660799</v>
      </c>
      <c r="H1322">
        <v>9.8571437461861505E-2</v>
      </c>
      <c r="I1322">
        <v>8.2062545069346196E-2</v>
      </c>
      <c r="J1322">
        <v>8.2479547399926301E-2</v>
      </c>
      <c r="K1322">
        <v>7.9506202405496704E-2</v>
      </c>
      <c r="L1322">
        <v>778.20986347096095</v>
      </c>
      <c r="M1322">
        <v>14.272589849511901</v>
      </c>
      <c r="N1322">
        <v>54.524782986505997</v>
      </c>
      <c r="O1322">
        <v>53.4878999241485</v>
      </c>
      <c r="P1322">
        <v>-6.6717619688252502E-2</v>
      </c>
      <c r="Q1322">
        <v>0</v>
      </c>
      <c r="R1322">
        <v>0.98712474619311696</v>
      </c>
      <c r="S1322" t="s">
        <v>4951</v>
      </c>
      <c r="T1322" t="s">
        <v>7256</v>
      </c>
      <c r="U1322" t="s">
        <v>7256</v>
      </c>
      <c r="V1322" t="s">
        <v>7256</v>
      </c>
      <c r="W1322">
        <v>104</v>
      </c>
      <c r="X1322" t="s">
        <v>8578</v>
      </c>
      <c r="Y1322">
        <v>0.50519441298554035</v>
      </c>
      <c r="Z1322" t="str">
        <f>HYPERLINK("Melting_Curves/meltCurve_sp_Q01082_SPTB2_HUMAN_.pdf", "Melting_Curves/meltCurve_sp_Q01082_SPTB2_HUMAN_.pdf")</f>
        <v>Melting_Curves/meltCurve_sp_Q01082_SPTB2_HUMAN_.pdf</v>
      </c>
      <c r="AA1322" t="s">
        <v>12185</v>
      </c>
      <c r="AB1322" t="s">
        <v>15747</v>
      </c>
    </row>
    <row r="1323" spans="1:28" x14ac:dyDescent="0.25">
      <c r="A1323" t="s">
        <v>1327</v>
      </c>
      <c r="B1323">
        <v>0.98018197421672304</v>
      </c>
      <c r="C1323">
        <v>0.91974103802728702</v>
      </c>
      <c r="D1323">
        <v>0.89908557612329898</v>
      </c>
      <c r="E1323">
        <v>0.70252357246905095</v>
      </c>
      <c r="F1323">
        <v>0.43735438565780099</v>
      </c>
      <c r="G1323">
        <v>0.25299113931108402</v>
      </c>
      <c r="H1323">
        <v>0.15120102211818401</v>
      </c>
      <c r="I1323">
        <v>9.5397869191578999E-2</v>
      </c>
      <c r="J1323">
        <v>9.0018540938429994E-2</v>
      </c>
      <c r="K1323">
        <v>6.5527559700049795E-2</v>
      </c>
      <c r="L1323">
        <v>805.18175337002197</v>
      </c>
      <c r="M1323">
        <v>15.458147376242501</v>
      </c>
      <c r="N1323">
        <v>52.464840273937298</v>
      </c>
      <c r="O1323">
        <v>51.239496344060399</v>
      </c>
      <c r="P1323">
        <v>-7.14630600042159E-2</v>
      </c>
      <c r="Q1323">
        <v>5.2563710507840498E-2</v>
      </c>
      <c r="R1323">
        <v>0.99683081798808204</v>
      </c>
      <c r="S1323" t="s">
        <v>4952</v>
      </c>
      <c r="T1323" t="s">
        <v>7256</v>
      </c>
      <c r="U1323" t="s">
        <v>7256</v>
      </c>
      <c r="V1323" t="s">
        <v>7256</v>
      </c>
      <c r="W1323">
        <v>4</v>
      </c>
      <c r="X1323" t="s">
        <v>8579</v>
      </c>
      <c r="Y1323">
        <v>0.45447748106365021</v>
      </c>
      <c r="Z1323" t="str">
        <f>HYPERLINK("Melting_Curves/meltCurve_sp_Q01085_2_TIAR_HUMAN_.pdf", "Melting_Curves/meltCurve_sp_Q01085_2_TIAR_HUMAN_.pdf")</f>
        <v>Melting_Curves/meltCurve_sp_Q01085_2_TIAR_HUMAN_.pdf</v>
      </c>
      <c r="AA1323" t="s">
        <v>12186</v>
      </c>
      <c r="AB1323" t="s">
        <v>15748</v>
      </c>
    </row>
    <row r="1324" spans="1:28" x14ac:dyDescent="0.25">
      <c r="A1324" t="s">
        <v>1328</v>
      </c>
      <c r="B1324">
        <v>0.98018197421672304</v>
      </c>
      <c r="C1324">
        <v>0.97424616159850796</v>
      </c>
      <c r="D1324">
        <v>0.96940952745896902</v>
      </c>
      <c r="E1324">
        <v>0.86214826941667499</v>
      </c>
      <c r="F1324">
        <v>0.83859381050118598</v>
      </c>
      <c r="G1324">
        <v>0.69513091356207102</v>
      </c>
      <c r="H1324">
        <v>0.53600498506106997</v>
      </c>
      <c r="I1324">
        <v>0.61722264430728002</v>
      </c>
      <c r="J1324">
        <v>0.72167339537964104</v>
      </c>
      <c r="K1324">
        <v>0.80777713520972605</v>
      </c>
      <c r="L1324">
        <v>1184.5336248592801</v>
      </c>
      <c r="M1324">
        <v>22.9956337314248</v>
      </c>
      <c r="O1324">
        <v>51.126445117326398</v>
      </c>
      <c r="P1324">
        <v>-3.6877704704820803E-2</v>
      </c>
      <c r="Q1324">
        <v>0.67204377835960905</v>
      </c>
      <c r="R1324">
        <v>0.77087565658720802</v>
      </c>
      <c r="S1324" t="s">
        <v>4953</v>
      </c>
      <c r="T1324" t="s">
        <v>7256</v>
      </c>
      <c r="U1324" t="s">
        <v>7256</v>
      </c>
      <c r="V1324" t="s">
        <v>7256</v>
      </c>
      <c r="W1324">
        <v>7</v>
      </c>
      <c r="X1324" t="s">
        <v>8580</v>
      </c>
      <c r="Y1324">
        <v>0.80138348547035254</v>
      </c>
      <c r="Z1324" t="str">
        <f>HYPERLINK("Melting_Curves/meltCurve_sp_Q01105_SET_HUMAN_.pdf", "Melting_Curves/meltCurve_sp_Q01105_SET_HUMAN_.pdf")</f>
        <v>Melting_Curves/meltCurve_sp_Q01105_SET_HUMAN_.pdf</v>
      </c>
      <c r="AA1324" t="s">
        <v>12187</v>
      </c>
      <c r="AB1324" t="s">
        <v>15749</v>
      </c>
    </row>
    <row r="1325" spans="1:28" x14ac:dyDescent="0.25">
      <c r="A1325" t="s">
        <v>1329</v>
      </c>
      <c r="B1325">
        <v>0.98018197421672304</v>
      </c>
      <c r="C1325">
        <v>0.97280596146737897</v>
      </c>
      <c r="D1325">
        <v>0.94935545386409104</v>
      </c>
      <c r="E1325">
        <v>0.813069090307592</v>
      </c>
      <c r="F1325">
        <v>0.66484002149132904</v>
      </c>
      <c r="G1325">
        <v>0.26907899865540102</v>
      </c>
      <c r="H1325">
        <v>6.1293507675120498E-2</v>
      </c>
      <c r="I1325">
        <v>4.9478992137952801E-2</v>
      </c>
      <c r="J1325">
        <v>5.0154909580640297E-2</v>
      </c>
      <c r="K1325">
        <v>4.6032114006194197E-2</v>
      </c>
      <c r="L1325">
        <v>1135.4771289443499</v>
      </c>
      <c r="M1325">
        <v>20.9526040023596</v>
      </c>
      <c r="N1325">
        <v>54.2779992581467</v>
      </c>
      <c r="O1325">
        <v>53.706250435074402</v>
      </c>
      <c r="P1325">
        <v>-9.5955428398515993E-2</v>
      </c>
      <c r="Q1325">
        <v>1.6205025192881799E-2</v>
      </c>
      <c r="R1325">
        <v>0.99524392425580099</v>
      </c>
      <c r="S1325" t="s">
        <v>4954</v>
      </c>
      <c r="T1325" t="s">
        <v>7256</v>
      </c>
      <c r="U1325" t="s">
        <v>7256</v>
      </c>
      <c r="V1325" t="s">
        <v>7256</v>
      </c>
      <c r="W1325">
        <v>9</v>
      </c>
      <c r="X1325" t="s">
        <v>8581</v>
      </c>
      <c r="Y1325">
        <v>0.49398978689076112</v>
      </c>
      <c r="Z1325" t="str">
        <f>HYPERLINK("Melting_Curves/meltCurve_sp_Q01415_GALK2_HUMAN_.pdf", "Melting_Curves/meltCurve_sp_Q01415_GALK2_HUMAN_.pdf")</f>
        <v>Melting_Curves/meltCurve_sp_Q01415_GALK2_HUMAN_.pdf</v>
      </c>
      <c r="AA1325" t="s">
        <v>12188</v>
      </c>
      <c r="AB1325" t="s">
        <v>15750</v>
      </c>
    </row>
    <row r="1326" spans="1:28" x14ac:dyDescent="0.25">
      <c r="A1326" t="s">
        <v>1330</v>
      </c>
      <c r="B1326">
        <v>0.98018197421672304</v>
      </c>
      <c r="C1326">
        <v>1.02270220839352</v>
      </c>
      <c r="D1326">
        <v>0.88339980643316796</v>
      </c>
      <c r="E1326">
        <v>0.81618228234579104</v>
      </c>
      <c r="F1326">
        <v>0.73437888812818697</v>
      </c>
      <c r="G1326">
        <v>0.55745591570393904</v>
      </c>
      <c r="H1326">
        <v>0.427821929666583</v>
      </c>
      <c r="I1326">
        <v>0.16267491288024299</v>
      </c>
      <c r="J1326">
        <v>7.9364320649273207E-2</v>
      </c>
      <c r="K1326">
        <v>5.6002852014476502E-2</v>
      </c>
      <c r="L1326">
        <v>715.37503165649696</v>
      </c>
      <c r="M1326">
        <v>12.452323034268799</v>
      </c>
      <c r="N1326">
        <v>57.449104558197398</v>
      </c>
      <c r="O1326">
        <v>56.027860427891</v>
      </c>
      <c r="P1326">
        <v>-5.5574688709430997E-2</v>
      </c>
      <c r="Q1326">
        <v>0</v>
      </c>
      <c r="R1326">
        <v>0.97610821217062205</v>
      </c>
      <c r="S1326" t="s">
        <v>4955</v>
      </c>
      <c r="T1326" t="s">
        <v>7256</v>
      </c>
      <c r="U1326" t="s">
        <v>7256</v>
      </c>
      <c r="V1326" t="s">
        <v>7256</v>
      </c>
      <c r="W1326">
        <v>20</v>
      </c>
      <c r="X1326" t="s">
        <v>8582</v>
      </c>
      <c r="Y1326">
        <v>0.59682288365102498</v>
      </c>
      <c r="Z1326" t="str">
        <f>HYPERLINK("Melting_Curves/meltCurve_sp_Q01433_2_AMPD2_HUMAN_.pdf", "Melting_Curves/meltCurve_sp_Q01433_2_AMPD2_HUMAN_.pdf")</f>
        <v>Melting_Curves/meltCurve_sp_Q01433_2_AMPD2_HUMAN_.pdf</v>
      </c>
      <c r="AA1326" t="s">
        <v>12189</v>
      </c>
      <c r="AB1326" t="s">
        <v>15751</v>
      </c>
    </row>
    <row r="1327" spans="1:28" x14ac:dyDescent="0.25">
      <c r="A1327" t="s">
        <v>1331</v>
      </c>
      <c r="B1327">
        <v>0.98018197421672304</v>
      </c>
      <c r="C1327">
        <v>0.97069929402989397</v>
      </c>
      <c r="D1327">
        <v>0.92655812088965295</v>
      </c>
      <c r="E1327">
        <v>0.867044616738471</v>
      </c>
      <c r="F1327">
        <v>0.73570097403012003</v>
      </c>
      <c r="G1327">
        <v>0.60860582854824996</v>
      </c>
      <c r="H1327">
        <v>0.440236942404926</v>
      </c>
      <c r="I1327">
        <v>0.39771606263253501</v>
      </c>
      <c r="J1327">
        <v>0.39187349384074599</v>
      </c>
      <c r="K1327">
        <v>0.19078556388896001</v>
      </c>
      <c r="L1327">
        <v>489.45727103050598</v>
      </c>
      <c r="M1327">
        <v>8.1371353341641601</v>
      </c>
      <c r="N1327">
        <v>60.2890149548533</v>
      </c>
      <c r="O1327">
        <v>56.845357701292599</v>
      </c>
      <c r="P1327">
        <v>-3.5493816086083103E-2</v>
      </c>
      <c r="Q1327">
        <v>9.22404744767839E-3</v>
      </c>
      <c r="R1327">
        <v>0.98272749863148201</v>
      </c>
      <c r="S1327" t="s">
        <v>4956</v>
      </c>
      <c r="T1327" t="s">
        <v>7256</v>
      </c>
      <c r="U1327" t="s">
        <v>7256</v>
      </c>
      <c r="V1327" t="s">
        <v>7256</v>
      </c>
      <c r="W1327">
        <v>2</v>
      </c>
      <c r="X1327" t="s">
        <v>8583</v>
      </c>
      <c r="Y1327">
        <v>0.65922466244700784</v>
      </c>
      <c r="Z1327" t="str">
        <f>HYPERLINK("Melting_Curves/meltCurve_sp_Q01459_DIAC_HUMAN_.pdf", "Melting_Curves/meltCurve_sp_Q01459_DIAC_HUMAN_.pdf")</f>
        <v>Melting_Curves/meltCurve_sp_Q01459_DIAC_HUMAN_.pdf</v>
      </c>
      <c r="AA1327" t="s">
        <v>12190</v>
      </c>
      <c r="AB1327" t="s">
        <v>15752</v>
      </c>
    </row>
    <row r="1328" spans="1:28" x14ac:dyDescent="0.25">
      <c r="A1328" t="s">
        <v>1332</v>
      </c>
      <c r="B1328">
        <v>0.98018197421672304</v>
      </c>
      <c r="C1328">
        <v>0.95414374429698501</v>
      </c>
      <c r="D1328">
        <v>0.88737902328483298</v>
      </c>
      <c r="E1328">
        <v>0.77342798590138995</v>
      </c>
      <c r="F1328">
        <v>0.65102183779225298</v>
      </c>
      <c r="G1328">
        <v>0.53904332656021103</v>
      </c>
      <c r="H1328">
        <v>0.37559558606131199</v>
      </c>
      <c r="I1328">
        <v>0.26962683222261302</v>
      </c>
      <c r="J1328">
        <v>0.31388328436162199</v>
      </c>
      <c r="K1328">
        <v>0.53959182354479096</v>
      </c>
      <c r="L1328">
        <v>764.23396706605695</v>
      </c>
      <c r="M1328">
        <v>14.694084547956701</v>
      </c>
      <c r="N1328">
        <v>56.718300511933599</v>
      </c>
      <c r="O1328">
        <v>51.074849129006502</v>
      </c>
      <c r="P1328">
        <v>-4.6585613782767099E-2</v>
      </c>
      <c r="Q1328">
        <v>0.35236723706266398</v>
      </c>
      <c r="R1328">
        <v>0.91336283396637497</v>
      </c>
      <c r="S1328" t="s">
        <v>4957</v>
      </c>
      <c r="T1328" t="s">
        <v>7256</v>
      </c>
      <c r="U1328" t="s">
        <v>7256</v>
      </c>
      <c r="V1328" t="s">
        <v>7256</v>
      </c>
      <c r="W1328">
        <v>5</v>
      </c>
      <c r="X1328" t="s">
        <v>8584</v>
      </c>
      <c r="Y1328">
        <v>0.62656157602235729</v>
      </c>
      <c r="Z1328" t="str">
        <f>HYPERLINK("Melting_Curves/meltCurve_sp_Q01469_FABP5_HUMAN_.pdf", "Melting_Curves/meltCurve_sp_Q01469_FABP5_HUMAN_.pdf")</f>
        <v>Melting_Curves/meltCurve_sp_Q01469_FABP5_HUMAN_.pdf</v>
      </c>
      <c r="AA1328" t="s">
        <v>12191</v>
      </c>
      <c r="AB1328" t="s">
        <v>15753</v>
      </c>
    </row>
    <row r="1329" spans="1:28" x14ac:dyDescent="0.25">
      <c r="A1329" t="s">
        <v>1333</v>
      </c>
      <c r="B1329">
        <v>0.98018197421672304</v>
      </c>
      <c r="C1329">
        <v>1.00021161038145</v>
      </c>
      <c r="D1329">
        <v>0.92072494679642802</v>
      </c>
      <c r="E1329">
        <v>0.82872814661273397</v>
      </c>
      <c r="F1329">
        <v>0.55459084438189499</v>
      </c>
      <c r="G1329">
        <v>0.12400929429115</v>
      </c>
      <c r="H1329">
        <v>5.45626926360923E-2</v>
      </c>
      <c r="I1329">
        <v>3.7285366922856299E-2</v>
      </c>
      <c r="J1329">
        <v>3.9042696703023301E-2</v>
      </c>
      <c r="K1329">
        <v>3.1948893550084699E-2</v>
      </c>
      <c r="L1329">
        <v>1422.06506281067</v>
      </c>
      <c r="M1329">
        <v>26.776913321519899</v>
      </c>
      <c r="N1329">
        <v>53.207453401697698</v>
      </c>
      <c r="O1329">
        <v>52.814309343189997</v>
      </c>
      <c r="P1329">
        <v>-0.12365393210758099</v>
      </c>
      <c r="Q1329">
        <v>2.4438358171482301E-2</v>
      </c>
      <c r="R1329">
        <v>0.99596728385003297</v>
      </c>
      <c r="S1329" t="s">
        <v>4958</v>
      </c>
      <c r="T1329" t="s">
        <v>7256</v>
      </c>
      <c r="U1329" t="s">
        <v>7256</v>
      </c>
      <c r="V1329" t="s">
        <v>7256</v>
      </c>
      <c r="W1329">
        <v>20</v>
      </c>
      <c r="X1329" t="s">
        <v>8585</v>
      </c>
      <c r="Y1329">
        <v>0.45858388236784481</v>
      </c>
      <c r="Z1329" t="str">
        <f>HYPERLINK("Melting_Curves/meltCurve_sp_Q01518_2_CAP1_HUMAN_.pdf", "Melting_Curves/meltCurve_sp_Q01518_2_CAP1_HUMAN_.pdf")</f>
        <v>Melting_Curves/meltCurve_sp_Q01518_2_CAP1_HUMAN_.pdf</v>
      </c>
      <c r="AA1329" t="s">
        <v>12192</v>
      </c>
      <c r="AB1329" t="s">
        <v>15754</v>
      </c>
    </row>
    <row r="1330" spans="1:28" x14ac:dyDescent="0.25">
      <c r="A1330" t="s">
        <v>1334</v>
      </c>
      <c r="B1330">
        <v>0.98018197421672304</v>
      </c>
      <c r="C1330">
        <v>0.94950046247426201</v>
      </c>
      <c r="D1330">
        <v>0.89446714390196902</v>
      </c>
      <c r="E1330">
        <v>0.67616246937219804</v>
      </c>
      <c r="F1330">
        <v>0.38360184874856801</v>
      </c>
      <c r="G1330">
        <v>0.102975999793172</v>
      </c>
      <c r="H1330">
        <v>5.40102789270379E-2</v>
      </c>
      <c r="I1330">
        <v>4.2118802222614E-2</v>
      </c>
      <c r="J1330">
        <v>5.1721726089990899E-2</v>
      </c>
      <c r="K1330">
        <v>3.7165551014233897E-2</v>
      </c>
      <c r="L1330">
        <v>1078.1962242775101</v>
      </c>
      <c r="M1330">
        <v>20.940378488807699</v>
      </c>
      <c r="N1330">
        <v>51.616301251639399</v>
      </c>
      <c r="O1330">
        <v>51.026196800680999</v>
      </c>
      <c r="P1330">
        <v>-0.100014124647044</v>
      </c>
      <c r="Q1330">
        <v>2.5193967378889799E-2</v>
      </c>
      <c r="R1330">
        <v>0.99690961127448596</v>
      </c>
      <c r="S1330" t="s">
        <v>4959</v>
      </c>
      <c r="T1330" t="s">
        <v>7256</v>
      </c>
      <c r="U1330" t="s">
        <v>7256</v>
      </c>
      <c r="V1330" t="s">
        <v>7256</v>
      </c>
      <c r="W1330">
        <v>12</v>
      </c>
      <c r="X1330" t="s">
        <v>8586</v>
      </c>
      <c r="Y1330">
        <v>0.410921842057413</v>
      </c>
      <c r="Z1330" t="str">
        <f>HYPERLINK("Melting_Curves/meltCurve_sp_Q01581_HMCS1_HUMAN_.pdf", "Melting_Curves/meltCurve_sp_Q01581_HMCS1_HUMAN_.pdf")</f>
        <v>Melting_Curves/meltCurve_sp_Q01581_HMCS1_HUMAN_.pdf</v>
      </c>
      <c r="AA1330" t="s">
        <v>12193</v>
      </c>
      <c r="AB1330" t="s">
        <v>15755</v>
      </c>
    </row>
    <row r="1331" spans="1:28" x14ac:dyDescent="0.25">
      <c r="A1331" t="s">
        <v>1335</v>
      </c>
      <c r="B1331">
        <v>0.98018197421672304</v>
      </c>
      <c r="C1331">
        <v>0.87502817757752205</v>
      </c>
      <c r="D1331">
        <v>0.86417908522903897</v>
      </c>
      <c r="E1331">
        <v>0.76780478521242901</v>
      </c>
      <c r="F1331">
        <v>0.59782600266650499</v>
      </c>
      <c r="G1331">
        <v>0.457983326246649</v>
      </c>
      <c r="H1331">
        <v>0.35291108465016102</v>
      </c>
      <c r="I1331">
        <v>0.34917188764907903</v>
      </c>
      <c r="J1331">
        <v>0.48150048470439399</v>
      </c>
      <c r="K1331">
        <v>0.49358517850053402</v>
      </c>
      <c r="L1331">
        <v>750.57096271887895</v>
      </c>
      <c r="M1331">
        <v>14.9486133497783</v>
      </c>
      <c r="N1331">
        <v>56.264582424182102</v>
      </c>
      <c r="O1331">
        <v>49.337222532823603</v>
      </c>
      <c r="P1331">
        <v>-4.54593741169197E-2</v>
      </c>
      <c r="Q1331">
        <v>0.399914962368279</v>
      </c>
      <c r="R1331">
        <v>0.92543561636342697</v>
      </c>
      <c r="S1331" t="s">
        <v>4960</v>
      </c>
      <c r="T1331" t="s">
        <v>7256</v>
      </c>
      <c r="U1331" t="s">
        <v>7256</v>
      </c>
      <c r="V1331" t="s">
        <v>7256</v>
      </c>
      <c r="W1331">
        <v>3</v>
      </c>
      <c r="X1331" t="s">
        <v>8587</v>
      </c>
      <c r="Y1331">
        <v>0.61844466698673817</v>
      </c>
      <c r="Z1331" t="str">
        <f>HYPERLINK("Melting_Curves/meltCurve_sp_Q01658_NC2B_HUMAN_.pdf", "Melting_Curves/meltCurve_sp_Q01658_NC2B_HUMAN_.pdf")</f>
        <v>Melting_Curves/meltCurve_sp_Q01658_NC2B_HUMAN_.pdf</v>
      </c>
      <c r="AA1331" t="s">
        <v>12194</v>
      </c>
      <c r="AB1331" t="s">
        <v>15756</v>
      </c>
    </row>
    <row r="1332" spans="1:28" x14ac:dyDescent="0.25">
      <c r="A1332" t="s">
        <v>1336</v>
      </c>
      <c r="B1332">
        <v>0.98018197421672304</v>
      </c>
      <c r="C1332">
        <v>0.85605597207930895</v>
      </c>
      <c r="D1332">
        <v>0.73927193040250505</v>
      </c>
      <c r="E1332">
        <v>0.56404004291312304</v>
      </c>
      <c r="F1332">
        <v>0.42160413813918901</v>
      </c>
      <c r="G1332">
        <v>0.26707507082758702</v>
      </c>
      <c r="H1332">
        <v>0.185730123857898</v>
      </c>
      <c r="I1332">
        <v>0.16108258027292799</v>
      </c>
      <c r="J1332">
        <v>0.26583712636892298</v>
      </c>
      <c r="K1332">
        <v>0.30997369049252299</v>
      </c>
      <c r="L1332">
        <v>675.221820553361</v>
      </c>
      <c r="M1332">
        <v>13.893694502065999</v>
      </c>
      <c r="N1332">
        <v>50.553557606050802</v>
      </c>
      <c r="O1332">
        <v>47.625552753870103</v>
      </c>
      <c r="P1332">
        <v>-5.7785391518133201E-2</v>
      </c>
      <c r="Q1332">
        <v>0.20778851663523201</v>
      </c>
      <c r="R1332">
        <v>0.96854683071897196</v>
      </c>
      <c r="S1332" t="s">
        <v>4961</v>
      </c>
      <c r="T1332" t="s">
        <v>7256</v>
      </c>
      <c r="U1332" t="s">
        <v>7256</v>
      </c>
      <c r="V1332" t="s">
        <v>7256</v>
      </c>
      <c r="W1332">
        <v>2</v>
      </c>
      <c r="X1332" t="s">
        <v>8588</v>
      </c>
      <c r="Y1332">
        <v>0.45782199250624978</v>
      </c>
      <c r="Z1332" t="str">
        <f>HYPERLINK("Melting_Curves/meltCurve_sp_Q01804_OTUD4_HUMAN_.pdf", "Melting_Curves/meltCurve_sp_Q01804_OTUD4_HUMAN_.pdf")</f>
        <v>Melting_Curves/meltCurve_sp_Q01804_OTUD4_HUMAN_.pdf</v>
      </c>
      <c r="AA1332" t="s">
        <v>12195</v>
      </c>
      <c r="AB1332" t="s">
        <v>15757</v>
      </c>
    </row>
    <row r="1333" spans="1:28" x14ac:dyDescent="0.25">
      <c r="A1333" t="s">
        <v>1337</v>
      </c>
      <c r="B1333">
        <v>0.98018197421672304</v>
      </c>
      <c r="C1333">
        <v>0.87778182062300703</v>
      </c>
      <c r="D1333">
        <v>0.91339037323444805</v>
      </c>
      <c r="E1333">
        <v>0.756616653536622</v>
      </c>
      <c r="F1333">
        <v>0.80382315987534603</v>
      </c>
      <c r="G1333">
        <v>0.70782695749587898</v>
      </c>
      <c r="H1333">
        <v>0.61433082807677997</v>
      </c>
      <c r="I1333">
        <v>0.71238390357828696</v>
      </c>
      <c r="J1333">
        <v>0.68127997547443198</v>
      </c>
      <c r="K1333">
        <v>0.97787543316376602</v>
      </c>
      <c r="L1333">
        <v>738.37136038825497</v>
      </c>
      <c r="M1333">
        <v>16.281211732703301</v>
      </c>
      <c r="O1333">
        <v>44.683513817283298</v>
      </c>
      <c r="P1333">
        <v>-2.35288018986053E-2</v>
      </c>
      <c r="Q1333">
        <v>0.74172130120417201</v>
      </c>
      <c r="R1333">
        <v>0.41453637213183903</v>
      </c>
      <c r="S1333" t="s">
        <v>4962</v>
      </c>
      <c r="T1333" t="s">
        <v>7256</v>
      </c>
      <c r="U1333" t="s">
        <v>7256</v>
      </c>
      <c r="V1333" t="s">
        <v>7256</v>
      </c>
      <c r="W1333">
        <v>5</v>
      </c>
      <c r="X1333" t="s">
        <v>8589</v>
      </c>
      <c r="Y1333">
        <v>0.79450053972620327</v>
      </c>
      <c r="Z1333" t="str">
        <f>HYPERLINK("Melting_Curves/meltCurve_sp_Q01844_6_EWS_HUMAN_.pdf", "Melting_Curves/meltCurve_sp_Q01844_6_EWS_HUMAN_.pdf")</f>
        <v>Melting_Curves/meltCurve_sp_Q01844_6_EWS_HUMAN_.pdf</v>
      </c>
      <c r="AA1333" t="s">
        <v>12196</v>
      </c>
      <c r="AB1333" t="s">
        <v>15758</v>
      </c>
    </row>
    <row r="1334" spans="1:28" x14ac:dyDescent="0.25">
      <c r="A1334" t="s">
        <v>1338</v>
      </c>
      <c r="B1334">
        <v>0.98018197421672304</v>
      </c>
      <c r="C1334">
        <v>1.4085074665173001</v>
      </c>
      <c r="D1334">
        <v>0.13107823458269299</v>
      </c>
      <c r="E1334">
        <v>0.125671489676109</v>
      </c>
      <c r="F1334">
        <v>1.04862351041816</v>
      </c>
      <c r="G1334">
        <v>0.80040345725789497</v>
      </c>
      <c r="H1334">
        <v>0.114336228942322</v>
      </c>
      <c r="I1334">
        <v>8.9090484585029397E-2</v>
      </c>
      <c r="J1334">
        <v>1.1164995924438501</v>
      </c>
      <c r="K1334">
        <v>1.18080595967415</v>
      </c>
      <c r="L1334">
        <v>11098.649803725901</v>
      </c>
      <c r="M1334">
        <v>250</v>
      </c>
      <c r="O1334">
        <v>44.391758313193101</v>
      </c>
      <c r="P1334">
        <v>-0.59720747829255805</v>
      </c>
      <c r="Q1334">
        <v>0.57582256042596403</v>
      </c>
      <c r="R1334">
        <v>0.21575469511165299</v>
      </c>
      <c r="S1334" t="s">
        <v>4963</v>
      </c>
      <c r="T1334" t="s">
        <v>7256</v>
      </c>
      <c r="U1334" t="s">
        <v>7256</v>
      </c>
      <c r="V1334" t="s">
        <v>7256</v>
      </c>
      <c r="W1334">
        <v>1</v>
      </c>
      <c r="X1334" t="s">
        <v>8590</v>
      </c>
      <c r="Y1334">
        <v>0.63799193696455014</v>
      </c>
      <c r="Z1334" t="str">
        <f>HYPERLINK("Melting_Curves/meltCurve_sp_Q01995_TAGL_HUMAN_.pdf", "Melting_Curves/meltCurve_sp_Q01995_TAGL_HUMAN_.pdf")</f>
        <v>Melting_Curves/meltCurve_sp_Q01995_TAGL_HUMAN_.pdf</v>
      </c>
      <c r="AA1334" t="s">
        <v>12197</v>
      </c>
      <c r="AB1334" t="s">
        <v>15759</v>
      </c>
    </row>
    <row r="1335" spans="1:28" x14ac:dyDescent="0.25">
      <c r="A1335" t="s">
        <v>1339</v>
      </c>
      <c r="B1335">
        <v>0.98018197421672304</v>
      </c>
      <c r="C1335">
        <v>0.92659592149488601</v>
      </c>
      <c r="D1335">
        <v>0.881111915589053</v>
      </c>
      <c r="E1335">
        <v>0.74897560966189902</v>
      </c>
      <c r="F1335">
        <v>0.59255077495736597</v>
      </c>
      <c r="G1335">
        <v>0.336558821374217</v>
      </c>
      <c r="H1335">
        <v>0.22837408734379899</v>
      </c>
      <c r="I1335">
        <v>0.146233175123471</v>
      </c>
      <c r="J1335">
        <v>0.10589762256072</v>
      </c>
      <c r="K1335">
        <v>0.119665999165724</v>
      </c>
      <c r="L1335">
        <v>671.00082678603405</v>
      </c>
      <c r="M1335">
        <v>12.4638331057677</v>
      </c>
      <c r="N1335">
        <v>54.226894844652399</v>
      </c>
      <c r="O1335">
        <v>52.506319735354502</v>
      </c>
      <c r="P1335">
        <v>-5.6805578111638201E-2</v>
      </c>
      <c r="Q1335">
        <v>4.2980989093951302E-2</v>
      </c>
      <c r="R1335">
        <v>0.99648654941978398</v>
      </c>
      <c r="S1335" t="s">
        <v>4964</v>
      </c>
      <c r="T1335" t="s">
        <v>7256</v>
      </c>
      <c r="U1335" t="s">
        <v>7256</v>
      </c>
      <c r="V1335" t="s">
        <v>7256</v>
      </c>
      <c r="W1335">
        <v>6</v>
      </c>
      <c r="X1335" t="s">
        <v>8591</v>
      </c>
      <c r="Y1335">
        <v>0.50880652959383643</v>
      </c>
      <c r="Z1335" t="str">
        <f>HYPERLINK("Melting_Curves/meltCurve_sp_Q02083_2_NAAA_HUMAN_.pdf", "Melting_Curves/meltCurve_sp_Q02083_2_NAAA_HUMAN_.pdf")</f>
        <v>Melting_Curves/meltCurve_sp_Q02083_2_NAAA_HUMAN_.pdf</v>
      </c>
      <c r="AA1335" t="s">
        <v>12198</v>
      </c>
      <c r="AB1335" t="s">
        <v>15760</v>
      </c>
    </row>
    <row r="1336" spans="1:28" x14ac:dyDescent="0.25">
      <c r="A1336" t="s">
        <v>1340</v>
      </c>
      <c r="B1336">
        <v>0.98018197421672304</v>
      </c>
      <c r="C1336">
        <v>0.68207634294336095</v>
      </c>
      <c r="D1336">
        <v>0.69609190463583803</v>
      </c>
      <c r="E1336">
        <v>0.71675802142686795</v>
      </c>
      <c r="F1336">
        <v>0.424929213245059</v>
      </c>
      <c r="G1336">
        <v>9.3579916303570196E-2</v>
      </c>
      <c r="H1336">
        <v>2.9775188268227001E-2</v>
      </c>
      <c r="I1336">
        <v>2.8102796125673402E-2</v>
      </c>
      <c r="J1336">
        <v>2.8405408505382701E-2</v>
      </c>
      <c r="K1336">
        <v>2.8016343455679101E-2</v>
      </c>
      <c r="L1336">
        <v>592.91384792143594</v>
      </c>
      <c r="M1336">
        <v>11.7563339400598</v>
      </c>
      <c r="N1336">
        <v>50.433566286585801</v>
      </c>
      <c r="O1336">
        <v>49.040671081490601</v>
      </c>
      <c r="P1336">
        <v>-5.9947193155012103E-2</v>
      </c>
      <c r="Q1336">
        <v>0</v>
      </c>
      <c r="R1336">
        <v>0.91161722856278204</v>
      </c>
      <c r="S1336" t="s">
        <v>4965</v>
      </c>
      <c r="T1336" t="s">
        <v>7256</v>
      </c>
      <c r="U1336" t="s">
        <v>7256</v>
      </c>
      <c r="V1336" t="s">
        <v>7256</v>
      </c>
      <c r="W1336">
        <v>3</v>
      </c>
      <c r="X1336" t="s">
        <v>8592</v>
      </c>
      <c r="Y1336">
        <v>0.38257891164527003</v>
      </c>
      <c r="Z1336" t="str">
        <f>HYPERLINK("Melting_Curves/meltCurve_sp_Q02224_3_CENPE_HUMAN_.pdf", "Melting_Curves/meltCurve_sp_Q02224_3_CENPE_HUMAN_.pdf")</f>
        <v>Melting_Curves/meltCurve_sp_Q02224_3_CENPE_HUMAN_.pdf</v>
      </c>
      <c r="AA1336" t="s">
        <v>12199</v>
      </c>
      <c r="AB1336" t="s">
        <v>15761</v>
      </c>
    </row>
    <row r="1337" spans="1:28" x14ac:dyDescent="0.25">
      <c r="A1337" t="s">
        <v>1341</v>
      </c>
      <c r="B1337">
        <v>0.98018197421672304</v>
      </c>
      <c r="C1337">
        <v>0.93383082252048599</v>
      </c>
      <c r="D1337">
        <v>0.58387429474913</v>
      </c>
      <c r="E1337">
        <v>0.22338584622847599</v>
      </c>
      <c r="F1337">
        <v>9.5309074418914397E-2</v>
      </c>
      <c r="G1337">
        <v>4.9729429232237297E-2</v>
      </c>
      <c r="H1337">
        <v>2.9206459917019801E-2</v>
      </c>
      <c r="I1337">
        <v>2.3448190058695001E-2</v>
      </c>
      <c r="J1337">
        <v>2.5081541332848501E-2</v>
      </c>
      <c r="K1337">
        <v>1.7268346944194699E-2</v>
      </c>
      <c r="L1337">
        <v>1085.5401819958199</v>
      </c>
      <c r="M1337">
        <v>23.190235359179901</v>
      </c>
      <c r="N1337">
        <v>46.922493121033398</v>
      </c>
      <c r="O1337">
        <v>46.4663136091092</v>
      </c>
      <c r="P1337">
        <v>-0.121404166237244</v>
      </c>
      <c r="Q1337">
        <v>2.6986709450460701E-2</v>
      </c>
      <c r="R1337">
        <v>0.997960945173055</v>
      </c>
      <c r="S1337" t="s">
        <v>4966</v>
      </c>
      <c r="T1337" t="s">
        <v>7256</v>
      </c>
      <c r="U1337" t="s">
        <v>7256</v>
      </c>
      <c r="V1337" t="s">
        <v>7256</v>
      </c>
      <c r="W1337">
        <v>38</v>
      </c>
      <c r="X1337" t="s">
        <v>8593</v>
      </c>
      <c r="Y1337">
        <v>0.2581837300406532</v>
      </c>
      <c r="Z1337" t="str">
        <f>HYPERLINK("Melting_Curves/meltCurve_sp_Q02252_MMSA_HUMAN_.pdf", "Melting_Curves/meltCurve_sp_Q02252_MMSA_HUMAN_.pdf")</f>
        <v>Melting_Curves/meltCurve_sp_Q02252_MMSA_HUMAN_.pdf</v>
      </c>
      <c r="AA1337" t="s">
        <v>12200</v>
      </c>
      <c r="AB1337" t="s">
        <v>15762</v>
      </c>
    </row>
    <row r="1338" spans="1:28" x14ac:dyDescent="0.25">
      <c r="A1338" t="s">
        <v>1342</v>
      </c>
      <c r="B1338">
        <v>0.98018197421672304</v>
      </c>
      <c r="C1338">
        <v>0.88363813590068196</v>
      </c>
      <c r="D1338">
        <v>0.69449758944366502</v>
      </c>
      <c r="E1338">
        <v>0.49019300754248102</v>
      </c>
      <c r="F1338">
        <v>0.33524446146325898</v>
      </c>
      <c r="G1338">
        <v>0.19530857118883799</v>
      </c>
      <c r="H1338">
        <v>0.106284260569828</v>
      </c>
      <c r="I1338">
        <v>5.4546209612936103E-2</v>
      </c>
      <c r="J1338">
        <v>4.3615174433722502E-2</v>
      </c>
      <c r="K1338">
        <v>4.6769420521739401E-2</v>
      </c>
      <c r="L1338">
        <v>592.26749285896994</v>
      </c>
      <c r="M1338">
        <v>11.9096982305379</v>
      </c>
      <c r="N1338">
        <v>49.778797855194</v>
      </c>
      <c r="O1338">
        <v>48.389977577080998</v>
      </c>
      <c r="P1338">
        <v>-6.1186770593878399E-2</v>
      </c>
      <c r="Q1338">
        <v>5.8214312408092104E-3</v>
      </c>
      <c r="R1338">
        <v>0.99759579887973004</v>
      </c>
      <c r="S1338" t="s">
        <v>4967</v>
      </c>
      <c r="T1338" t="s">
        <v>7256</v>
      </c>
      <c r="U1338" t="s">
        <v>7256</v>
      </c>
      <c r="V1338" t="s">
        <v>7256</v>
      </c>
      <c r="W1338">
        <v>6</v>
      </c>
      <c r="X1338" t="s">
        <v>8594</v>
      </c>
      <c r="Y1338">
        <v>0.36365103090069228</v>
      </c>
      <c r="Z1338" t="str">
        <f>HYPERLINK("Melting_Curves/meltCurve_sp_Q02318_CP27A_HUMAN_.pdf", "Melting_Curves/meltCurve_sp_Q02318_CP27A_HUMAN_.pdf")</f>
        <v>Melting_Curves/meltCurve_sp_Q02318_CP27A_HUMAN_.pdf</v>
      </c>
      <c r="AA1338" t="s">
        <v>12201</v>
      </c>
      <c r="AB1338" t="s">
        <v>15763</v>
      </c>
    </row>
    <row r="1339" spans="1:28" x14ac:dyDescent="0.25">
      <c r="A1339" t="s">
        <v>1343</v>
      </c>
      <c r="B1339">
        <v>0.98018197421672304</v>
      </c>
      <c r="C1339">
        <v>0.73111641762079305</v>
      </c>
      <c r="D1339">
        <v>0.82434324691819805</v>
      </c>
      <c r="E1339">
        <v>0.748727023400381</v>
      </c>
      <c r="F1339">
        <v>0.68358236290489105</v>
      </c>
      <c r="G1339">
        <v>0.52312032090375005</v>
      </c>
      <c r="H1339">
        <v>0.52377678787831605</v>
      </c>
      <c r="I1339">
        <v>0.55391958936124497</v>
      </c>
      <c r="J1339">
        <v>0.84190345025679802</v>
      </c>
      <c r="K1339">
        <v>0.54448363611477302</v>
      </c>
      <c r="L1339">
        <v>504.79840351784799</v>
      </c>
      <c r="M1339">
        <v>11.2564409048075</v>
      </c>
      <c r="O1339">
        <v>43.4998301675965</v>
      </c>
      <c r="P1339">
        <v>-2.6140560843253301E-2</v>
      </c>
      <c r="Q1339">
        <v>0.59605028888503597</v>
      </c>
      <c r="R1339">
        <v>0.52666495590419604</v>
      </c>
      <c r="S1339" t="s">
        <v>4968</v>
      </c>
      <c r="T1339" t="s">
        <v>7256</v>
      </c>
      <c r="U1339" t="s">
        <v>7256</v>
      </c>
      <c r="V1339" t="s">
        <v>7256</v>
      </c>
      <c r="W1339">
        <v>2</v>
      </c>
      <c r="X1339" t="s">
        <v>8595</v>
      </c>
      <c r="Y1339">
        <v>0.68429512173402751</v>
      </c>
      <c r="Z1339" t="str">
        <f>HYPERLINK("Melting_Curves/meltCurve_sp_Q02325_PLGB_HUMAN_.pdf", "Melting_Curves/meltCurve_sp_Q02325_PLGB_HUMAN_.pdf")</f>
        <v>Melting_Curves/meltCurve_sp_Q02325_PLGB_HUMAN_.pdf</v>
      </c>
      <c r="AA1339" t="s">
        <v>12202</v>
      </c>
      <c r="AB1339" t="s">
        <v>15764</v>
      </c>
    </row>
    <row r="1340" spans="1:28" x14ac:dyDescent="0.25">
      <c r="A1340" t="s">
        <v>1344</v>
      </c>
      <c r="B1340">
        <v>0.98018197421672304</v>
      </c>
      <c r="C1340">
        <v>0.82905103119382495</v>
      </c>
      <c r="D1340">
        <v>0.893575098242257</v>
      </c>
      <c r="E1340">
        <v>0.78302664651762199</v>
      </c>
      <c r="F1340">
        <v>0.68917011437790998</v>
      </c>
      <c r="G1340">
        <v>0.45684273864508601</v>
      </c>
      <c r="H1340">
        <v>0.31568238010788302</v>
      </c>
      <c r="I1340">
        <v>0.225879194373662</v>
      </c>
      <c r="J1340">
        <v>0.25871851339865598</v>
      </c>
      <c r="K1340">
        <v>0.26648348632442198</v>
      </c>
      <c r="L1340">
        <v>575.13821047824399</v>
      </c>
      <c r="M1340">
        <v>10.558013999795699</v>
      </c>
      <c r="N1340">
        <v>56.2088385409265</v>
      </c>
      <c r="O1340">
        <v>52.628767215542403</v>
      </c>
      <c r="P1340">
        <v>-4.3196856387018701E-2</v>
      </c>
      <c r="Q1340">
        <v>0.13904277397734699</v>
      </c>
      <c r="R1340">
        <v>0.96542062725310696</v>
      </c>
      <c r="S1340" t="s">
        <v>4969</v>
      </c>
      <c r="T1340" t="s">
        <v>7256</v>
      </c>
      <c r="U1340" t="s">
        <v>7256</v>
      </c>
      <c r="V1340" t="s">
        <v>7256</v>
      </c>
      <c r="W1340">
        <v>4</v>
      </c>
      <c r="X1340" t="s">
        <v>8596</v>
      </c>
      <c r="Y1340">
        <v>0.57794372719180209</v>
      </c>
      <c r="Z1340" t="str">
        <f>HYPERLINK("Melting_Curves/meltCurve_sp_Q02410_APBA1_HUMAN_.pdf", "Melting_Curves/meltCurve_sp_Q02410_APBA1_HUMAN_.pdf")</f>
        <v>Melting_Curves/meltCurve_sp_Q02410_APBA1_HUMAN_.pdf</v>
      </c>
      <c r="AA1340" t="s">
        <v>12203</v>
      </c>
      <c r="AB1340" t="s">
        <v>15765</v>
      </c>
    </row>
    <row r="1341" spans="1:28" x14ac:dyDescent="0.25">
      <c r="A1341" t="s">
        <v>1345</v>
      </c>
      <c r="B1341">
        <v>0.98018197421672304</v>
      </c>
      <c r="C1341">
        <v>0.865232506627439</v>
      </c>
      <c r="D1341">
        <v>0.82502600846936702</v>
      </c>
      <c r="E1341">
        <v>0.56009215436377002</v>
      </c>
      <c r="F1341">
        <v>0.44422195741165099</v>
      </c>
      <c r="G1341">
        <v>0.17880458740840599</v>
      </c>
      <c r="H1341">
        <v>1.50121175048696</v>
      </c>
      <c r="I1341">
        <v>0.27266317937915102</v>
      </c>
      <c r="J1341">
        <v>2.5742038417113098</v>
      </c>
      <c r="K1341">
        <v>2.8821547202182898</v>
      </c>
      <c r="L1341">
        <v>15000</v>
      </c>
      <c r="M1341">
        <v>229.323198113275</v>
      </c>
      <c r="O1341">
        <v>65.404904765931207</v>
      </c>
      <c r="P1341">
        <v>0.438276075574485</v>
      </c>
      <c r="Q1341">
        <v>1.5</v>
      </c>
      <c r="R1341">
        <v>0.35775815867448801</v>
      </c>
      <c r="S1341" t="s">
        <v>4970</v>
      </c>
      <c r="T1341" t="s">
        <v>7256</v>
      </c>
      <c r="U1341" t="s">
        <v>7256</v>
      </c>
      <c r="V1341" t="s">
        <v>7256</v>
      </c>
      <c r="W1341">
        <v>6</v>
      </c>
      <c r="X1341" t="s">
        <v>8597</v>
      </c>
      <c r="Y1341">
        <v>1.0764339938066489</v>
      </c>
      <c r="Z1341" t="str">
        <f>HYPERLINK("Melting_Curves/meltCurve_sp_Q02413_DSG1_HUMAN_.pdf", "Melting_Curves/meltCurve_sp_Q02413_DSG1_HUMAN_.pdf")</f>
        <v>Melting_Curves/meltCurve_sp_Q02413_DSG1_HUMAN_.pdf</v>
      </c>
      <c r="AA1341" t="s">
        <v>12204</v>
      </c>
      <c r="AB1341" t="s">
        <v>15766</v>
      </c>
    </row>
    <row r="1342" spans="1:28" x14ac:dyDescent="0.25">
      <c r="A1342" t="s">
        <v>1346</v>
      </c>
      <c r="B1342">
        <v>0.98018197421672304</v>
      </c>
      <c r="C1342">
        <v>0.88777943648571001</v>
      </c>
      <c r="D1342">
        <v>0.881060024839315</v>
      </c>
      <c r="E1342">
        <v>0.65440475936626497</v>
      </c>
      <c r="F1342">
        <v>0.26139529156088598</v>
      </c>
      <c r="G1342">
        <v>0.161050087979866</v>
      </c>
      <c r="H1342">
        <v>8.2191150102126603E-2</v>
      </c>
      <c r="I1342">
        <v>5.1156982848086202E-2</v>
      </c>
      <c r="J1342">
        <v>6.3066475854885007E-2</v>
      </c>
      <c r="K1342">
        <v>4.1001549885661598E-2</v>
      </c>
      <c r="L1342">
        <v>1036.50779371416</v>
      </c>
      <c r="M1342">
        <v>20.430822025401898</v>
      </c>
      <c r="N1342">
        <v>50.970506165719598</v>
      </c>
      <c r="O1342">
        <v>50.254013420690598</v>
      </c>
      <c r="P1342">
        <v>-9.7017541957301195E-2</v>
      </c>
      <c r="Q1342">
        <v>4.5486086068018503E-2</v>
      </c>
      <c r="R1342">
        <v>0.98769896684761604</v>
      </c>
      <c r="S1342" t="s">
        <v>4971</v>
      </c>
      <c r="T1342" t="s">
        <v>7256</v>
      </c>
      <c r="U1342" t="s">
        <v>7256</v>
      </c>
      <c r="V1342" t="s">
        <v>7256</v>
      </c>
      <c r="W1342">
        <v>10</v>
      </c>
      <c r="X1342" t="s">
        <v>8598</v>
      </c>
      <c r="Y1342">
        <v>0.39969829856681738</v>
      </c>
      <c r="Z1342" t="str">
        <f>HYPERLINK("Melting_Curves/meltCurve_sp_Q02750_MP2K1_HUMAN_.pdf", "Melting_Curves/meltCurve_sp_Q02750_MP2K1_HUMAN_.pdf")</f>
        <v>Melting_Curves/meltCurve_sp_Q02750_MP2K1_HUMAN_.pdf</v>
      </c>
      <c r="AA1342" t="s">
        <v>12205</v>
      </c>
      <c r="AB1342" t="s">
        <v>15767</v>
      </c>
    </row>
    <row r="1343" spans="1:28" x14ac:dyDescent="0.25">
      <c r="A1343" t="s">
        <v>1347</v>
      </c>
      <c r="B1343">
        <v>0.98018197421672304</v>
      </c>
      <c r="C1343">
        <v>0.97724456308613705</v>
      </c>
      <c r="D1343">
        <v>0.91886755760998096</v>
      </c>
      <c r="E1343">
        <v>0.77399327534571005</v>
      </c>
      <c r="F1343">
        <v>0.40817818659697302</v>
      </c>
      <c r="G1343">
        <v>0.13437551889784399</v>
      </c>
      <c r="H1343">
        <v>8.2477467215522404E-2</v>
      </c>
      <c r="I1343">
        <v>5.9828517161647103E-2</v>
      </c>
      <c r="J1343">
        <v>6.6702235541727106E-2</v>
      </c>
      <c r="K1343">
        <v>3.6483165043058902E-2</v>
      </c>
      <c r="L1343">
        <v>1332.7023726744901</v>
      </c>
      <c r="M1343">
        <v>25.611844077824699</v>
      </c>
      <c r="N1343">
        <v>52.252529003774498</v>
      </c>
      <c r="O1343">
        <v>51.720513569491999</v>
      </c>
      <c r="P1343">
        <v>-0.117529907699536</v>
      </c>
      <c r="Q1343">
        <v>5.0653092343994198E-2</v>
      </c>
      <c r="R1343">
        <v>0.997313595005061</v>
      </c>
      <c r="S1343" t="s">
        <v>4972</v>
      </c>
      <c r="T1343" t="s">
        <v>7256</v>
      </c>
      <c r="U1343" t="s">
        <v>7256</v>
      </c>
      <c r="V1343" t="s">
        <v>7256</v>
      </c>
      <c r="W1343">
        <v>17</v>
      </c>
      <c r="X1343" t="s">
        <v>8599</v>
      </c>
      <c r="Y1343">
        <v>0.43976171418532323</v>
      </c>
      <c r="Z1343" t="str">
        <f>HYPERLINK("Melting_Curves/meltCurve_sp_Q02790_FKBP4_HUMAN_.pdf", "Melting_Curves/meltCurve_sp_Q02790_FKBP4_HUMAN_.pdf")</f>
        <v>Melting_Curves/meltCurve_sp_Q02790_FKBP4_HUMAN_.pdf</v>
      </c>
      <c r="AA1343" t="s">
        <v>12206</v>
      </c>
      <c r="AB1343" t="s">
        <v>15768</v>
      </c>
    </row>
    <row r="1344" spans="1:28" x14ac:dyDescent="0.25">
      <c r="A1344" t="s">
        <v>1348</v>
      </c>
      <c r="B1344">
        <v>0.98018197421672304</v>
      </c>
      <c r="C1344">
        <v>0.95088853373393001</v>
      </c>
      <c r="D1344">
        <v>0.92683088056575902</v>
      </c>
      <c r="E1344">
        <v>0.77628041937438197</v>
      </c>
      <c r="F1344">
        <v>0.66383818178837195</v>
      </c>
      <c r="G1344">
        <v>0.51329853051945296</v>
      </c>
      <c r="H1344">
        <v>0.43818178214988601</v>
      </c>
      <c r="I1344">
        <v>0.458525008482082</v>
      </c>
      <c r="J1344">
        <v>0.51205760832434699</v>
      </c>
      <c r="K1344">
        <v>0.55307715321473905</v>
      </c>
      <c r="L1344">
        <v>988.89626868921096</v>
      </c>
      <c r="M1344">
        <v>19.519588394789501</v>
      </c>
      <c r="N1344">
        <v>61.098823450373601</v>
      </c>
      <c r="O1344">
        <v>50.138998435327103</v>
      </c>
      <c r="P1344">
        <v>-5.03996792681203E-2</v>
      </c>
      <c r="Q1344">
        <v>0.48218193100488899</v>
      </c>
      <c r="R1344">
        <v>0.96829962668855696</v>
      </c>
      <c r="S1344" t="s">
        <v>4973</v>
      </c>
      <c r="T1344" t="s">
        <v>7256</v>
      </c>
      <c r="U1344" t="s">
        <v>7256</v>
      </c>
      <c r="V1344" t="s">
        <v>7256</v>
      </c>
      <c r="W1344">
        <v>22</v>
      </c>
      <c r="X1344" t="s">
        <v>8600</v>
      </c>
      <c r="Y1344">
        <v>0.6737427340111608</v>
      </c>
      <c r="Z1344" t="str">
        <f>HYPERLINK("Melting_Curves/meltCurve_sp_Q02818_NUCB1_HUMAN_.pdf", "Melting_Curves/meltCurve_sp_Q02818_NUCB1_HUMAN_.pdf")</f>
        <v>Melting_Curves/meltCurve_sp_Q02818_NUCB1_HUMAN_.pdf</v>
      </c>
      <c r="AA1344" t="s">
        <v>12207</v>
      </c>
      <c r="AB1344" t="s">
        <v>15769</v>
      </c>
    </row>
    <row r="1345" spans="1:28" x14ac:dyDescent="0.25">
      <c r="A1345" t="s">
        <v>1349</v>
      </c>
      <c r="B1345">
        <v>0.98018197421672304</v>
      </c>
      <c r="C1345">
        <v>0.85414096874500101</v>
      </c>
      <c r="D1345">
        <v>0.71456547450076802</v>
      </c>
      <c r="E1345">
        <v>0.41707658031078898</v>
      </c>
      <c r="F1345">
        <v>0.217430507075729</v>
      </c>
      <c r="G1345">
        <v>0.141196606445703</v>
      </c>
      <c r="H1345">
        <v>0.11509193766241101</v>
      </c>
      <c r="I1345">
        <v>4.7991416609882702E-2</v>
      </c>
      <c r="J1345">
        <v>7.1306707275367601E-2</v>
      </c>
      <c r="K1345">
        <v>5.0706597830577897E-2</v>
      </c>
      <c r="L1345">
        <v>743.26621422580502</v>
      </c>
      <c r="M1345">
        <v>15.3778754891411</v>
      </c>
      <c r="N1345">
        <v>48.664458840614799</v>
      </c>
      <c r="O1345">
        <v>47.538250633453899</v>
      </c>
      <c r="P1345">
        <v>-7.6862769524651001E-2</v>
      </c>
      <c r="Q1345">
        <v>4.9651087741053201E-2</v>
      </c>
      <c r="R1345">
        <v>0.99690419644010397</v>
      </c>
      <c r="S1345" t="s">
        <v>4974</v>
      </c>
      <c r="T1345" t="s">
        <v>7256</v>
      </c>
      <c r="U1345" t="s">
        <v>7256</v>
      </c>
      <c r="V1345" t="s">
        <v>7256</v>
      </c>
      <c r="W1345">
        <v>2</v>
      </c>
      <c r="X1345" t="s">
        <v>8601</v>
      </c>
      <c r="Y1345">
        <v>0.3365865614709268</v>
      </c>
      <c r="Z1345" t="str">
        <f>HYPERLINK("Melting_Curves/meltCurve_sp_Q02928_CP4AB_HUMAN_.pdf", "Melting_Curves/meltCurve_sp_Q02928_CP4AB_HUMAN_.pdf")</f>
        <v>Melting_Curves/meltCurve_sp_Q02928_CP4AB_HUMAN_.pdf</v>
      </c>
      <c r="AA1345" t="s">
        <v>12208</v>
      </c>
      <c r="AB1345" t="s">
        <v>15770</v>
      </c>
    </row>
    <row r="1346" spans="1:28" x14ac:dyDescent="0.25">
      <c r="A1346" t="s">
        <v>1350</v>
      </c>
      <c r="B1346">
        <v>0.98018197421672304</v>
      </c>
      <c r="C1346">
        <v>0.91675419082981702</v>
      </c>
      <c r="D1346">
        <v>0.83221999324462503</v>
      </c>
      <c r="E1346">
        <v>0.73564579245735695</v>
      </c>
      <c r="F1346">
        <v>0.39181229457321898</v>
      </c>
      <c r="G1346">
        <v>0.17235067594453901</v>
      </c>
      <c r="H1346">
        <v>0.100538688154742</v>
      </c>
      <c r="I1346">
        <v>5.9119778525490101E-2</v>
      </c>
      <c r="J1346">
        <v>0.108970669038327</v>
      </c>
      <c r="K1346">
        <v>6.0688956846551997E-2</v>
      </c>
      <c r="L1346">
        <v>908.49115801365394</v>
      </c>
      <c r="M1346">
        <v>17.597585801869599</v>
      </c>
      <c r="N1346">
        <v>51.926549020396202</v>
      </c>
      <c r="O1346">
        <v>50.973066468624403</v>
      </c>
      <c r="P1346">
        <v>-8.2132346023548602E-2</v>
      </c>
      <c r="Q1346">
        <v>4.8434989021426102E-2</v>
      </c>
      <c r="R1346">
        <v>0.986420024901149</v>
      </c>
      <c r="S1346" t="s">
        <v>4975</v>
      </c>
      <c r="T1346" t="s">
        <v>7256</v>
      </c>
      <c r="U1346" t="s">
        <v>7256</v>
      </c>
      <c r="V1346" t="s">
        <v>7256</v>
      </c>
      <c r="W1346">
        <v>14</v>
      </c>
      <c r="X1346" t="s">
        <v>8602</v>
      </c>
      <c r="Y1346">
        <v>0.433744020152874</v>
      </c>
      <c r="Z1346" t="str">
        <f>HYPERLINK("Melting_Curves/meltCurve_sp_Q03001_8_DYST_HUMAN_.pdf", "Melting_Curves/meltCurve_sp_Q03001_8_DYST_HUMAN_.pdf")</f>
        <v>Melting_Curves/meltCurve_sp_Q03001_8_DYST_HUMAN_.pdf</v>
      </c>
      <c r="AA1346" t="s">
        <v>12209</v>
      </c>
      <c r="AB1346" t="s">
        <v>15771</v>
      </c>
    </row>
    <row r="1347" spans="1:28" x14ac:dyDescent="0.25">
      <c r="A1347" t="s">
        <v>1351</v>
      </c>
      <c r="B1347">
        <v>0.98018197421672304</v>
      </c>
      <c r="C1347">
        <v>1.00926178535129</v>
      </c>
      <c r="D1347">
        <v>0.84549002233783999</v>
      </c>
      <c r="E1347">
        <v>0.61752343917816199</v>
      </c>
      <c r="F1347">
        <v>0.38368862950877097</v>
      </c>
      <c r="G1347">
        <v>0.14014913062489601</v>
      </c>
      <c r="H1347">
        <v>7.6380385597647593E-2</v>
      </c>
      <c r="I1347">
        <v>5.2843463264169201E-2</v>
      </c>
      <c r="J1347">
        <v>6.03099527018734E-2</v>
      </c>
      <c r="K1347">
        <v>3.9949182926160898E-2</v>
      </c>
      <c r="L1347">
        <v>904.93583566398695</v>
      </c>
      <c r="M1347">
        <v>17.702354817587</v>
      </c>
      <c r="N1347">
        <v>51.296061054346197</v>
      </c>
      <c r="O1347">
        <v>50.480561431700004</v>
      </c>
      <c r="P1347">
        <v>-8.5082744392734694E-2</v>
      </c>
      <c r="Q1347">
        <v>2.9553206351694901E-2</v>
      </c>
      <c r="R1347">
        <v>0.99708687481221903</v>
      </c>
      <c r="S1347" t="s">
        <v>4976</v>
      </c>
      <c r="T1347" t="s">
        <v>7256</v>
      </c>
      <c r="U1347" t="s">
        <v>7256</v>
      </c>
      <c r="V1347" t="s">
        <v>7256</v>
      </c>
      <c r="W1347">
        <v>5</v>
      </c>
      <c r="X1347" t="s">
        <v>8603</v>
      </c>
      <c r="Y1347">
        <v>0.40607200200096771</v>
      </c>
      <c r="Z1347" t="str">
        <f>HYPERLINK("Melting_Curves/meltCurve_sp_Q03013_2_GSTM4_HUMAN_.pdf", "Melting_Curves/meltCurve_sp_Q03013_2_GSTM4_HUMAN_.pdf")</f>
        <v>Melting_Curves/meltCurve_sp_Q03013_2_GSTM4_HUMAN_.pdf</v>
      </c>
      <c r="AA1347" t="s">
        <v>12210</v>
      </c>
      <c r="AB1347" t="s">
        <v>15772</v>
      </c>
    </row>
    <row r="1348" spans="1:28" x14ac:dyDescent="0.25">
      <c r="A1348" t="s">
        <v>1352</v>
      </c>
      <c r="B1348">
        <v>0.98018197421672304</v>
      </c>
      <c r="C1348">
        <v>0.93693248323151102</v>
      </c>
      <c r="D1348">
        <v>0.95696397485447604</v>
      </c>
      <c r="E1348">
        <v>0.86540309704116503</v>
      </c>
      <c r="F1348">
        <v>0.83558253378404002</v>
      </c>
      <c r="G1348">
        <v>0.72758994506930796</v>
      </c>
      <c r="H1348">
        <v>0.52427004740410699</v>
      </c>
      <c r="I1348">
        <v>0.514794502397113</v>
      </c>
      <c r="J1348">
        <v>0.449948277877671</v>
      </c>
      <c r="K1348">
        <v>0.364823005372093</v>
      </c>
      <c r="L1348">
        <v>489.44882264345603</v>
      </c>
      <c r="M1348">
        <v>7.9481930388486903</v>
      </c>
      <c r="N1348">
        <v>64.026328886581396</v>
      </c>
      <c r="O1348">
        <v>58.047966754554999</v>
      </c>
      <c r="P1348">
        <v>-2.9782733966817E-2</v>
      </c>
      <c r="Q1348">
        <v>0.13095888761397301</v>
      </c>
      <c r="R1348">
        <v>0.98537862070648197</v>
      </c>
      <c r="S1348" t="s">
        <v>4977</v>
      </c>
      <c r="T1348" t="s">
        <v>7256</v>
      </c>
      <c r="U1348" t="s">
        <v>7256</v>
      </c>
      <c r="V1348" t="s">
        <v>7256</v>
      </c>
      <c r="W1348">
        <v>30</v>
      </c>
      <c r="X1348" t="s">
        <v>8604</v>
      </c>
      <c r="Y1348">
        <v>0.72789893279588225</v>
      </c>
      <c r="Z1348" t="str">
        <f>HYPERLINK("Melting_Curves/meltCurve_sp_Q03154_ACY1_HUMAN_.pdf", "Melting_Curves/meltCurve_sp_Q03154_ACY1_HUMAN_.pdf")</f>
        <v>Melting_Curves/meltCurve_sp_Q03154_ACY1_HUMAN_.pdf</v>
      </c>
      <c r="AA1348" t="s">
        <v>12211</v>
      </c>
      <c r="AB1348" t="s">
        <v>15773</v>
      </c>
    </row>
    <row r="1349" spans="1:28" x14ac:dyDescent="0.25">
      <c r="A1349" t="s">
        <v>1353</v>
      </c>
      <c r="B1349">
        <v>0.98018197421672304</v>
      </c>
      <c r="C1349">
        <v>0.90475566719351996</v>
      </c>
      <c r="D1349">
        <v>0.83883955947868705</v>
      </c>
      <c r="E1349">
        <v>0.68197844765980098</v>
      </c>
      <c r="F1349">
        <v>0.61530422775494997</v>
      </c>
      <c r="G1349">
        <v>0.41375016653339303</v>
      </c>
      <c r="H1349">
        <v>0.28182245485220397</v>
      </c>
      <c r="I1349">
        <v>0.248203248244876</v>
      </c>
      <c r="J1349">
        <v>0.29087680348724998</v>
      </c>
      <c r="K1349">
        <v>0.246919800441606</v>
      </c>
      <c r="L1349">
        <v>562.78557256069996</v>
      </c>
      <c r="M1349">
        <v>10.7507828776516</v>
      </c>
      <c r="N1349">
        <v>54.618628271853602</v>
      </c>
      <c r="O1349">
        <v>50.634647755828503</v>
      </c>
      <c r="P1349">
        <v>-4.3531881109455502E-2</v>
      </c>
      <c r="Q1349">
        <v>0.18018613517263399</v>
      </c>
      <c r="R1349">
        <v>0.98863332860476005</v>
      </c>
      <c r="S1349" t="s">
        <v>4978</v>
      </c>
      <c r="T1349" t="s">
        <v>7256</v>
      </c>
      <c r="U1349" t="s">
        <v>7256</v>
      </c>
      <c r="V1349" t="s">
        <v>7256</v>
      </c>
      <c r="W1349">
        <v>4</v>
      </c>
      <c r="X1349" t="s">
        <v>8605</v>
      </c>
      <c r="Y1349">
        <v>0.54547371750603602</v>
      </c>
      <c r="Z1349" t="str">
        <f>HYPERLINK("Melting_Curves/meltCurve_sp_Q03252_LMNB2_HUMAN_.pdf", "Melting_Curves/meltCurve_sp_Q03252_LMNB2_HUMAN_.pdf")</f>
        <v>Melting_Curves/meltCurve_sp_Q03252_LMNB2_HUMAN_.pdf</v>
      </c>
      <c r="AA1349" t="s">
        <v>12212</v>
      </c>
      <c r="AB1349" t="s">
        <v>15774</v>
      </c>
    </row>
    <row r="1350" spans="1:28" x14ac:dyDescent="0.25">
      <c r="A1350" t="s">
        <v>1354</v>
      </c>
      <c r="B1350">
        <v>0.98018197421672304</v>
      </c>
      <c r="C1350">
        <v>0.92304431404897702</v>
      </c>
      <c r="D1350">
        <v>0.90248427705689205</v>
      </c>
      <c r="E1350">
        <v>0.77115008941852203</v>
      </c>
      <c r="F1350">
        <v>0.70409904400720302</v>
      </c>
      <c r="G1350">
        <v>0.52035868915441597</v>
      </c>
      <c r="H1350">
        <v>0.32266860241699202</v>
      </c>
      <c r="I1350">
        <v>0.28210344782646601</v>
      </c>
      <c r="J1350">
        <v>0.180148884311504</v>
      </c>
      <c r="K1350">
        <v>0.202641458730767</v>
      </c>
      <c r="L1350">
        <v>538.97682595218805</v>
      </c>
      <c r="M1350">
        <v>9.5075065368761393</v>
      </c>
      <c r="N1350">
        <v>57.071767360972302</v>
      </c>
      <c r="O1350">
        <v>54.351615865633299</v>
      </c>
      <c r="P1350">
        <v>-4.2407752305313497E-2</v>
      </c>
      <c r="Q1350">
        <v>3.08409864042491E-2</v>
      </c>
      <c r="R1350">
        <v>0.992724449842875</v>
      </c>
      <c r="S1350" t="s">
        <v>4979</v>
      </c>
      <c r="T1350" t="s">
        <v>7256</v>
      </c>
      <c r="U1350" t="s">
        <v>7256</v>
      </c>
      <c r="V1350" t="s">
        <v>7256</v>
      </c>
      <c r="W1350">
        <v>2</v>
      </c>
      <c r="X1350" t="s">
        <v>8606</v>
      </c>
      <c r="Y1350">
        <v>0.58653683746837126</v>
      </c>
      <c r="Z1350" t="str">
        <f>HYPERLINK("Melting_Curves/meltCurve_sp_Q03393_PTPS_HUMAN_.pdf", "Melting_Curves/meltCurve_sp_Q03393_PTPS_HUMAN_.pdf")</f>
        <v>Melting_Curves/meltCurve_sp_Q03393_PTPS_HUMAN_.pdf</v>
      </c>
      <c r="AA1350" t="s">
        <v>12213</v>
      </c>
      <c r="AB1350" t="s">
        <v>15775</v>
      </c>
    </row>
    <row r="1351" spans="1:28" x14ac:dyDescent="0.25">
      <c r="A1351" t="s">
        <v>1355</v>
      </c>
      <c r="B1351">
        <v>0.98018197421672304</v>
      </c>
      <c r="C1351">
        <v>0.93213342727167803</v>
      </c>
      <c r="D1351">
        <v>0.92601383643636204</v>
      </c>
      <c r="E1351">
        <v>0.75583801781507298</v>
      </c>
      <c r="F1351">
        <v>0.17322807778236399</v>
      </c>
      <c r="G1351">
        <v>0.11659869891884</v>
      </c>
      <c r="H1351">
        <v>7.4715231702796397E-2</v>
      </c>
      <c r="I1351">
        <v>6.0317846859332197E-2</v>
      </c>
      <c r="J1351">
        <v>6.9410712698968494E-2</v>
      </c>
      <c r="K1351">
        <v>4.76703624469225E-2</v>
      </c>
      <c r="L1351">
        <v>2677.1000372783201</v>
      </c>
      <c r="M1351">
        <v>52.5349672914761</v>
      </c>
      <c r="N1351">
        <v>51.109486753734402</v>
      </c>
      <c r="O1351">
        <v>50.884764258704202</v>
      </c>
      <c r="P1351">
        <v>-0.23954962823895801</v>
      </c>
      <c r="Q1351">
        <v>7.1900605919903701E-2</v>
      </c>
      <c r="R1351">
        <v>0.99222589639953596</v>
      </c>
      <c r="S1351" t="s">
        <v>4980</v>
      </c>
      <c r="T1351" t="s">
        <v>7256</v>
      </c>
      <c r="U1351" t="s">
        <v>7256</v>
      </c>
      <c r="V1351" t="s">
        <v>7256</v>
      </c>
      <c r="W1351">
        <v>21</v>
      </c>
      <c r="X1351" t="s">
        <v>8607</v>
      </c>
      <c r="Y1351">
        <v>0.41280670526095042</v>
      </c>
      <c r="Z1351" t="str">
        <f>HYPERLINK("Melting_Curves/meltCurve_sp_Q04446_GLGB_HUMAN_.pdf", "Melting_Curves/meltCurve_sp_Q04446_GLGB_HUMAN_.pdf")</f>
        <v>Melting_Curves/meltCurve_sp_Q04446_GLGB_HUMAN_.pdf</v>
      </c>
      <c r="AA1351" t="s">
        <v>12214</v>
      </c>
      <c r="AB1351" t="s">
        <v>15776</v>
      </c>
    </row>
    <row r="1352" spans="1:28" x14ac:dyDescent="0.25">
      <c r="A1352" t="s">
        <v>1356</v>
      </c>
      <c r="B1352">
        <v>0.98018197421672304</v>
      </c>
      <c r="C1352">
        <v>0.93188567982123505</v>
      </c>
      <c r="D1352">
        <v>0.90368855274706195</v>
      </c>
      <c r="E1352">
        <v>0.69940406167712399</v>
      </c>
      <c r="F1352">
        <v>0.41901764454419299</v>
      </c>
      <c r="G1352">
        <v>0.21266195181942599</v>
      </c>
      <c r="H1352">
        <v>0.16760215389168501</v>
      </c>
      <c r="I1352">
        <v>0.15828223657530999</v>
      </c>
      <c r="J1352">
        <v>0.181147940024494</v>
      </c>
      <c r="K1352">
        <v>0.21189997622720899</v>
      </c>
      <c r="L1352">
        <v>1143.19761852332</v>
      </c>
      <c r="M1352">
        <v>22.408424681939302</v>
      </c>
      <c r="N1352">
        <v>51.955912225832101</v>
      </c>
      <c r="O1352">
        <v>50.615331047509102</v>
      </c>
      <c r="P1352">
        <v>-9.2245040539367995E-2</v>
      </c>
      <c r="Q1352">
        <v>0.166578224757261</v>
      </c>
      <c r="R1352">
        <v>0.99261153771496202</v>
      </c>
      <c r="S1352" t="s">
        <v>4981</v>
      </c>
      <c r="T1352" t="s">
        <v>7256</v>
      </c>
      <c r="U1352" t="s">
        <v>7256</v>
      </c>
      <c r="V1352" t="s">
        <v>7256</v>
      </c>
      <c r="W1352">
        <v>39</v>
      </c>
      <c r="X1352" t="s">
        <v>8608</v>
      </c>
      <c r="Y1352">
        <v>0.48194272755756917</v>
      </c>
      <c r="Z1352" t="str">
        <f>HYPERLINK("Melting_Curves/meltCurve_sp_Q04637_5_IF4G1_HUMAN_.pdf", "Melting_Curves/meltCurve_sp_Q04637_5_IF4G1_HUMAN_.pdf")</f>
        <v>Melting_Curves/meltCurve_sp_Q04637_5_IF4G1_HUMAN_.pdf</v>
      </c>
      <c r="AA1352" t="s">
        <v>12215</v>
      </c>
      <c r="AB1352" t="s">
        <v>15777</v>
      </c>
    </row>
    <row r="1353" spans="1:28" x14ac:dyDescent="0.25">
      <c r="A1353" t="s">
        <v>1357</v>
      </c>
      <c r="B1353">
        <v>0.98018197421672304</v>
      </c>
      <c r="C1353">
        <v>0.74538765782078298</v>
      </c>
      <c r="D1353">
        <v>0.73879010376943599</v>
      </c>
      <c r="E1353">
        <v>0.56897482079832196</v>
      </c>
      <c r="F1353">
        <v>0.43708788263867998</v>
      </c>
      <c r="G1353">
        <v>0</v>
      </c>
      <c r="H1353">
        <v>1.9749108683225001</v>
      </c>
      <c r="I1353">
        <v>4.7468126507248201E-2</v>
      </c>
      <c r="J1353">
        <v>35.0718719258536</v>
      </c>
      <c r="K1353">
        <v>8.5441760588280395</v>
      </c>
      <c r="L1353">
        <v>15000</v>
      </c>
      <c r="M1353">
        <v>230.93104514942399</v>
      </c>
      <c r="O1353">
        <v>64.9495828651919</v>
      </c>
      <c r="P1353">
        <v>0.44444289594838698</v>
      </c>
      <c r="Q1353">
        <v>1.5</v>
      </c>
      <c r="R1353">
        <v>-0.10473430100153901</v>
      </c>
      <c r="S1353" t="s">
        <v>4982</v>
      </c>
      <c r="T1353" t="s">
        <v>7256</v>
      </c>
      <c r="U1353" t="s">
        <v>7256</v>
      </c>
      <c r="V1353" t="s">
        <v>7256</v>
      </c>
      <c r="W1353">
        <v>15</v>
      </c>
      <c r="X1353" t="s">
        <v>8609</v>
      </c>
      <c r="Y1353">
        <v>1.0840256288242001</v>
      </c>
      <c r="Z1353" t="str">
        <f>HYPERLINK("Melting_Curves/meltCurve_sp_Q04695_K1C17_HUMAN_.pdf", "Melting_Curves/meltCurve_sp_Q04695_K1C17_HUMAN_.pdf")</f>
        <v>Melting_Curves/meltCurve_sp_Q04695_K1C17_HUMAN_.pdf</v>
      </c>
      <c r="AA1353" t="s">
        <v>12216</v>
      </c>
      <c r="AB1353" t="s">
        <v>15778</v>
      </c>
    </row>
    <row r="1354" spans="1:28" x14ac:dyDescent="0.25">
      <c r="A1354" t="s">
        <v>1358</v>
      </c>
      <c r="B1354">
        <v>0.98018197421672304</v>
      </c>
      <c r="C1354">
        <v>1.0672202018633601</v>
      </c>
      <c r="D1354">
        <v>0.97734184270494495</v>
      </c>
      <c r="E1354">
        <v>0.84658395274480802</v>
      </c>
      <c r="F1354">
        <v>0.86344192184339197</v>
      </c>
      <c r="G1354">
        <v>0.64646019732562499</v>
      </c>
      <c r="H1354">
        <v>0.36007864647304699</v>
      </c>
      <c r="I1354">
        <v>0.31998607734357898</v>
      </c>
      <c r="J1354">
        <v>0.23125958234730901</v>
      </c>
      <c r="K1354">
        <v>0.18121211745732199</v>
      </c>
      <c r="L1354">
        <v>842.96513963140399</v>
      </c>
      <c r="M1354">
        <v>14.504813920787001</v>
      </c>
      <c r="N1354">
        <v>59.162661008969501</v>
      </c>
      <c r="O1354">
        <v>57.045088182379402</v>
      </c>
      <c r="P1354">
        <v>-5.6381691968162298E-2</v>
      </c>
      <c r="Q1354">
        <v>0.11314185699219199</v>
      </c>
      <c r="R1354">
        <v>0.98425701307216795</v>
      </c>
      <c r="S1354" t="s">
        <v>4983</v>
      </c>
      <c r="T1354" t="s">
        <v>7256</v>
      </c>
      <c r="U1354" t="s">
        <v>7256</v>
      </c>
      <c r="V1354" t="s">
        <v>7256</v>
      </c>
      <c r="W1354">
        <v>11</v>
      </c>
      <c r="X1354" t="s">
        <v>8610</v>
      </c>
      <c r="Y1354">
        <v>0.66035102396850076</v>
      </c>
      <c r="Z1354" t="str">
        <f>HYPERLINK("Melting_Curves/meltCurve_sp_Q04760_LGUL_HUMAN_.pdf", "Melting_Curves/meltCurve_sp_Q04760_LGUL_HUMAN_.pdf")</f>
        <v>Melting_Curves/meltCurve_sp_Q04760_LGUL_HUMAN_.pdf</v>
      </c>
      <c r="AA1354" t="s">
        <v>12217</v>
      </c>
      <c r="AB1354" t="s">
        <v>15779</v>
      </c>
    </row>
    <row r="1355" spans="1:28" x14ac:dyDescent="0.25">
      <c r="A1355" t="s">
        <v>1359</v>
      </c>
      <c r="B1355">
        <v>0.98018197421672304</v>
      </c>
      <c r="C1355">
        <v>0.98827793294081701</v>
      </c>
      <c r="D1355">
        <v>0.93271329430668404</v>
      </c>
      <c r="E1355">
        <v>0.44864212130772302</v>
      </c>
      <c r="F1355">
        <v>0.25543355844987098</v>
      </c>
      <c r="G1355">
        <v>0.176954762242401</v>
      </c>
      <c r="H1355">
        <v>0.107804312073692</v>
      </c>
      <c r="I1355">
        <v>8.9015304348841001E-2</v>
      </c>
      <c r="J1355">
        <v>7.1479112732433195E-2</v>
      </c>
      <c r="K1355">
        <v>6.7474611262807904E-2</v>
      </c>
      <c r="L1355">
        <v>1310.2061014516601</v>
      </c>
      <c r="M1355">
        <v>26.481886665449</v>
      </c>
      <c r="N1355">
        <v>49.878469479005197</v>
      </c>
      <c r="O1355">
        <v>49.196013719668699</v>
      </c>
      <c r="P1355">
        <v>-0.12161657960635699</v>
      </c>
      <c r="Q1355">
        <v>9.6289931467333598E-2</v>
      </c>
      <c r="R1355">
        <v>0.99401258354108002</v>
      </c>
      <c r="S1355" t="s">
        <v>4984</v>
      </c>
      <c r="T1355" t="s">
        <v>7256</v>
      </c>
      <c r="U1355" t="s">
        <v>7256</v>
      </c>
      <c r="V1355" t="s">
        <v>7256</v>
      </c>
      <c r="W1355">
        <v>25</v>
      </c>
      <c r="X1355" t="s">
        <v>8611</v>
      </c>
      <c r="Y1355">
        <v>0.38887603144950761</v>
      </c>
      <c r="Z1355" t="str">
        <f>HYPERLINK("Melting_Curves/meltCurve_sp_Q04828_AK1C1_HUMAN_.pdf", "Melting_Curves/meltCurve_sp_Q04828_AK1C1_HUMAN_.pdf")</f>
        <v>Melting_Curves/meltCurve_sp_Q04828_AK1C1_HUMAN_.pdf</v>
      </c>
      <c r="AA1355" t="s">
        <v>12218</v>
      </c>
      <c r="AB1355" t="s">
        <v>15780</v>
      </c>
    </row>
    <row r="1356" spans="1:28" x14ac:dyDescent="0.25">
      <c r="A1356" t="s">
        <v>1360</v>
      </c>
      <c r="B1356">
        <v>0.98018197421672304</v>
      </c>
      <c r="C1356">
        <v>0.96500541921906002</v>
      </c>
      <c r="D1356">
        <v>0.86604620892761497</v>
      </c>
      <c r="E1356">
        <v>0.73914637312541498</v>
      </c>
      <c r="F1356">
        <v>0.68198963370296195</v>
      </c>
      <c r="G1356">
        <v>0.56742135015348305</v>
      </c>
      <c r="H1356">
        <v>0.40999714427765099</v>
      </c>
      <c r="I1356">
        <v>0.46178437423961699</v>
      </c>
      <c r="J1356">
        <v>0.43177240519378901</v>
      </c>
      <c r="K1356">
        <v>0.505429185175438</v>
      </c>
      <c r="L1356">
        <v>657.10848551744505</v>
      </c>
      <c r="M1356">
        <v>12.878742353671599</v>
      </c>
      <c r="N1356">
        <v>59.935796054404797</v>
      </c>
      <c r="O1356">
        <v>49.8395012587428</v>
      </c>
      <c r="P1356">
        <v>-3.7065581033086298E-2</v>
      </c>
      <c r="Q1356">
        <v>0.42634397626655202</v>
      </c>
      <c r="R1356">
        <v>0.96979999493872504</v>
      </c>
      <c r="S1356" t="s">
        <v>4985</v>
      </c>
      <c r="T1356" t="s">
        <v>7256</v>
      </c>
      <c r="U1356" t="s">
        <v>7256</v>
      </c>
      <c r="V1356" t="s">
        <v>7256</v>
      </c>
      <c r="W1356">
        <v>8</v>
      </c>
      <c r="X1356" t="s">
        <v>8612</v>
      </c>
      <c r="Y1356">
        <v>0.65396530365637018</v>
      </c>
      <c r="Z1356" t="str">
        <f>HYPERLINK("Melting_Curves/meltCurve_sp_Q04837_SSBP_HUMAN_.pdf", "Melting_Curves/meltCurve_sp_Q04837_SSBP_HUMAN_.pdf")</f>
        <v>Melting_Curves/meltCurve_sp_Q04837_SSBP_HUMAN_.pdf</v>
      </c>
      <c r="AA1356" t="s">
        <v>12219</v>
      </c>
      <c r="AB1356" t="s">
        <v>15781</v>
      </c>
    </row>
    <row r="1357" spans="1:28" x14ac:dyDescent="0.25">
      <c r="A1357" t="s">
        <v>1361</v>
      </c>
      <c r="B1357">
        <v>0.98018197421672304</v>
      </c>
      <c r="C1357">
        <v>0.94804470322008005</v>
      </c>
      <c r="D1357">
        <v>0.94873068157855001</v>
      </c>
      <c r="E1357">
        <v>0.83509923471301595</v>
      </c>
      <c r="F1357">
        <v>0.76580831771493296</v>
      </c>
      <c r="G1357">
        <v>0.40282669364479401</v>
      </c>
      <c r="H1357">
        <v>9.7666480842017594E-2</v>
      </c>
      <c r="I1357">
        <v>6.1268129146297902E-2</v>
      </c>
      <c r="J1357">
        <v>5.7059915499749703E-2</v>
      </c>
      <c r="K1357">
        <v>4.4225160515785601E-2</v>
      </c>
      <c r="L1357">
        <v>1094.38559063452</v>
      </c>
      <c r="M1357">
        <v>19.691402438965</v>
      </c>
      <c r="N1357">
        <v>55.602513878309999</v>
      </c>
      <c r="O1357">
        <v>55.013169642874402</v>
      </c>
      <c r="P1357">
        <v>-8.9082983898253906E-2</v>
      </c>
      <c r="Q1357">
        <v>4.5265165106477302E-3</v>
      </c>
      <c r="R1357">
        <v>0.99088269678846996</v>
      </c>
      <c r="S1357" t="s">
        <v>4986</v>
      </c>
      <c r="T1357" t="s">
        <v>7256</v>
      </c>
      <c r="U1357" t="s">
        <v>7256</v>
      </c>
      <c r="V1357" t="s">
        <v>7256</v>
      </c>
      <c r="W1357">
        <v>14</v>
      </c>
      <c r="X1357" t="s">
        <v>8613</v>
      </c>
      <c r="Y1357">
        <v>0.53472002315068301</v>
      </c>
      <c r="Z1357" t="str">
        <f>HYPERLINK("Melting_Curves/meltCurve_sp_Q04917_1433F_HUMAN_.pdf", "Melting_Curves/meltCurve_sp_Q04917_1433F_HUMAN_.pdf")</f>
        <v>Melting_Curves/meltCurve_sp_Q04917_1433F_HUMAN_.pdf</v>
      </c>
      <c r="AA1357" t="s">
        <v>12220</v>
      </c>
      <c r="AB1357" t="s">
        <v>15782</v>
      </c>
    </row>
    <row r="1358" spans="1:28" x14ac:dyDescent="0.25">
      <c r="A1358" t="s">
        <v>1362</v>
      </c>
      <c r="B1358">
        <v>0.98018197421672304</v>
      </c>
      <c r="C1358">
        <v>0.88980797035631098</v>
      </c>
      <c r="D1358">
        <v>0.76537813170866498</v>
      </c>
      <c r="E1358">
        <v>0.59791103360651698</v>
      </c>
      <c r="F1358">
        <v>0.45652629058028699</v>
      </c>
      <c r="G1358">
        <v>0.26517232884585601</v>
      </c>
      <c r="H1358">
        <v>0.15328673964282</v>
      </c>
      <c r="I1358">
        <v>0.107265015280249</v>
      </c>
      <c r="J1358">
        <v>9.7215063572994406E-2</v>
      </c>
      <c r="K1358">
        <v>6.6914923161789597E-2</v>
      </c>
      <c r="L1358">
        <v>545.88004981766096</v>
      </c>
      <c r="M1358">
        <v>10.558706643738301</v>
      </c>
      <c r="N1358">
        <v>51.716813673638597</v>
      </c>
      <c r="O1358">
        <v>49.948401629751899</v>
      </c>
      <c r="P1358">
        <v>-5.27756926854452E-2</v>
      </c>
      <c r="Q1358">
        <v>1.76377680932384E-3</v>
      </c>
      <c r="R1358">
        <v>0.99801691996425601</v>
      </c>
      <c r="S1358" t="s">
        <v>4987</v>
      </c>
      <c r="T1358" t="s">
        <v>7256</v>
      </c>
      <c r="U1358" t="s">
        <v>7256</v>
      </c>
      <c r="V1358" t="s">
        <v>7256</v>
      </c>
      <c r="W1358">
        <v>5</v>
      </c>
      <c r="X1358" t="s">
        <v>8614</v>
      </c>
      <c r="Y1358">
        <v>0.42767079293461041</v>
      </c>
      <c r="Z1358" t="str">
        <f>HYPERLINK("Melting_Curves/meltCurve_sp_Q05048_CSTF1_HUMAN_.pdf", "Melting_Curves/meltCurve_sp_Q05048_CSTF1_HUMAN_.pdf")</f>
        <v>Melting_Curves/meltCurve_sp_Q05048_CSTF1_HUMAN_.pdf</v>
      </c>
      <c r="AA1358" t="s">
        <v>12221</v>
      </c>
      <c r="AB1358" t="s">
        <v>15783</v>
      </c>
    </row>
    <row r="1359" spans="1:28" x14ac:dyDescent="0.25">
      <c r="A1359" t="s">
        <v>1363</v>
      </c>
      <c r="B1359">
        <v>0.98018197421672304</v>
      </c>
      <c r="C1359">
        <v>0.81945814104827097</v>
      </c>
      <c r="D1359">
        <v>0.60963990746583097</v>
      </c>
      <c r="E1359">
        <v>0.44121674325382298</v>
      </c>
      <c r="F1359">
        <v>0.25274480683112699</v>
      </c>
      <c r="G1359">
        <v>0.19257724780018101</v>
      </c>
      <c r="H1359">
        <v>9.9619284268658001E-2</v>
      </c>
      <c r="I1359">
        <v>8.7623056783815906E-2</v>
      </c>
      <c r="J1359">
        <v>8.4712269564998305E-2</v>
      </c>
      <c r="K1359">
        <v>5.4045386891970401E-2</v>
      </c>
      <c r="L1359">
        <v>599.43791961912405</v>
      </c>
      <c r="M1359">
        <v>12.491141201016699</v>
      </c>
      <c r="N1359">
        <v>48.392366899679097</v>
      </c>
      <c r="O1359">
        <v>46.808888345094701</v>
      </c>
      <c r="P1359">
        <v>-6.3428664979445701E-2</v>
      </c>
      <c r="Q1359">
        <v>4.9434230398886003E-2</v>
      </c>
      <c r="R1359">
        <v>0.993021361169107</v>
      </c>
      <c r="S1359" t="s">
        <v>4988</v>
      </c>
      <c r="T1359" t="s">
        <v>7256</v>
      </c>
      <c r="U1359" t="s">
        <v>7256</v>
      </c>
      <c r="V1359" t="s">
        <v>7256</v>
      </c>
      <c r="W1359">
        <v>5</v>
      </c>
      <c r="X1359" t="s">
        <v>8615</v>
      </c>
      <c r="Y1359">
        <v>0.3372193455285874</v>
      </c>
      <c r="Z1359" t="str">
        <f>HYPERLINK("Melting_Curves/meltCurve_sp_Q05086_2_UBE3A_HUMAN_.pdf", "Melting_Curves/meltCurve_sp_Q05086_2_UBE3A_HUMAN_.pdf")</f>
        <v>Melting_Curves/meltCurve_sp_Q05086_2_UBE3A_HUMAN_.pdf</v>
      </c>
      <c r="AA1359" t="s">
        <v>12222</v>
      </c>
      <c r="AB1359" t="s">
        <v>15784</v>
      </c>
    </row>
    <row r="1360" spans="1:28" x14ac:dyDescent="0.25">
      <c r="A1360" t="s">
        <v>1364</v>
      </c>
      <c r="B1360">
        <v>0.98018197421672304</v>
      </c>
      <c r="C1360">
        <v>1.0514086539392999</v>
      </c>
      <c r="D1360">
        <v>1.03804883990254</v>
      </c>
      <c r="E1360">
        <v>0.92527000717932195</v>
      </c>
      <c r="F1360">
        <v>0.84653813666426503</v>
      </c>
      <c r="G1360">
        <v>0.62459754972699599</v>
      </c>
      <c r="H1360">
        <v>0.61687783077611302</v>
      </c>
      <c r="I1360">
        <v>0.70917295954386395</v>
      </c>
      <c r="J1360">
        <v>0.79357262103818504</v>
      </c>
      <c r="K1360">
        <v>0.96253226984430296</v>
      </c>
      <c r="L1360">
        <v>2162.1328621845</v>
      </c>
      <c r="M1360">
        <v>41.797278026136198</v>
      </c>
      <c r="O1360">
        <v>51.611045252377302</v>
      </c>
      <c r="P1360">
        <v>-5.1693479306169701E-2</v>
      </c>
      <c r="Q1360">
        <v>0.74467716737443501</v>
      </c>
      <c r="R1360">
        <v>0.62513586918845498</v>
      </c>
      <c r="S1360" t="s">
        <v>4989</v>
      </c>
      <c r="T1360" t="s">
        <v>7256</v>
      </c>
      <c r="U1360" t="s">
        <v>7256</v>
      </c>
      <c r="V1360" t="s">
        <v>7256</v>
      </c>
      <c r="W1360">
        <v>40</v>
      </c>
      <c r="X1360" t="s">
        <v>8616</v>
      </c>
      <c r="Y1360">
        <v>0.84533557087904687</v>
      </c>
      <c r="Z1360" t="str">
        <f>HYPERLINK("Melting_Curves/meltCurve_sp_Q05682_5_CALD1_HUMAN_.pdf", "Melting_Curves/meltCurve_sp_Q05682_5_CALD1_HUMAN_.pdf")</f>
        <v>Melting_Curves/meltCurve_sp_Q05682_5_CALD1_HUMAN_.pdf</v>
      </c>
      <c r="AA1360" t="s">
        <v>12223</v>
      </c>
      <c r="AB1360" t="s">
        <v>15785</v>
      </c>
    </row>
    <row r="1361" spans="1:28" x14ac:dyDescent="0.25">
      <c r="A1361" t="s">
        <v>1365</v>
      </c>
      <c r="B1361">
        <v>0.98018197421672304</v>
      </c>
      <c r="C1361">
        <v>0.81432901588341</v>
      </c>
      <c r="D1361">
        <v>0.801296239613846</v>
      </c>
      <c r="E1361">
        <v>0.66980539010437301</v>
      </c>
      <c r="F1361">
        <v>0.54342066700624503</v>
      </c>
      <c r="G1361">
        <v>0.31140099605928601</v>
      </c>
      <c r="H1361">
        <v>0.23474321328501099</v>
      </c>
      <c r="I1361">
        <v>0.179643538321242</v>
      </c>
      <c r="J1361">
        <v>0.183727031307372</v>
      </c>
      <c r="K1361">
        <v>0.155265662107128</v>
      </c>
      <c r="L1361">
        <v>487.47045638410901</v>
      </c>
      <c r="M1361">
        <v>9.28679525234827</v>
      </c>
      <c r="N1361">
        <v>53.098569094271099</v>
      </c>
      <c r="O1361">
        <v>50.229086772572998</v>
      </c>
      <c r="P1361">
        <v>-4.3919549352465399E-2</v>
      </c>
      <c r="Q1361">
        <v>5.0429297215067399E-2</v>
      </c>
      <c r="R1361">
        <v>0.98396943942578596</v>
      </c>
      <c r="S1361" t="s">
        <v>4990</v>
      </c>
      <c r="T1361" t="s">
        <v>7256</v>
      </c>
      <c r="U1361" t="s">
        <v>7256</v>
      </c>
      <c r="V1361" t="s">
        <v>7256</v>
      </c>
      <c r="W1361">
        <v>5</v>
      </c>
      <c r="X1361" t="s">
        <v>8617</v>
      </c>
      <c r="Y1361">
        <v>0.48263324346575037</v>
      </c>
      <c r="Z1361" t="str">
        <f>HYPERLINK("Melting_Curves/meltCurve_sp_Q06033_2_ITIH3_HUMAN_.pdf", "Melting_Curves/meltCurve_sp_Q06033_2_ITIH3_HUMAN_.pdf")</f>
        <v>Melting_Curves/meltCurve_sp_Q06033_2_ITIH3_HUMAN_.pdf</v>
      </c>
      <c r="AA1361" t="s">
        <v>12224</v>
      </c>
      <c r="AB1361" t="s">
        <v>15786</v>
      </c>
    </row>
    <row r="1362" spans="1:28" x14ac:dyDescent="0.25">
      <c r="A1362" t="s">
        <v>1366</v>
      </c>
      <c r="B1362">
        <v>0.98018197421672304</v>
      </c>
      <c r="C1362">
        <v>0.95930597160789999</v>
      </c>
      <c r="D1362">
        <v>0.94198500607435098</v>
      </c>
      <c r="E1362">
        <v>0.80789127864723198</v>
      </c>
      <c r="F1362">
        <v>0.59429641777531494</v>
      </c>
      <c r="G1362">
        <v>0.154079134303373</v>
      </c>
      <c r="H1362">
        <v>9.855637499837E-2</v>
      </c>
      <c r="I1362">
        <v>8.0039743965507004E-2</v>
      </c>
      <c r="J1362">
        <v>8.7360644199337395E-2</v>
      </c>
      <c r="K1362">
        <v>7.6959326610677295E-2</v>
      </c>
      <c r="L1362">
        <v>1361.4246634983799</v>
      </c>
      <c r="M1362">
        <v>25.631589154945502</v>
      </c>
      <c r="N1362">
        <v>53.411484418211899</v>
      </c>
      <c r="O1362">
        <v>52.794962832019401</v>
      </c>
      <c r="P1362">
        <v>-0.11332907222939601</v>
      </c>
      <c r="Q1362">
        <v>6.6287890821182902E-2</v>
      </c>
      <c r="R1362">
        <v>0.99351964892500599</v>
      </c>
      <c r="S1362" t="s">
        <v>4991</v>
      </c>
      <c r="T1362" t="s">
        <v>7256</v>
      </c>
      <c r="U1362" t="s">
        <v>7256</v>
      </c>
      <c r="V1362" t="s">
        <v>7256</v>
      </c>
      <c r="W1362">
        <v>20</v>
      </c>
      <c r="X1362" t="s">
        <v>8618</v>
      </c>
      <c r="Y1362">
        <v>0.48268873716001759</v>
      </c>
      <c r="Z1362" t="str">
        <f>HYPERLINK("Melting_Curves/meltCurve_sp_Q06124_2_PTN11_HUMAN_.pdf", "Melting_Curves/meltCurve_sp_Q06124_2_PTN11_HUMAN_.pdf")</f>
        <v>Melting_Curves/meltCurve_sp_Q06124_2_PTN11_HUMAN_.pdf</v>
      </c>
      <c r="AA1362" t="s">
        <v>12225</v>
      </c>
      <c r="AB1362" t="s">
        <v>15787</v>
      </c>
    </row>
    <row r="1363" spans="1:28" x14ac:dyDescent="0.25">
      <c r="A1363" t="s">
        <v>1367</v>
      </c>
      <c r="B1363">
        <v>0.98018197421672304</v>
      </c>
      <c r="C1363">
        <v>0.93411485373693504</v>
      </c>
      <c r="D1363">
        <v>0.85295776308777305</v>
      </c>
      <c r="E1363">
        <v>0.73296058642469597</v>
      </c>
      <c r="F1363">
        <v>0.59989360327613805</v>
      </c>
      <c r="G1363">
        <v>0.44176872796613398</v>
      </c>
      <c r="H1363">
        <v>0.283457893765866</v>
      </c>
      <c r="I1363">
        <v>0.206820038627687</v>
      </c>
      <c r="J1363">
        <v>9.4963532904407399E-2</v>
      </c>
      <c r="K1363">
        <v>5.4063261743491998E-2</v>
      </c>
      <c r="L1363">
        <v>566.16317363931796</v>
      </c>
      <c r="M1363">
        <v>10.2901682830922</v>
      </c>
      <c r="N1363">
        <v>55.019816771066502</v>
      </c>
      <c r="O1363">
        <v>53.063439899075298</v>
      </c>
      <c r="P1363">
        <v>-4.8501634104747102E-2</v>
      </c>
      <c r="Q1363">
        <v>0</v>
      </c>
      <c r="R1363">
        <v>0.99421961678208204</v>
      </c>
      <c r="S1363" t="s">
        <v>4992</v>
      </c>
      <c r="T1363" t="s">
        <v>7256</v>
      </c>
      <c r="U1363" t="s">
        <v>7256</v>
      </c>
      <c r="V1363" t="s">
        <v>7256</v>
      </c>
      <c r="W1363">
        <v>9</v>
      </c>
      <c r="X1363" t="s">
        <v>8619</v>
      </c>
      <c r="Y1363">
        <v>0.52614397331805085</v>
      </c>
      <c r="Z1363" t="str">
        <f>HYPERLINK("Melting_Curves/meltCurve_sp_Q06203_PUR1_HUMAN_.pdf", "Melting_Curves/meltCurve_sp_Q06203_PUR1_HUMAN_.pdf")</f>
        <v>Melting_Curves/meltCurve_sp_Q06203_PUR1_HUMAN_.pdf</v>
      </c>
      <c r="AA1363" t="s">
        <v>12226</v>
      </c>
      <c r="AB1363" t="s">
        <v>15788</v>
      </c>
    </row>
    <row r="1364" spans="1:28" x14ac:dyDescent="0.25">
      <c r="A1364" t="s">
        <v>1368</v>
      </c>
      <c r="B1364">
        <v>0.98018197421672304</v>
      </c>
      <c r="C1364">
        <v>0.96479356017044604</v>
      </c>
      <c r="D1364">
        <v>0.72962749075057298</v>
      </c>
      <c r="E1364">
        <v>0.25685972023542702</v>
      </c>
      <c r="F1364">
        <v>9.7777906888879995E-2</v>
      </c>
      <c r="G1364">
        <v>6.1628721555421297E-2</v>
      </c>
      <c r="H1364">
        <v>4.0252913393089097E-2</v>
      </c>
      <c r="I1364">
        <v>3.11181714491841E-2</v>
      </c>
      <c r="J1364">
        <v>3.68951235005597E-2</v>
      </c>
      <c r="K1364">
        <v>2.7374403815806001E-2</v>
      </c>
      <c r="L1364">
        <v>1255.12540653356</v>
      </c>
      <c r="M1364">
        <v>26.321294656554301</v>
      </c>
      <c r="N1364">
        <v>47.818805318063603</v>
      </c>
      <c r="O1364">
        <v>47.412099211307897</v>
      </c>
      <c r="P1364">
        <v>-0.13385664271238801</v>
      </c>
      <c r="Q1364">
        <v>3.5555842977863801E-2</v>
      </c>
      <c r="R1364">
        <v>0.999543212814197</v>
      </c>
      <c r="S1364" t="s">
        <v>4993</v>
      </c>
      <c r="T1364" t="s">
        <v>7256</v>
      </c>
      <c r="U1364" t="s">
        <v>7256</v>
      </c>
      <c r="V1364" t="s">
        <v>7256</v>
      </c>
      <c r="W1364">
        <v>28</v>
      </c>
      <c r="X1364" t="s">
        <v>8620</v>
      </c>
      <c r="Y1364">
        <v>0.29025185485845167</v>
      </c>
      <c r="Z1364" t="str">
        <f>HYPERLINK("Melting_Curves/meltCurve_sp_Q06210_2_GFPT1_HUMAN_.pdf", "Melting_Curves/meltCurve_sp_Q06210_2_GFPT1_HUMAN_.pdf")</f>
        <v>Melting_Curves/meltCurve_sp_Q06210_2_GFPT1_HUMAN_.pdf</v>
      </c>
      <c r="AA1364" t="s">
        <v>12227</v>
      </c>
      <c r="AB1364" t="s">
        <v>15789</v>
      </c>
    </row>
    <row r="1365" spans="1:28" x14ac:dyDescent="0.25">
      <c r="A1365" t="s">
        <v>1369</v>
      </c>
      <c r="B1365">
        <v>0.98018197421672304</v>
      </c>
      <c r="C1365">
        <v>1.2159980863087001</v>
      </c>
      <c r="D1365">
        <v>0.89083377382623996</v>
      </c>
      <c r="E1365">
        <v>0.77702679748232895</v>
      </c>
      <c r="F1365">
        <v>0.65873472085072904</v>
      </c>
      <c r="G1365">
        <v>0.51772938435473004</v>
      </c>
      <c r="H1365">
        <v>0.40270961135815703</v>
      </c>
      <c r="I1365">
        <v>0.37487404010151998</v>
      </c>
      <c r="J1365">
        <v>0.19875513303240799</v>
      </c>
      <c r="K1365">
        <v>0.171104944402408</v>
      </c>
      <c r="L1365">
        <v>602.93780514084199</v>
      </c>
      <c r="M1365">
        <v>10.7061417745507</v>
      </c>
      <c r="N1365">
        <v>57.548436662932303</v>
      </c>
      <c r="O1365">
        <v>54.458818805888399</v>
      </c>
      <c r="P1365">
        <v>-4.4132987928428402E-2</v>
      </c>
      <c r="Q1365">
        <v>0.102372526474988</v>
      </c>
      <c r="R1365">
        <v>0.93126621653657005</v>
      </c>
      <c r="S1365" t="s">
        <v>4994</v>
      </c>
      <c r="T1365" t="s">
        <v>7256</v>
      </c>
      <c r="U1365" t="s">
        <v>7256</v>
      </c>
      <c r="V1365" t="s">
        <v>7256</v>
      </c>
      <c r="W1365">
        <v>72</v>
      </c>
      <c r="X1365" t="s">
        <v>8621</v>
      </c>
      <c r="Y1365">
        <v>0.60819539378271392</v>
      </c>
      <c r="Z1365" t="str">
        <f>HYPERLINK("Melting_Curves/meltCurve_sp_Q06278_ADO_HUMAN_.pdf", "Melting_Curves/meltCurve_sp_Q06278_ADO_HUMAN_.pdf")</f>
        <v>Melting_Curves/meltCurve_sp_Q06278_ADO_HUMAN_.pdf</v>
      </c>
      <c r="AA1365" t="s">
        <v>12228</v>
      </c>
      <c r="AB1365" t="s">
        <v>15790</v>
      </c>
    </row>
    <row r="1366" spans="1:28" x14ac:dyDescent="0.25">
      <c r="A1366" t="s">
        <v>1370</v>
      </c>
      <c r="B1366">
        <v>0.98018197421672304</v>
      </c>
      <c r="C1366">
        <v>0.98731806861163696</v>
      </c>
      <c r="D1366">
        <v>0.90085003252539497</v>
      </c>
      <c r="E1366">
        <v>0.81126702007205898</v>
      </c>
      <c r="F1366">
        <v>0.70685541335919899</v>
      </c>
      <c r="G1366">
        <v>0.54005783710914401</v>
      </c>
      <c r="H1366">
        <v>0.40301717370435902</v>
      </c>
      <c r="I1366">
        <v>0.33779659964544101</v>
      </c>
      <c r="J1366">
        <v>0.27324414269098102</v>
      </c>
      <c r="K1366">
        <v>0.21681997112416701</v>
      </c>
      <c r="L1366">
        <v>546.108938706863</v>
      </c>
      <c r="M1366">
        <v>9.5907275771848202</v>
      </c>
      <c r="N1366">
        <v>58.218926129722703</v>
      </c>
      <c r="O1366">
        <v>54.6308612651628</v>
      </c>
      <c r="P1366">
        <v>-3.9746597440758299E-2</v>
      </c>
      <c r="Q1366">
        <v>9.4895426792187806E-2</v>
      </c>
      <c r="R1366">
        <v>0.99860740926298996</v>
      </c>
      <c r="S1366" t="s">
        <v>4995</v>
      </c>
      <c r="T1366" t="s">
        <v>7256</v>
      </c>
      <c r="U1366" t="s">
        <v>7256</v>
      </c>
      <c r="V1366" t="s">
        <v>7256</v>
      </c>
      <c r="W1366">
        <v>18</v>
      </c>
      <c r="X1366" t="s">
        <v>8622</v>
      </c>
      <c r="Y1366">
        <v>0.62019074204867486</v>
      </c>
      <c r="Z1366" t="str">
        <f>HYPERLINK("Melting_Curves/meltCurve_sp_Q06323_PSME1_HUMAN_.pdf", "Melting_Curves/meltCurve_sp_Q06323_PSME1_HUMAN_.pdf")</f>
        <v>Melting_Curves/meltCurve_sp_Q06323_PSME1_HUMAN_.pdf</v>
      </c>
      <c r="AA1366" t="s">
        <v>12229</v>
      </c>
      <c r="AB1366" t="s">
        <v>15791</v>
      </c>
    </row>
    <row r="1367" spans="1:28" x14ac:dyDescent="0.25">
      <c r="A1367" t="s">
        <v>1371</v>
      </c>
      <c r="B1367">
        <v>0.98018197421672304</v>
      </c>
      <c r="C1367">
        <v>0.88833092835128002</v>
      </c>
      <c r="D1367">
        <v>0.92109739073242503</v>
      </c>
      <c r="E1367">
        <v>0.42190123020925502</v>
      </c>
      <c r="F1367">
        <v>9.6135156861268806E-2</v>
      </c>
      <c r="G1367">
        <v>5.9690632605708199E-2</v>
      </c>
      <c r="H1367">
        <v>3.2556284112421403E-2</v>
      </c>
      <c r="I1367">
        <v>2.6524966414769799E-2</v>
      </c>
      <c r="J1367">
        <v>2.6066366453023401E-2</v>
      </c>
      <c r="K1367">
        <v>2.0471425296342799E-2</v>
      </c>
      <c r="L1367">
        <v>1591.15518428985</v>
      </c>
      <c r="M1367">
        <v>32.243800140219903</v>
      </c>
      <c r="N1367">
        <v>49.430775352582401</v>
      </c>
      <c r="O1367">
        <v>49.1589703287774</v>
      </c>
      <c r="P1367">
        <v>-0.15964976636938599</v>
      </c>
      <c r="Q1367">
        <v>2.6394987192621101E-2</v>
      </c>
      <c r="R1367">
        <v>0.99214160234119497</v>
      </c>
      <c r="S1367" t="s">
        <v>4996</v>
      </c>
      <c r="T1367" t="s">
        <v>7256</v>
      </c>
      <c r="U1367" t="s">
        <v>7256</v>
      </c>
      <c r="V1367" t="s">
        <v>7256</v>
      </c>
      <c r="W1367">
        <v>14</v>
      </c>
      <c r="X1367" t="s">
        <v>8623</v>
      </c>
      <c r="Y1367">
        <v>0.33490406526792149</v>
      </c>
      <c r="Z1367" t="str">
        <f>HYPERLINK("Melting_Curves/meltCurve_sp_Q06520_ST2A1_HUMAN_.pdf", "Melting_Curves/meltCurve_sp_Q06520_ST2A1_HUMAN_.pdf")</f>
        <v>Melting_Curves/meltCurve_sp_Q06520_ST2A1_HUMAN_.pdf</v>
      </c>
      <c r="AA1367" t="s">
        <v>12230</v>
      </c>
      <c r="AB1367" t="s">
        <v>15792</v>
      </c>
    </row>
    <row r="1368" spans="1:28" x14ac:dyDescent="0.25">
      <c r="A1368" t="s">
        <v>1372</v>
      </c>
      <c r="B1368">
        <v>0.98018197421672304</v>
      </c>
      <c r="C1368">
        <v>0.98096448252790003</v>
      </c>
      <c r="D1368">
        <v>0.90972384238475901</v>
      </c>
      <c r="E1368">
        <v>0.75982701554385501</v>
      </c>
      <c r="F1368">
        <v>0.54202666954443302</v>
      </c>
      <c r="G1368">
        <v>0.19986483411978201</v>
      </c>
      <c r="H1368">
        <v>0.10293717147220199</v>
      </c>
      <c r="I1368">
        <v>8.53273393603734E-2</v>
      </c>
      <c r="J1368">
        <v>6.8943274367255405E-2</v>
      </c>
      <c r="K1368">
        <v>4.1939826788467097E-2</v>
      </c>
      <c r="L1368">
        <v>1003.9445153747</v>
      </c>
      <c r="M1368">
        <v>18.973673168204598</v>
      </c>
      <c r="N1368">
        <v>53.132979268767997</v>
      </c>
      <c r="O1368">
        <v>52.335246673795901</v>
      </c>
      <c r="P1368">
        <v>-8.7207786305339999E-2</v>
      </c>
      <c r="Q1368">
        <v>3.7854618232784999E-2</v>
      </c>
      <c r="R1368">
        <v>0.997112113032249</v>
      </c>
      <c r="S1368" t="s">
        <v>4997</v>
      </c>
      <c r="T1368" t="s">
        <v>7256</v>
      </c>
      <c r="U1368" t="s">
        <v>7256</v>
      </c>
      <c r="V1368" t="s">
        <v>7256</v>
      </c>
      <c r="W1368">
        <v>6</v>
      </c>
      <c r="X1368" t="s">
        <v>8624</v>
      </c>
      <c r="Y1368">
        <v>0.46645374426950242</v>
      </c>
      <c r="Z1368" t="str">
        <f>HYPERLINK("Melting_Curves/meltCurve_sp_Q06787_8_FMR1_HUMAN_.pdf", "Melting_Curves/meltCurve_sp_Q06787_8_FMR1_HUMAN_.pdf")</f>
        <v>Melting_Curves/meltCurve_sp_Q06787_8_FMR1_HUMAN_.pdf</v>
      </c>
      <c r="AA1368" t="s">
        <v>12231</v>
      </c>
      <c r="AB1368" t="s">
        <v>15793</v>
      </c>
    </row>
    <row r="1369" spans="1:28" x14ac:dyDescent="0.25">
      <c r="A1369" t="s">
        <v>1373</v>
      </c>
      <c r="B1369">
        <v>0.98018197421672304</v>
      </c>
      <c r="C1369">
        <v>0.95272531947687999</v>
      </c>
      <c r="D1369">
        <v>0.89517118054768796</v>
      </c>
      <c r="E1369">
        <v>0.81163594041040199</v>
      </c>
      <c r="F1369">
        <v>0.64645536033707796</v>
      </c>
      <c r="G1369">
        <v>0.45459476464773402</v>
      </c>
      <c r="H1369">
        <v>0.41430554276593301</v>
      </c>
      <c r="I1369">
        <v>0.42601818092268201</v>
      </c>
      <c r="J1369">
        <v>0.47907402720384701</v>
      </c>
      <c r="K1369">
        <v>0.421222340083788</v>
      </c>
      <c r="L1369">
        <v>954.60073667778101</v>
      </c>
      <c r="M1369">
        <v>18.573564825427301</v>
      </c>
      <c r="N1369">
        <v>56.873017462905501</v>
      </c>
      <c r="O1369">
        <v>50.811000709349599</v>
      </c>
      <c r="P1369">
        <v>-5.3333236744442902E-2</v>
      </c>
      <c r="Q1369">
        <v>0.416418543329584</v>
      </c>
      <c r="R1369">
        <v>0.97944291663623195</v>
      </c>
      <c r="S1369" t="s">
        <v>4998</v>
      </c>
      <c r="T1369" t="s">
        <v>7256</v>
      </c>
      <c r="U1369" t="s">
        <v>7256</v>
      </c>
      <c r="V1369" t="s">
        <v>7256</v>
      </c>
      <c r="W1369">
        <v>6</v>
      </c>
      <c r="X1369" t="s">
        <v>8625</v>
      </c>
      <c r="Y1369">
        <v>0.64735146533482868</v>
      </c>
      <c r="Z1369" t="str">
        <f>HYPERLINK("Melting_Curves/meltCurve_sp_Q07021_C1QBP_HUMAN_.pdf", "Melting_Curves/meltCurve_sp_Q07021_C1QBP_HUMAN_.pdf")</f>
        <v>Melting_Curves/meltCurve_sp_Q07021_C1QBP_HUMAN_.pdf</v>
      </c>
      <c r="AA1369" t="s">
        <v>12232</v>
      </c>
      <c r="AB1369" t="s">
        <v>15794</v>
      </c>
    </row>
    <row r="1370" spans="1:28" x14ac:dyDescent="0.25">
      <c r="A1370" t="s">
        <v>1374</v>
      </c>
      <c r="B1370">
        <v>0.98018197421672304</v>
      </c>
      <c r="C1370">
        <v>0.77649806637237995</v>
      </c>
      <c r="D1370">
        <v>0.86324563380026598</v>
      </c>
      <c r="E1370">
        <v>0.75917351775861597</v>
      </c>
      <c r="F1370">
        <v>0.45260989816089497</v>
      </c>
      <c r="G1370">
        <v>0.139266946880133</v>
      </c>
      <c r="H1370">
        <v>9.9479981939542494E-2</v>
      </c>
      <c r="I1370">
        <v>6.9501718228100598E-2</v>
      </c>
      <c r="J1370">
        <v>0.310943158689793</v>
      </c>
      <c r="K1370">
        <v>6.3543159188694603E-2</v>
      </c>
      <c r="L1370">
        <v>1112.1915603627201</v>
      </c>
      <c r="M1370">
        <v>21.545381811585301</v>
      </c>
      <c r="N1370">
        <v>52.232460198726301</v>
      </c>
      <c r="O1370">
        <v>51.182354364256703</v>
      </c>
      <c r="P1370">
        <v>-9.3508322163745494E-2</v>
      </c>
      <c r="Q1370">
        <v>0.11148295309928</v>
      </c>
      <c r="R1370">
        <v>0.91133732356508002</v>
      </c>
      <c r="S1370" t="s">
        <v>4999</v>
      </c>
      <c r="T1370" t="s">
        <v>7256</v>
      </c>
      <c r="U1370" t="s">
        <v>7256</v>
      </c>
      <c r="V1370" t="s">
        <v>7256</v>
      </c>
      <c r="W1370">
        <v>2</v>
      </c>
      <c r="X1370" t="s">
        <v>8626</v>
      </c>
      <c r="Y1370">
        <v>0.46639286864597401</v>
      </c>
      <c r="Z1370" t="str">
        <f>HYPERLINK("Melting_Curves/meltCurve_sp_Q07065_CKAP4_HUMAN_.pdf", "Melting_Curves/meltCurve_sp_Q07065_CKAP4_HUMAN_.pdf")</f>
        <v>Melting_Curves/meltCurve_sp_Q07065_CKAP4_HUMAN_.pdf</v>
      </c>
      <c r="AA1370" t="s">
        <v>12233</v>
      </c>
      <c r="AB1370" t="s">
        <v>15795</v>
      </c>
    </row>
    <row r="1371" spans="1:28" x14ac:dyDescent="0.25">
      <c r="A1371" t="s">
        <v>1375</v>
      </c>
      <c r="B1371">
        <v>0.98018197421672304</v>
      </c>
      <c r="C1371">
        <v>0.61791975527943999</v>
      </c>
      <c r="D1371">
        <v>0.33177295091499598</v>
      </c>
      <c r="E1371">
        <v>0.10653838683418</v>
      </c>
      <c r="F1371">
        <v>3.1738695518864102E-2</v>
      </c>
      <c r="G1371">
        <v>1.7752515373931702E-2</v>
      </c>
      <c r="H1371">
        <v>1.5652285351106399E-2</v>
      </c>
      <c r="I1371">
        <v>1.34517923536895E-2</v>
      </c>
      <c r="J1371">
        <v>1.20183098182496E-2</v>
      </c>
      <c r="K1371">
        <v>3.39262516959471E-3</v>
      </c>
      <c r="L1371">
        <v>959.83888652006897</v>
      </c>
      <c r="M1371">
        <v>21.696874591824699</v>
      </c>
      <c r="N1371">
        <v>44.291057138106297</v>
      </c>
      <c r="O1371">
        <v>43.867926492764497</v>
      </c>
      <c r="P1371">
        <v>-0.122082629396201</v>
      </c>
      <c r="Q1371">
        <v>1.2690086214231001E-2</v>
      </c>
      <c r="R1371">
        <v>0.99182800009190597</v>
      </c>
      <c r="S1371" t="s">
        <v>5000</v>
      </c>
      <c r="T1371" t="s">
        <v>7256</v>
      </c>
      <c r="U1371" t="s">
        <v>7256</v>
      </c>
      <c r="V1371" t="s">
        <v>7256</v>
      </c>
      <c r="W1371">
        <v>2</v>
      </c>
      <c r="X1371" t="s">
        <v>8627</v>
      </c>
      <c r="Y1371">
        <v>0.16745797310645799</v>
      </c>
      <c r="Z1371" t="str">
        <f>HYPERLINK("Melting_Curves/meltCurve_sp_Q07075_AMPE_HUMAN_.pdf", "Melting_Curves/meltCurve_sp_Q07075_AMPE_HUMAN_.pdf")</f>
        <v>Melting_Curves/meltCurve_sp_Q07075_AMPE_HUMAN_.pdf</v>
      </c>
      <c r="AA1371" t="s">
        <v>12234</v>
      </c>
      <c r="AB1371" t="s">
        <v>15796</v>
      </c>
    </row>
    <row r="1372" spans="1:28" x14ac:dyDescent="0.25">
      <c r="A1372" t="s">
        <v>1376</v>
      </c>
      <c r="B1372">
        <v>0.98018197421672304</v>
      </c>
      <c r="C1372">
        <v>0.95095485685082304</v>
      </c>
      <c r="D1372">
        <v>0.87636259309790998</v>
      </c>
      <c r="E1372">
        <v>0.68808564168522002</v>
      </c>
      <c r="F1372">
        <v>0.51457300265136097</v>
      </c>
      <c r="G1372">
        <v>0.334692480457633</v>
      </c>
      <c r="H1372">
        <v>0.26562990358893701</v>
      </c>
      <c r="I1372">
        <v>0.27477985532000498</v>
      </c>
      <c r="J1372">
        <v>0.30348222935188701</v>
      </c>
      <c r="K1372">
        <v>0.32299496855023102</v>
      </c>
      <c r="L1372">
        <v>903.78987765564705</v>
      </c>
      <c r="M1372">
        <v>17.873645681759601</v>
      </c>
      <c r="N1372">
        <v>52.925795602694201</v>
      </c>
      <c r="O1372">
        <v>49.945282808343897</v>
      </c>
      <c r="P1372">
        <v>-6.4894651416776597E-2</v>
      </c>
      <c r="Q1372">
        <v>0.274682443068059</v>
      </c>
      <c r="R1372">
        <v>0.991905710860011</v>
      </c>
      <c r="S1372" t="s">
        <v>5001</v>
      </c>
      <c r="T1372" t="s">
        <v>7256</v>
      </c>
      <c r="U1372" t="s">
        <v>7256</v>
      </c>
      <c r="V1372" t="s">
        <v>7256</v>
      </c>
      <c r="W1372">
        <v>19</v>
      </c>
      <c r="X1372" t="s">
        <v>8628</v>
      </c>
      <c r="Y1372">
        <v>0.54257105502446401</v>
      </c>
      <c r="Z1372" t="str">
        <f>HYPERLINK("Melting_Curves/meltCurve_sp_Q07157_ZO1_HUMAN_.pdf", "Melting_Curves/meltCurve_sp_Q07157_ZO1_HUMAN_.pdf")</f>
        <v>Melting_Curves/meltCurve_sp_Q07157_ZO1_HUMAN_.pdf</v>
      </c>
      <c r="AA1372" t="s">
        <v>12235</v>
      </c>
      <c r="AB1372" t="s">
        <v>15797</v>
      </c>
    </row>
    <row r="1373" spans="1:28" x14ac:dyDescent="0.25">
      <c r="A1373" t="s">
        <v>1377</v>
      </c>
      <c r="B1373">
        <v>0.98018197421672304</v>
      </c>
      <c r="C1373">
        <v>0.93197188961699295</v>
      </c>
      <c r="D1373">
        <v>0.99837708288228699</v>
      </c>
      <c r="E1373">
        <v>0.78927043414124098</v>
      </c>
      <c r="F1373">
        <v>0.656875602972671</v>
      </c>
      <c r="G1373">
        <v>0.409799816249108</v>
      </c>
      <c r="H1373">
        <v>0.46071443852683902</v>
      </c>
      <c r="I1373">
        <v>0.50194907548454404</v>
      </c>
      <c r="J1373">
        <v>0.47714609951143999</v>
      </c>
      <c r="K1373">
        <v>0.25153406614070001</v>
      </c>
      <c r="L1373">
        <v>1107.70595095864</v>
      </c>
      <c r="M1373">
        <v>21.401301820661999</v>
      </c>
      <c r="N1373">
        <v>56.011450051761102</v>
      </c>
      <c r="O1373">
        <v>51.313256429933197</v>
      </c>
      <c r="P1373">
        <v>-6.2402498330890399E-2</v>
      </c>
      <c r="Q1373">
        <v>0.401532545299423</v>
      </c>
      <c r="R1373">
        <v>0.92313526375142596</v>
      </c>
      <c r="S1373" t="s">
        <v>5002</v>
      </c>
      <c r="T1373" t="s">
        <v>7256</v>
      </c>
      <c r="U1373" t="s">
        <v>7256</v>
      </c>
      <c r="V1373" t="s">
        <v>7256</v>
      </c>
      <c r="W1373">
        <v>1</v>
      </c>
      <c r="X1373" t="s">
        <v>8629</v>
      </c>
      <c r="Y1373">
        <v>0.64342928706482649</v>
      </c>
      <c r="Z1373" t="str">
        <f>HYPERLINK("Melting_Curves/meltCurve_sp_Q07283_TRHY_HUMAN_.pdf", "Melting_Curves/meltCurve_sp_Q07283_TRHY_HUMAN_.pdf")</f>
        <v>Melting_Curves/meltCurve_sp_Q07283_TRHY_HUMAN_.pdf</v>
      </c>
      <c r="AA1373" t="s">
        <v>12236</v>
      </c>
      <c r="AB1373" t="s">
        <v>15798</v>
      </c>
    </row>
    <row r="1374" spans="1:28" x14ac:dyDescent="0.25">
      <c r="A1374" t="s">
        <v>1378</v>
      </c>
      <c r="B1374">
        <v>0.98018197421672304</v>
      </c>
      <c r="C1374">
        <v>0.95497276580744295</v>
      </c>
      <c r="D1374">
        <v>0.89394272090594296</v>
      </c>
      <c r="E1374">
        <v>0.56898113630027702</v>
      </c>
      <c r="F1374">
        <v>0.24170330536281001</v>
      </c>
      <c r="G1374">
        <v>0.14181881268871199</v>
      </c>
      <c r="H1374">
        <v>8.1401780577320795E-2</v>
      </c>
      <c r="I1374">
        <v>6.4043613540369401E-2</v>
      </c>
      <c r="J1374">
        <v>9.4739811699787901E-2</v>
      </c>
      <c r="K1374">
        <v>9.4967775000188603E-2</v>
      </c>
      <c r="L1374">
        <v>1227.9192918200799</v>
      </c>
      <c r="M1374">
        <v>24.525738884725399</v>
      </c>
      <c r="N1374">
        <v>50.426198159838997</v>
      </c>
      <c r="O1374">
        <v>49.737261503664101</v>
      </c>
      <c r="P1374">
        <v>-0.11338681784160499</v>
      </c>
      <c r="Q1374">
        <v>8.0236797107908597E-2</v>
      </c>
      <c r="R1374">
        <v>0.99737023407432002</v>
      </c>
      <c r="S1374" t="s">
        <v>5003</v>
      </c>
      <c r="T1374" t="s">
        <v>7256</v>
      </c>
      <c r="U1374" t="s">
        <v>7256</v>
      </c>
      <c r="V1374" t="s">
        <v>7256</v>
      </c>
      <c r="W1374">
        <v>4</v>
      </c>
      <c r="X1374" t="s">
        <v>8630</v>
      </c>
      <c r="Y1374">
        <v>0.39741351124245328</v>
      </c>
      <c r="Z1374" t="str">
        <f>HYPERLINK("Melting_Curves/meltCurve_sp_Q07666_KHDR1_HUMAN_.pdf", "Melting_Curves/meltCurve_sp_Q07666_KHDR1_HUMAN_.pdf")</f>
        <v>Melting_Curves/meltCurve_sp_Q07666_KHDR1_HUMAN_.pdf</v>
      </c>
      <c r="AA1374" t="s">
        <v>12237</v>
      </c>
      <c r="AB1374" t="s">
        <v>15799</v>
      </c>
    </row>
    <row r="1375" spans="1:28" x14ac:dyDescent="0.25">
      <c r="A1375" t="s">
        <v>1379</v>
      </c>
      <c r="B1375">
        <v>0.98018197421672304</v>
      </c>
      <c r="C1375">
        <v>0.94371910460460295</v>
      </c>
      <c r="D1375">
        <v>0.85215522934455001</v>
      </c>
      <c r="E1375">
        <v>0.717044881917689</v>
      </c>
      <c r="F1375">
        <v>0.58992074983842802</v>
      </c>
      <c r="G1375">
        <v>0.41641094372535797</v>
      </c>
      <c r="H1375">
        <v>0.35262813177087599</v>
      </c>
      <c r="I1375">
        <v>0.33970932720122299</v>
      </c>
      <c r="J1375">
        <v>0.43480606416504097</v>
      </c>
      <c r="K1375">
        <v>0.46485402561185901</v>
      </c>
      <c r="L1375">
        <v>820.42823930332304</v>
      </c>
      <c r="M1375">
        <v>16.400061211895</v>
      </c>
      <c r="N1375">
        <v>54.8470097780245</v>
      </c>
      <c r="O1375">
        <v>49.299870320711499</v>
      </c>
      <c r="P1375">
        <v>-5.1422598179321502E-2</v>
      </c>
      <c r="Q1375">
        <v>0.381722554955367</v>
      </c>
      <c r="R1375">
        <v>0.96469131450648904</v>
      </c>
      <c r="S1375" t="s">
        <v>5004</v>
      </c>
      <c r="T1375" t="s">
        <v>7256</v>
      </c>
      <c r="U1375" t="s">
        <v>7256</v>
      </c>
      <c r="V1375" t="s">
        <v>7256</v>
      </c>
      <c r="W1375">
        <v>4</v>
      </c>
      <c r="X1375" t="s">
        <v>8631</v>
      </c>
      <c r="Y1375">
        <v>0.60089093018623496</v>
      </c>
      <c r="Z1375" t="str">
        <f>HYPERLINK("Melting_Curves/meltCurve_sp_Q07812_5_BAX_HUMAN_.pdf", "Melting_Curves/meltCurve_sp_Q07812_5_BAX_HUMAN_.pdf")</f>
        <v>Melting_Curves/meltCurve_sp_Q07812_5_BAX_HUMAN_.pdf</v>
      </c>
      <c r="AA1375" t="s">
        <v>12238</v>
      </c>
      <c r="AB1375" t="s">
        <v>15800</v>
      </c>
    </row>
    <row r="1376" spans="1:28" x14ac:dyDescent="0.25">
      <c r="A1376" t="s">
        <v>1380</v>
      </c>
      <c r="B1376">
        <v>0.98018197421672304</v>
      </c>
      <c r="C1376">
        <v>1.61433148208424</v>
      </c>
      <c r="D1376">
        <v>0.91286191412587103</v>
      </c>
      <c r="E1376">
        <v>1.0730259022650901</v>
      </c>
      <c r="F1376">
        <v>0.53881407932862202</v>
      </c>
      <c r="G1376">
        <v>0.52273753311136095</v>
      </c>
      <c r="H1376">
        <v>0.270928080701059</v>
      </c>
      <c r="I1376">
        <v>0.41190435146903198</v>
      </c>
      <c r="J1376">
        <v>0.27105366446323598</v>
      </c>
      <c r="K1376">
        <v>0.55706460111257605</v>
      </c>
      <c r="L1376">
        <v>13183.728009505099</v>
      </c>
      <c r="M1376">
        <v>250</v>
      </c>
      <c r="N1376">
        <v>53.0915160254727</v>
      </c>
      <c r="O1376">
        <v>52.731537366837699</v>
      </c>
      <c r="P1376">
        <v>-0.70316366752415005</v>
      </c>
      <c r="Q1376">
        <v>0.40673758150135902</v>
      </c>
      <c r="R1376">
        <v>0.71476993067656203</v>
      </c>
      <c r="S1376" t="s">
        <v>5005</v>
      </c>
      <c r="T1376" t="s">
        <v>7256</v>
      </c>
      <c r="U1376" t="s">
        <v>7256</v>
      </c>
      <c r="V1376" t="s">
        <v>7256</v>
      </c>
      <c r="W1376">
        <v>1</v>
      </c>
      <c r="X1376" t="s">
        <v>8632</v>
      </c>
      <c r="Y1376">
        <v>0.65863064448331499</v>
      </c>
      <c r="Z1376" t="str">
        <f>HYPERLINK("Melting_Curves/meltCurve_sp_Q07820_2_MCL1_HUMAN_.pdf", "Melting_Curves/meltCurve_sp_Q07820_2_MCL1_HUMAN_.pdf")</f>
        <v>Melting_Curves/meltCurve_sp_Q07820_2_MCL1_HUMAN_.pdf</v>
      </c>
      <c r="AA1376" t="s">
        <v>12239</v>
      </c>
      <c r="AB1376" t="s">
        <v>15801</v>
      </c>
    </row>
    <row r="1377" spans="1:28" x14ac:dyDescent="0.25">
      <c r="A1377" t="s">
        <v>1381</v>
      </c>
      <c r="B1377">
        <v>0.98018197421672304</v>
      </c>
      <c r="C1377">
        <v>0.89463296659822</v>
      </c>
      <c r="D1377">
        <v>0.85281393595836497</v>
      </c>
      <c r="E1377">
        <v>0.66675558301574001</v>
      </c>
      <c r="F1377">
        <v>0.49991952045756499</v>
      </c>
      <c r="G1377">
        <v>0.306619639250375</v>
      </c>
      <c r="H1377">
        <v>0.182806317147098</v>
      </c>
      <c r="I1377">
        <v>0.13867457880383099</v>
      </c>
      <c r="J1377">
        <v>0.13358846466612301</v>
      </c>
      <c r="K1377">
        <v>9.4612701844186894E-2</v>
      </c>
      <c r="L1377">
        <v>614.34685326227395</v>
      </c>
      <c r="M1377">
        <v>11.714966402157801</v>
      </c>
      <c r="N1377">
        <v>52.862654821291798</v>
      </c>
      <c r="O1377">
        <v>50.983069073850402</v>
      </c>
      <c r="P1377">
        <v>-5.48986636027054E-2</v>
      </c>
      <c r="Q1377">
        <v>4.4585449890602098E-2</v>
      </c>
      <c r="R1377">
        <v>0.99761798765564802</v>
      </c>
      <c r="S1377" t="s">
        <v>5006</v>
      </c>
      <c r="T1377" t="s">
        <v>7256</v>
      </c>
      <c r="U1377" t="s">
        <v>7256</v>
      </c>
      <c r="V1377" t="s">
        <v>7256</v>
      </c>
      <c r="W1377">
        <v>15</v>
      </c>
      <c r="X1377" t="s">
        <v>8633</v>
      </c>
      <c r="Y1377">
        <v>0.46999149342776919</v>
      </c>
      <c r="Z1377" t="str">
        <f>HYPERLINK("Melting_Curves/meltCurve_sp_Q07954_LRP1_HUMAN_.pdf", "Melting_Curves/meltCurve_sp_Q07954_LRP1_HUMAN_.pdf")</f>
        <v>Melting_Curves/meltCurve_sp_Q07954_LRP1_HUMAN_.pdf</v>
      </c>
      <c r="AA1377" t="s">
        <v>12240</v>
      </c>
      <c r="AB1377" t="s">
        <v>15802</v>
      </c>
    </row>
    <row r="1378" spans="1:28" x14ac:dyDescent="0.25">
      <c r="A1378" t="s">
        <v>1382</v>
      </c>
      <c r="B1378">
        <v>0.98018197421672304</v>
      </c>
      <c r="C1378">
        <v>0.97763830335884405</v>
      </c>
      <c r="D1378">
        <v>0.92343729335131997</v>
      </c>
      <c r="E1378">
        <v>0.73736928214395403</v>
      </c>
      <c r="F1378">
        <v>0.67811218412592</v>
      </c>
      <c r="G1378">
        <v>0.50617157381384803</v>
      </c>
      <c r="H1378">
        <v>0.39427311581018698</v>
      </c>
      <c r="I1378">
        <v>0.451418020159503</v>
      </c>
      <c r="J1378">
        <v>0.44365714967088099</v>
      </c>
      <c r="K1378">
        <v>0.62827322475285896</v>
      </c>
      <c r="L1378">
        <v>983.05779604921804</v>
      </c>
      <c r="M1378">
        <v>19.497785839031302</v>
      </c>
      <c r="N1378">
        <v>59.620315028096599</v>
      </c>
      <c r="O1378">
        <v>49.8975667514432</v>
      </c>
      <c r="P1378">
        <v>-5.1256056863635401E-2</v>
      </c>
      <c r="Q1378">
        <v>0.47533314802307203</v>
      </c>
      <c r="R1378">
        <v>0.91567595431024695</v>
      </c>
      <c r="S1378" t="s">
        <v>5007</v>
      </c>
      <c r="T1378" t="s">
        <v>7256</v>
      </c>
      <c r="U1378" t="s">
        <v>7256</v>
      </c>
      <c r="V1378" t="s">
        <v>7256</v>
      </c>
      <c r="W1378">
        <v>8</v>
      </c>
      <c r="X1378" t="s">
        <v>8634</v>
      </c>
      <c r="Y1378">
        <v>0.66520628098684442</v>
      </c>
      <c r="Z1378" t="str">
        <f>HYPERLINK("Melting_Curves/meltCurve_sp_Q07955_SRSF1_HUMAN_.pdf", "Melting_Curves/meltCurve_sp_Q07955_SRSF1_HUMAN_.pdf")</f>
        <v>Melting_Curves/meltCurve_sp_Q07955_SRSF1_HUMAN_.pdf</v>
      </c>
      <c r="AA1378" t="s">
        <v>12241</v>
      </c>
      <c r="AB1378" t="s">
        <v>15803</v>
      </c>
    </row>
    <row r="1379" spans="1:28" x14ac:dyDescent="0.25">
      <c r="A1379" t="s">
        <v>1383</v>
      </c>
      <c r="B1379">
        <v>0.98018197421672304</v>
      </c>
      <c r="C1379">
        <v>0.94968856769467302</v>
      </c>
      <c r="D1379">
        <v>0.89999135095451899</v>
      </c>
      <c r="E1379">
        <v>0.78503873202088204</v>
      </c>
      <c r="F1379">
        <v>0.66222121528283096</v>
      </c>
      <c r="G1379">
        <v>0.41722408643797099</v>
      </c>
      <c r="H1379">
        <v>0.15778890376952101</v>
      </c>
      <c r="I1379">
        <v>9.2068362387509997E-2</v>
      </c>
      <c r="J1379">
        <v>8.5648739108350802E-2</v>
      </c>
      <c r="K1379">
        <v>8.6116955090499103E-2</v>
      </c>
      <c r="L1379">
        <v>759.19791220935303</v>
      </c>
      <c r="M1379">
        <v>13.790123554928201</v>
      </c>
      <c r="N1379">
        <v>55.053724634172497</v>
      </c>
      <c r="O1379">
        <v>53.934761661942602</v>
      </c>
      <c r="P1379">
        <v>-6.3929360611538602E-2</v>
      </c>
      <c r="Q1379">
        <v>0</v>
      </c>
      <c r="R1379">
        <v>0.99257420333146396</v>
      </c>
      <c r="S1379" t="s">
        <v>5008</v>
      </c>
      <c r="T1379" t="s">
        <v>7256</v>
      </c>
      <c r="U1379" t="s">
        <v>7256</v>
      </c>
      <c r="V1379" t="s">
        <v>7256</v>
      </c>
      <c r="W1379">
        <v>10</v>
      </c>
      <c r="X1379" t="s">
        <v>8635</v>
      </c>
      <c r="Y1379">
        <v>0.52265402616961676</v>
      </c>
      <c r="Z1379" t="str">
        <f>HYPERLINK("Melting_Curves/meltCurve_sp_Q07960_RHG01_HUMAN_.pdf", "Melting_Curves/meltCurve_sp_Q07960_RHG01_HUMAN_.pdf")</f>
        <v>Melting_Curves/meltCurve_sp_Q07960_RHG01_HUMAN_.pdf</v>
      </c>
      <c r="AA1379" t="s">
        <v>12242</v>
      </c>
      <c r="AB1379" t="s">
        <v>15804</v>
      </c>
    </row>
    <row r="1380" spans="1:28" x14ac:dyDescent="0.25">
      <c r="A1380" t="s">
        <v>1384</v>
      </c>
      <c r="B1380">
        <v>0.98018197421672304</v>
      </c>
      <c r="C1380">
        <v>0.92151309373047996</v>
      </c>
      <c r="D1380">
        <v>0.94495110579048203</v>
      </c>
      <c r="E1380">
        <v>0.93623580264959305</v>
      </c>
      <c r="F1380">
        <v>1.25382156852983</v>
      </c>
      <c r="G1380">
        <v>1.29731762417912</v>
      </c>
      <c r="H1380">
        <v>0.90607673019991897</v>
      </c>
      <c r="I1380">
        <v>0.989986934975843</v>
      </c>
      <c r="J1380">
        <v>1.32004518792151</v>
      </c>
      <c r="K1380">
        <v>1.2856619952661501</v>
      </c>
      <c r="L1380">
        <v>452.54980124867302</v>
      </c>
      <c r="M1380">
        <v>6.3514022894315998</v>
      </c>
      <c r="O1380">
        <v>65.1695308397302</v>
      </c>
      <c r="P1380">
        <v>1.2214627167053601E-2</v>
      </c>
      <c r="Q1380">
        <v>1.5</v>
      </c>
      <c r="R1380">
        <v>0.29332968326983699</v>
      </c>
      <c r="S1380" t="s">
        <v>5009</v>
      </c>
      <c r="T1380" t="s">
        <v>7256</v>
      </c>
      <c r="U1380" t="s">
        <v>7256</v>
      </c>
      <c r="V1380" t="s">
        <v>7256</v>
      </c>
      <c r="W1380">
        <v>3</v>
      </c>
      <c r="X1380" t="s">
        <v>8636</v>
      </c>
      <c r="Y1380">
        <v>1.0862636340186269</v>
      </c>
      <c r="Z1380" t="str">
        <f>HYPERLINK("Melting_Curves/meltCurve_sp_Q08170_SRSF4_HUMAN_.pdf", "Melting_Curves/meltCurve_sp_Q08170_SRSF4_HUMAN_.pdf")</f>
        <v>Melting_Curves/meltCurve_sp_Q08170_SRSF4_HUMAN_.pdf</v>
      </c>
      <c r="AA1380" t="s">
        <v>12243</v>
      </c>
      <c r="AB1380" t="s">
        <v>15805</v>
      </c>
    </row>
    <row r="1381" spans="1:28" x14ac:dyDescent="0.25">
      <c r="A1381" t="s">
        <v>1385</v>
      </c>
      <c r="B1381">
        <v>0.98018197421672304</v>
      </c>
      <c r="C1381">
        <v>0.93767938255211303</v>
      </c>
      <c r="D1381">
        <v>0.86738635441874901</v>
      </c>
      <c r="E1381">
        <v>0.75594831691479603</v>
      </c>
      <c r="F1381">
        <v>0.55553173247324195</v>
      </c>
      <c r="G1381">
        <v>0.32386020841447699</v>
      </c>
      <c r="H1381">
        <v>0.18716305314606499</v>
      </c>
      <c r="I1381">
        <v>0.13051491365301901</v>
      </c>
      <c r="J1381">
        <v>6.5600753293188999E-2</v>
      </c>
      <c r="K1381">
        <v>5.5272026075319801E-2</v>
      </c>
      <c r="L1381">
        <v>673.60736238129198</v>
      </c>
      <c r="M1381">
        <v>12.498089886175199</v>
      </c>
      <c r="N1381">
        <v>53.896824546660802</v>
      </c>
      <c r="O1381">
        <v>52.572797855258401</v>
      </c>
      <c r="P1381">
        <v>-5.9444539342269197E-2</v>
      </c>
      <c r="Q1381">
        <v>0</v>
      </c>
      <c r="R1381">
        <v>0.99787481016907298</v>
      </c>
      <c r="S1381" t="s">
        <v>5010</v>
      </c>
      <c r="T1381" t="s">
        <v>7256</v>
      </c>
      <c r="U1381" t="s">
        <v>7256</v>
      </c>
      <c r="V1381" t="s">
        <v>7256</v>
      </c>
      <c r="W1381">
        <v>7</v>
      </c>
      <c r="X1381" t="s">
        <v>8637</v>
      </c>
      <c r="Y1381">
        <v>0.48857749253534022</v>
      </c>
      <c r="Z1381" t="str">
        <f>HYPERLINK("Melting_Curves/meltCurve_sp_Q08209_2_PP2BA_HUMAN_.pdf", "Melting_Curves/meltCurve_sp_Q08209_2_PP2BA_HUMAN_.pdf")</f>
        <v>Melting_Curves/meltCurve_sp_Q08209_2_PP2BA_HUMAN_.pdf</v>
      </c>
      <c r="AA1381" t="s">
        <v>12244</v>
      </c>
      <c r="AB1381" t="s">
        <v>15806</v>
      </c>
    </row>
    <row r="1382" spans="1:28" x14ac:dyDescent="0.25">
      <c r="A1382" t="s">
        <v>1386</v>
      </c>
      <c r="B1382">
        <v>0.98018197421672304</v>
      </c>
      <c r="C1382">
        <v>0.99041158743164703</v>
      </c>
      <c r="D1382">
        <v>0.87522011804459998</v>
      </c>
      <c r="E1382">
        <v>0.71209890749250504</v>
      </c>
      <c r="F1382">
        <v>0.41434926170497099</v>
      </c>
      <c r="G1382">
        <v>0.15173488387194101</v>
      </c>
      <c r="H1382">
        <v>9.3169940794516404E-2</v>
      </c>
      <c r="I1382">
        <v>6.8439513167131899E-2</v>
      </c>
      <c r="J1382">
        <v>9.5785821380259803E-2</v>
      </c>
      <c r="K1382">
        <v>6.5645917423491296E-2</v>
      </c>
      <c r="L1382">
        <v>1062.6727548460699</v>
      </c>
      <c r="M1382">
        <v>20.567744079012499</v>
      </c>
      <c r="N1382">
        <v>51.986501802275498</v>
      </c>
      <c r="O1382">
        <v>51.186003310353897</v>
      </c>
      <c r="P1382">
        <v>-9.4493753589971294E-2</v>
      </c>
      <c r="Q1382">
        <v>5.9378723073963503E-2</v>
      </c>
      <c r="R1382">
        <v>0.99601772128703603</v>
      </c>
      <c r="S1382" t="s">
        <v>5011</v>
      </c>
      <c r="T1382" t="s">
        <v>7256</v>
      </c>
      <c r="U1382" t="s">
        <v>7256</v>
      </c>
      <c r="V1382" t="s">
        <v>7256</v>
      </c>
      <c r="W1382">
        <v>17</v>
      </c>
      <c r="X1382" t="s">
        <v>8638</v>
      </c>
      <c r="Y1382">
        <v>0.43756783031216689</v>
      </c>
      <c r="Z1382" t="str">
        <f>HYPERLINK("Melting_Curves/meltCurve_sp_Q08211_DHX9_HUMAN_.pdf", "Melting_Curves/meltCurve_sp_Q08211_DHX9_HUMAN_.pdf")</f>
        <v>Melting_Curves/meltCurve_sp_Q08211_DHX9_HUMAN_.pdf</v>
      </c>
      <c r="AA1382" t="s">
        <v>12245</v>
      </c>
      <c r="AB1382" t="s">
        <v>15807</v>
      </c>
    </row>
    <row r="1383" spans="1:28" x14ac:dyDescent="0.25">
      <c r="A1383" t="s">
        <v>1387</v>
      </c>
      <c r="B1383">
        <v>0.98018197421672304</v>
      </c>
      <c r="C1383">
        <v>1.0102508335459</v>
      </c>
      <c r="D1383">
        <v>0.91368308741375504</v>
      </c>
      <c r="E1383">
        <v>0.85637128347764202</v>
      </c>
      <c r="F1383">
        <v>0.77079176291870299</v>
      </c>
      <c r="G1383">
        <v>0.42824835098259101</v>
      </c>
      <c r="H1383">
        <v>5.6164783663242498E-2</v>
      </c>
      <c r="I1383">
        <v>3.9969001117956503E-2</v>
      </c>
      <c r="J1383">
        <v>3.2744189356843798E-2</v>
      </c>
      <c r="K1383">
        <v>2.37496026666826E-2</v>
      </c>
      <c r="L1383">
        <v>1215.67575438823</v>
      </c>
      <c r="M1383">
        <v>21.818270384347301</v>
      </c>
      <c r="N1383">
        <v>55.718245894493599</v>
      </c>
      <c r="O1383">
        <v>55.256517895853797</v>
      </c>
      <c r="P1383">
        <v>-9.8715843590751098E-2</v>
      </c>
      <c r="Q1383">
        <v>0</v>
      </c>
      <c r="R1383">
        <v>0.98855764879561703</v>
      </c>
      <c r="S1383" t="s">
        <v>5012</v>
      </c>
      <c r="T1383" t="s">
        <v>7256</v>
      </c>
      <c r="U1383" t="s">
        <v>7256</v>
      </c>
      <c r="V1383" t="s">
        <v>7256</v>
      </c>
      <c r="W1383">
        <v>18</v>
      </c>
      <c r="X1383" t="s">
        <v>8639</v>
      </c>
      <c r="Y1383">
        <v>0.53540628143479574</v>
      </c>
      <c r="Z1383" t="str">
        <f>HYPERLINK("Melting_Curves/meltCurve_sp_Q08257_QOR_HUMAN_.pdf", "Melting_Curves/meltCurve_sp_Q08257_QOR_HUMAN_.pdf")</f>
        <v>Melting_Curves/meltCurve_sp_Q08257_QOR_HUMAN_.pdf</v>
      </c>
      <c r="AA1383" t="s">
        <v>12246</v>
      </c>
      <c r="AB1383" t="s">
        <v>15808</v>
      </c>
    </row>
    <row r="1384" spans="1:28" x14ac:dyDescent="0.25">
      <c r="A1384" t="s">
        <v>1388</v>
      </c>
      <c r="B1384">
        <v>0.98018197421672304</v>
      </c>
      <c r="C1384">
        <v>0.93257546803720703</v>
      </c>
      <c r="D1384">
        <v>0.85123485803728405</v>
      </c>
      <c r="E1384">
        <v>0.70439037317446795</v>
      </c>
      <c r="F1384">
        <v>0.528465379104329</v>
      </c>
      <c r="G1384">
        <v>0.35177135310888802</v>
      </c>
      <c r="H1384">
        <v>0.33216198079458398</v>
      </c>
      <c r="I1384">
        <v>0.30960546631546998</v>
      </c>
      <c r="J1384">
        <v>0.35383882745007</v>
      </c>
      <c r="K1384">
        <v>0.27272300339558297</v>
      </c>
      <c r="L1384">
        <v>760.08017843267601</v>
      </c>
      <c r="M1384">
        <v>15.030930138956901</v>
      </c>
      <c r="N1384">
        <v>53.558838176615701</v>
      </c>
      <c r="O1384">
        <v>49.6980060902332</v>
      </c>
      <c r="P1384">
        <v>-5.4141480705335199E-2</v>
      </c>
      <c r="Q1384">
        <v>0.28402195166527899</v>
      </c>
      <c r="R1384">
        <v>0.99010066401496499</v>
      </c>
      <c r="S1384" t="s">
        <v>5013</v>
      </c>
      <c r="T1384" t="s">
        <v>7256</v>
      </c>
      <c r="U1384" t="s">
        <v>7256</v>
      </c>
      <c r="V1384" t="s">
        <v>7256</v>
      </c>
      <c r="W1384">
        <v>25</v>
      </c>
      <c r="X1384" t="s">
        <v>8640</v>
      </c>
      <c r="Y1384">
        <v>0.55294091790536093</v>
      </c>
      <c r="Z1384" t="str">
        <f>HYPERLINK("Melting_Curves/meltCurve_sp_Q08378_GOGA3_HUMAN_.pdf", "Melting_Curves/meltCurve_sp_Q08378_GOGA3_HUMAN_.pdf")</f>
        <v>Melting_Curves/meltCurve_sp_Q08378_GOGA3_HUMAN_.pdf</v>
      </c>
      <c r="AA1384" t="s">
        <v>12247</v>
      </c>
      <c r="AB1384" t="s">
        <v>15809</v>
      </c>
    </row>
    <row r="1385" spans="1:28" x14ac:dyDescent="0.25">
      <c r="A1385" t="s">
        <v>1389</v>
      </c>
      <c r="B1385">
        <v>0.98018197421672304</v>
      </c>
      <c r="C1385">
        <v>0.88551746731666403</v>
      </c>
      <c r="D1385">
        <v>0.86784314280666297</v>
      </c>
      <c r="E1385">
        <v>0.71225491904885296</v>
      </c>
      <c r="F1385">
        <v>0.58144928322352996</v>
      </c>
      <c r="G1385">
        <v>0.44196014824752</v>
      </c>
      <c r="H1385">
        <v>0.38034452621274301</v>
      </c>
      <c r="I1385">
        <v>0.360202574106604</v>
      </c>
      <c r="J1385">
        <v>0.56527253980005499</v>
      </c>
      <c r="K1385">
        <v>0.37860821003483802</v>
      </c>
      <c r="L1385">
        <v>730.22363079446802</v>
      </c>
      <c r="M1385">
        <v>14.709396349761001</v>
      </c>
      <c r="N1385">
        <v>55.717463389790602</v>
      </c>
      <c r="O1385">
        <v>48.752892484632603</v>
      </c>
      <c r="P1385">
        <v>-4.5306360731171502E-2</v>
      </c>
      <c r="Q1385">
        <v>0.39941106686468197</v>
      </c>
      <c r="R1385">
        <v>0.924482841317674</v>
      </c>
      <c r="S1385" t="s">
        <v>5014</v>
      </c>
      <c r="T1385" t="s">
        <v>7256</v>
      </c>
      <c r="U1385" t="s">
        <v>7256</v>
      </c>
      <c r="V1385" t="s">
        <v>7256</v>
      </c>
      <c r="W1385">
        <v>9</v>
      </c>
      <c r="X1385" t="s">
        <v>8641</v>
      </c>
      <c r="Y1385">
        <v>0.6074782414317913</v>
      </c>
      <c r="Z1385" t="str">
        <f>HYPERLINK("Melting_Curves/meltCurve_sp_Q08379_GOGA2_HUMAN_.pdf", "Melting_Curves/meltCurve_sp_Q08379_GOGA2_HUMAN_.pdf")</f>
        <v>Melting_Curves/meltCurve_sp_Q08379_GOGA2_HUMAN_.pdf</v>
      </c>
      <c r="AA1385" t="s">
        <v>12248</v>
      </c>
      <c r="AB1385" t="s">
        <v>15810</v>
      </c>
    </row>
    <row r="1386" spans="1:28" x14ac:dyDescent="0.25">
      <c r="A1386" t="s">
        <v>1390</v>
      </c>
      <c r="B1386">
        <v>0.98018197421672304</v>
      </c>
      <c r="C1386">
        <v>0.894557918946425</v>
      </c>
      <c r="D1386">
        <v>0.87823471663074104</v>
      </c>
      <c r="E1386">
        <v>0.72973178928907201</v>
      </c>
      <c r="F1386">
        <v>0.62214295599841596</v>
      </c>
      <c r="G1386">
        <v>0.42080086234331598</v>
      </c>
      <c r="H1386">
        <v>0.37025662393789999</v>
      </c>
      <c r="I1386">
        <v>0.29509002650141603</v>
      </c>
      <c r="J1386">
        <v>0.26655117863007799</v>
      </c>
      <c r="K1386">
        <v>0.34087844313205801</v>
      </c>
      <c r="L1386">
        <v>616.51566295258101</v>
      </c>
      <c r="M1386">
        <v>11.805892416916</v>
      </c>
      <c r="N1386">
        <v>55.422665003446198</v>
      </c>
      <c r="O1386">
        <v>50.790290333186299</v>
      </c>
      <c r="P1386">
        <v>-4.3757284503583301E-2</v>
      </c>
      <c r="Q1386">
        <v>0.24719807077986899</v>
      </c>
      <c r="R1386">
        <v>0.98528406580414996</v>
      </c>
      <c r="S1386" t="s">
        <v>5015</v>
      </c>
      <c r="T1386" t="s">
        <v>7256</v>
      </c>
      <c r="U1386" t="s">
        <v>7256</v>
      </c>
      <c r="V1386" t="s">
        <v>7256</v>
      </c>
      <c r="W1386">
        <v>7</v>
      </c>
      <c r="X1386" t="s">
        <v>8642</v>
      </c>
      <c r="Y1386">
        <v>0.57702226124971567</v>
      </c>
      <c r="Z1386" t="str">
        <f>HYPERLINK("Melting_Curves/meltCurve_sp_Q08380_LG3BP_HUMAN_.pdf", "Melting_Curves/meltCurve_sp_Q08380_LG3BP_HUMAN_.pdf")</f>
        <v>Melting_Curves/meltCurve_sp_Q08380_LG3BP_HUMAN_.pdf</v>
      </c>
      <c r="AA1386" t="s">
        <v>12249</v>
      </c>
      <c r="AB1386" t="s">
        <v>15811</v>
      </c>
    </row>
    <row r="1387" spans="1:28" x14ac:dyDescent="0.25">
      <c r="A1387" t="s">
        <v>1391</v>
      </c>
      <c r="B1387">
        <v>0.98018197421672304</v>
      </c>
      <c r="C1387">
        <v>0.91705712452399901</v>
      </c>
      <c r="D1387">
        <v>0.82800150884892598</v>
      </c>
      <c r="E1387">
        <v>0.69326212683801502</v>
      </c>
      <c r="F1387">
        <v>0.42799246327689799</v>
      </c>
      <c r="G1387">
        <v>0.279229095775337</v>
      </c>
      <c r="H1387">
        <v>0.20959349173368799</v>
      </c>
      <c r="I1387">
        <v>0.135554949459185</v>
      </c>
      <c r="J1387">
        <v>0.161994489547648</v>
      </c>
      <c r="K1387">
        <v>0.13122480336036799</v>
      </c>
      <c r="L1387">
        <v>705.39190063641797</v>
      </c>
      <c r="M1387">
        <v>13.7286904284462</v>
      </c>
      <c r="N1387">
        <v>52.284021802642599</v>
      </c>
      <c r="O1387">
        <v>50.3274649748071</v>
      </c>
      <c r="P1387">
        <v>-6.1006390348027698E-2</v>
      </c>
      <c r="Q1387">
        <v>0.105563819883149</v>
      </c>
      <c r="R1387">
        <v>0.99351763254369796</v>
      </c>
      <c r="S1387" t="s">
        <v>5016</v>
      </c>
      <c r="T1387" t="s">
        <v>7256</v>
      </c>
      <c r="U1387" t="s">
        <v>7256</v>
      </c>
      <c r="V1387" t="s">
        <v>7256</v>
      </c>
      <c r="W1387">
        <v>45</v>
      </c>
      <c r="X1387" t="s">
        <v>8643</v>
      </c>
      <c r="Y1387">
        <v>0.46832613357188702</v>
      </c>
      <c r="Z1387" t="str">
        <f>HYPERLINK("Melting_Curves/meltCurve_sp_Q08426_2_ECHP_HUMAN_.pdf", "Melting_Curves/meltCurve_sp_Q08426_2_ECHP_HUMAN_.pdf")</f>
        <v>Melting_Curves/meltCurve_sp_Q08426_2_ECHP_HUMAN_.pdf</v>
      </c>
      <c r="AA1387" t="s">
        <v>12250</v>
      </c>
      <c r="AB1387" t="s">
        <v>15812</v>
      </c>
    </row>
    <row r="1388" spans="1:28" x14ac:dyDescent="0.25">
      <c r="A1388" t="s">
        <v>1392</v>
      </c>
      <c r="B1388">
        <v>0.98018197421672304</v>
      </c>
      <c r="C1388">
        <v>0.88447475172205903</v>
      </c>
      <c r="D1388">
        <v>0.909996931632856</v>
      </c>
      <c r="E1388">
        <v>0.70926019027327902</v>
      </c>
      <c r="F1388">
        <v>0.341001504999418</v>
      </c>
      <c r="G1388">
        <v>0.14353750168200899</v>
      </c>
      <c r="H1388">
        <v>6.6937255279349198E-2</v>
      </c>
      <c r="I1388">
        <v>4.1545700854842001E-2</v>
      </c>
      <c r="J1388">
        <v>3.6751768082685501E-2</v>
      </c>
      <c r="K1388">
        <v>2.8653547900662501E-2</v>
      </c>
      <c r="L1388">
        <v>1088.7402121175101</v>
      </c>
      <c r="M1388">
        <v>21.127624927028599</v>
      </c>
      <c r="N1388">
        <v>51.6642967048777</v>
      </c>
      <c r="O1388">
        <v>51.0765995864828</v>
      </c>
      <c r="P1388">
        <v>-0.100682973982506</v>
      </c>
      <c r="Q1388">
        <v>2.6410381637791899E-2</v>
      </c>
      <c r="R1388">
        <v>0.99059270465478699</v>
      </c>
      <c r="S1388" t="s">
        <v>5017</v>
      </c>
      <c r="T1388" t="s">
        <v>7256</v>
      </c>
      <c r="U1388" t="s">
        <v>7256</v>
      </c>
      <c r="V1388" t="s">
        <v>7256</v>
      </c>
      <c r="W1388">
        <v>51</v>
      </c>
      <c r="X1388" t="s">
        <v>8644</v>
      </c>
      <c r="Y1388">
        <v>0.41284023768100492</v>
      </c>
      <c r="Z1388" t="str">
        <f>HYPERLINK("Melting_Curves/meltCurve_sp_Q08426_ECHP_HUMAN_.pdf", "Melting_Curves/meltCurve_sp_Q08426_ECHP_HUMAN_.pdf")</f>
        <v>Melting_Curves/meltCurve_sp_Q08426_ECHP_HUMAN_.pdf</v>
      </c>
      <c r="AA1388" t="s">
        <v>12250</v>
      </c>
      <c r="AB1388" t="s">
        <v>15813</v>
      </c>
    </row>
    <row r="1389" spans="1:28" x14ac:dyDescent="0.25">
      <c r="A1389" t="s">
        <v>1393</v>
      </c>
      <c r="B1389">
        <v>0.98018197421672304</v>
      </c>
      <c r="C1389">
        <v>0.77485845095685801</v>
      </c>
      <c r="D1389">
        <v>0.86737509778744604</v>
      </c>
      <c r="E1389">
        <v>0.61289217581184496</v>
      </c>
      <c r="F1389">
        <v>0.49769287447680399</v>
      </c>
      <c r="G1389">
        <v>0.30395863127248102</v>
      </c>
      <c r="H1389">
        <v>1.0197560237976999</v>
      </c>
      <c r="I1389">
        <v>0.32067014535987498</v>
      </c>
      <c r="J1389">
        <v>1.8025151431298201</v>
      </c>
      <c r="K1389">
        <v>1.7895923408748899</v>
      </c>
      <c r="L1389">
        <v>10061.616007885499</v>
      </c>
      <c r="M1389">
        <v>250</v>
      </c>
      <c r="O1389">
        <v>40.243891929849603</v>
      </c>
      <c r="P1389">
        <v>-0.17440348120474899</v>
      </c>
      <c r="Q1389">
        <v>0.88770121202408803</v>
      </c>
      <c r="R1389">
        <v>2.9852530911923499E-3</v>
      </c>
      <c r="S1389" t="s">
        <v>5018</v>
      </c>
      <c r="T1389" t="s">
        <v>7256</v>
      </c>
      <c r="U1389" t="s">
        <v>7256</v>
      </c>
      <c r="V1389" t="s">
        <v>7256</v>
      </c>
      <c r="W1389">
        <v>4</v>
      </c>
      <c r="X1389" t="s">
        <v>8645</v>
      </c>
      <c r="Y1389">
        <v>0.88874635589462903</v>
      </c>
      <c r="Z1389" t="str">
        <f>HYPERLINK("Melting_Curves/meltCurve_sp_Q08554_2_DSC1_HUMAN_.pdf", "Melting_Curves/meltCurve_sp_Q08554_2_DSC1_HUMAN_.pdf")</f>
        <v>Melting_Curves/meltCurve_sp_Q08554_2_DSC1_HUMAN_.pdf</v>
      </c>
      <c r="AA1389" t="s">
        <v>12251</v>
      </c>
      <c r="AB1389" t="s">
        <v>15814</v>
      </c>
    </row>
    <row r="1390" spans="1:28" x14ac:dyDescent="0.25">
      <c r="A1390" t="s">
        <v>1394</v>
      </c>
      <c r="B1390">
        <v>0.98018197421672304</v>
      </c>
      <c r="C1390">
        <v>0.91689613318021901</v>
      </c>
      <c r="D1390">
        <v>0.94253845633089195</v>
      </c>
      <c r="E1390">
        <v>0.613706011637001</v>
      </c>
      <c r="F1390">
        <v>0.23633425447868101</v>
      </c>
      <c r="G1390">
        <v>0.115802128131803</v>
      </c>
      <c r="H1390">
        <v>8.8218409156486099E-2</v>
      </c>
      <c r="I1390">
        <v>7.1689101443407593E-2</v>
      </c>
      <c r="J1390">
        <v>6.4056674118904894E-2</v>
      </c>
      <c r="K1390">
        <v>7.6865702179902601E-2</v>
      </c>
      <c r="L1390">
        <v>1496.90537437496</v>
      </c>
      <c r="M1390">
        <v>29.661491568101098</v>
      </c>
      <c r="N1390">
        <v>50.739112979861297</v>
      </c>
      <c r="O1390">
        <v>50.238568800859099</v>
      </c>
      <c r="P1390">
        <v>-0.13672416251629399</v>
      </c>
      <c r="Q1390">
        <v>7.3710864161498899E-2</v>
      </c>
      <c r="R1390">
        <v>0.99496641041955902</v>
      </c>
      <c r="S1390" t="s">
        <v>5019</v>
      </c>
      <c r="T1390" t="s">
        <v>7256</v>
      </c>
      <c r="U1390" t="s">
        <v>7256</v>
      </c>
      <c r="V1390" t="s">
        <v>7256</v>
      </c>
      <c r="W1390">
        <v>9</v>
      </c>
      <c r="X1390" t="s">
        <v>8646</v>
      </c>
      <c r="Y1390">
        <v>0.40277763972990333</v>
      </c>
      <c r="Z1390" t="str">
        <f>HYPERLINK("Melting_Curves/meltCurve_sp_Q08752_PPID_HUMAN_.pdf", "Melting_Curves/meltCurve_sp_Q08752_PPID_HUMAN_.pdf")</f>
        <v>Melting_Curves/meltCurve_sp_Q08752_PPID_HUMAN_.pdf</v>
      </c>
      <c r="AA1390" t="s">
        <v>12252</v>
      </c>
      <c r="AB1390" t="s">
        <v>15815</v>
      </c>
    </row>
    <row r="1391" spans="1:28" x14ac:dyDescent="0.25">
      <c r="A1391" t="s">
        <v>1395</v>
      </c>
      <c r="B1391">
        <v>0.98018197421672304</v>
      </c>
      <c r="C1391">
        <v>0.94630763129000295</v>
      </c>
      <c r="D1391">
        <v>0.66840494001895601</v>
      </c>
      <c r="E1391">
        <v>0.31778867781181802</v>
      </c>
      <c r="F1391">
        <v>0.10659976471256601</v>
      </c>
      <c r="G1391">
        <v>8.7424624493372793E-2</v>
      </c>
      <c r="H1391">
        <v>5.1083876503799697E-2</v>
      </c>
      <c r="I1391">
        <v>4.27253826832968E-2</v>
      </c>
      <c r="J1391">
        <v>3.4186856481736402E-2</v>
      </c>
      <c r="K1391">
        <v>3.6188543543309602E-2</v>
      </c>
      <c r="L1391">
        <v>1023.49549924556</v>
      </c>
      <c r="M1391">
        <v>21.4988869366179</v>
      </c>
      <c r="N1391">
        <v>47.788370614812898</v>
      </c>
      <c r="O1391">
        <v>47.200751548238799</v>
      </c>
      <c r="P1391">
        <v>-0.10940879524007401</v>
      </c>
      <c r="Q1391">
        <v>3.9196577879651799E-2</v>
      </c>
      <c r="R1391">
        <v>0.99743993450973301</v>
      </c>
      <c r="S1391" t="s">
        <v>5020</v>
      </c>
      <c r="T1391" t="s">
        <v>7256</v>
      </c>
      <c r="U1391" t="s">
        <v>7256</v>
      </c>
      <c r="V1391" t="s">
        <v>7256</v>
      </c>
      <c r="W1391">
        <v>2</v>
      </c>
      <c r="X1391" t="s">
        <v>8647</v>
      </c>
      <c r="Y1391">
        <v>0.29461133121275268</v>
      </c>
      <c r="Z1391" t="str">
        <f>HYPERLINK("Melting_Curves/meltCurve_sp_Q08830_FGL1_HUMAN_.pdf", "Melting_Curves/meltCurve_sp_Q08830_FGL1_HUMAN_.pdf")</f>
        <v>Melting_Curves/meltCurve_sp_Q08830_FGL1_HUMAN_.pdf</v>
      </c>
      <c r="AA1391" t="s">
        <v>12253</v>
      </c>
      <c r="AB1391" t="s">
        <v>15816</v>
      </c>
    </row>
    <row r="1392" spans="1:28" x14ac:dyDescent="0.25">
      <c r="A1392" t="s">
        <v>1396</v>
      </c>
      <c r="B1392">
        <v>0.98018197421672304</v>
      </c>
      <c r="C1392">
        <v>1.04517795256971</v>
      </c>
      <c r="D1392">
        <v>0.95999558008590002</v>
      </c>
      <c r="E1392">
        <v>0.75169147173525297</v>
      </c>
      <c r="F1392">
        <v>0.59848356941777103</v>
      </c>
      <c r="G1392">
        <v>0.30584347209475699</v>
      </c>
      <c r="H1392">
        <v>0.27136201945459199</v>
      </c>
      <c r="I1392">
        <v>0.15590799190056301</v>
      </c>
      <c r="J1392">
        <v>0.113923329166099</v>
      </c>
      <c r="K1392">
        <v>9.3686686866588695E-2</v>
      </c>
      <c r="L1392">
        <v>848.42196984087798</v>
      </c>
      <c r="M1392">
        <v>15.841324286633499</v>
      </c>
      <c r="N1392">
        <v>54.251886821549903</v>
      </c>
      <c r="O1392">
        <v>52.725837140263003</v>
      </c>
      <c r="P1392">
        <v>-6.8225059077817396E-2</v>
      </c>
      <c r="Q1392">
        <v>9.1760272142149296E-2</v>
      </c>
      <c r="R1392">
        <v>0.991116027718416</v>
      </c>
      <c r="S1392" t="s">
        <v>5021</v>
      </c>
      <c r="T1392" t="s">
        <v>7256</v>
      </c>
      <c r="U1392" t="s">
        <v>7256</v>
      </c>
      <c r="V1392" t="s">
        <v>7256</v>
      </c>
      <c r="W1392">
        <v>1</v>
      </c>
      <c r="X1392" t="s">
        <v>8648</v>
      </c>
      <c r="Y1392">
        <v>0.5199202156885151</v>
      </c>
      <c r="Z1392" t="str">
        <f>HYPERLINK("Melting_Curves/meltCurve_sp_Q08AG7_MZT1_HUMAN_.pdf", "Melting_Curves/meltCurve_sp_Q08AG7_MZT1_HUMAN_.pdf")</f>
        <v>Melting_Curves/meltCurve_sp_Q08AG7_MZT1_HUMAN_.pdf</v>
      </c>
      <c r="AA1392" t="s">
        <v>12254</v>
      </c>
      <c r="AB1392" t="s">
        <v>15817</v>
      </c>
    </row>
    <row r="1393" spans="1:28" x14ac:dyDescent="0.25">
      <c r="A1393" t="s">
        <v>1397</v>
      </c>
      <c r="B1393">
        <v>0.98018197421672304</v>
      </c>
      <c r="C1393">
        <v>0.72680990470187001</v>
      </c>
      <c r="D1393">
        <v>0.83563550796722896</v>
      </c>
      <c r="E1393">
        <v>0.41348736952056497</v>
      </c>
      <c r="F1393">
        <v>0.23669660594160899</v>
      </c>
      <c r="G1393">
        <v>0.108202951435134</v>
      </c>
      <c r="H1393">
        <v>5.1463817948462602E-2</v>
      </c>
      <c r="I1393">
        <v>4.25198265548027E-2</v>
      </c>
      <c r="J1393">
        <v>3.8864465899759199E-2</v>
      </c>
      <c r="K1393">
        <v>3.2793959688481401E-2</v>
      </c>
      <c r="L1393">
        <v>695.64537225961999</v>
      </c>
      <c r="M1393">
        <v>14.209039730125999</v>
      </c>
      <c r="N1393">
        <v>48.992184061723897</v>
      </c>
      <c r="O1393">
        <v>48.0188276207708</v>
      </c>
      <c r="P1393">
        <v>-7.3620075317154907E-2</v>
      </c>
      <c r="Q1393">
        <v>4.9406908945185402E-3</v>
      </c>
      <c r="R1393">
        <v>0.96722768063284303</v>
      </c>
      <c r="S1393" t="s">
        <v>5022</v>
      </c>
      <c r="T1393" t="s">
        <v>7256</v>
      </c>
      <c r="U1393" t="s">
        <v>7256</v>
      </c>
      <c r="V1393" t="s">
        <v>7256</v>
      </c>
      <c r="W1393">
        <v>23</v>
      </c>
      <c r="X1393" t="s">
        <v>8649</v>
      </c>
      <c r="Y1393">
        <v>0.32927368639334859</v>
      </c>
      <c r="Z1393" t="str">
        <f>HYPERLINK("Melting_Curves/meltCurve_sp_Q08AH3_ACS2A_HUMAN_.pdf", "Melting_Curves/meltCurve_sp_Q08AH3_ACS2A_HUMAN_.pdf")</f>
        <v>Melting_Curves/meltCurve_sp_Q08AH3_ACS2A_HUMAN_.pdf</v>
      </c>
      <c r="AA1393" t="s">
        <v>12255</v>
      </c>
      <c r="AB1393" t="s">
        <v>15818</v>
      </c>
    </row>
    <row r="1394" spans="1:28" x14ac:dyDescent="0.25">
      <c r="A1394" t="s">
        <v>1398</v>
      </c>
      <c r="B1394">
        <v>0.98018197421672304</v>
      </c>
      <c r="C1394">
        <v>1.05260219596981</v>
      </c>
      <c r="D1394">
        <v>0.93581653487147498</v>
      </c>
      <c r="E1394">
        <v>0.76070749753679801</v>
      </c>
      <c r="F1394">
        <v>0.54843796791139299</v>
      </c>
      <c r="G1394">
        <v>0.14961629448199401</v>
      </c>
      <c r="H1394">
        <v>8.76399137435252E-2</v>
      </c>
      <c r="I1394">
        <v>6.2792522565751893E-2</v>
      </c>
      <c r="J1394">
        <v>6.7287866657066597E-2</v>
      </c>
      <c r="K1394">
        <v>5.3979333669687803E-2</v>
      </c>
      <c r="L1394">
        <v>1198.04079802821</v>
      </c>
      <c r="M1394">
        <v>22.692273118794699</v>
      </c>
      <c r="N1394">
        <v>53.013140620116403</v>
      </c>
      <c r="O1394">
        <v>52.390215757652101</v>
      </c>
      <c r="P1394">
        <v>-0.103462290841584</v>
      </c>
      <c r="Q1394">
        <v>4.4554872987377203E-2</v>
      </c>
      <c r="R1394">
        <v>0.99387107784615303</v>
      </c>
      <c r="S1394" t="s">
        <v>5023</v>
      </c>
      <c r="T1394" t="s">
        <v>7256</v>
      </c>
      <c r="U1394" t="s">
        <v>7256</v>
      </c>
      <c r="V1394" t="s">
        <v>7256</v>
      </c>
      <c r="W1394">
        <v>7</v>
      </c>
      <c r="X1394" t="s">
        <v>8650</v>
      </c>
      <c r="Y1394">
        <v>0.46257111957624691</v>
      </c>
      <c r="Z1394" t="str">
        <f>HYPERLINK("Melting_Curves/meltCurve_sp_Q08AM6_VAC14_HUMAN_.pdf", "Melting_Curves/meltCurve_sp_Q08AM6_VAC14_HUMAN_.pdf")</f>
        <v>Melting_Curves/meltCurve_sp_Q08AM6_VAC14_HUMAN_.pdf</v>
      </c>
      <c r="AA1394" t="s">
        <v>12256</v>
      </c>
      <c r="AB1394" t="s">
        <v>15819</v>
      </c>
    </row>
    <row r="1395" spans="1:28" x14ac:dyDescent="0.25">
      <c r="A1395" t="s">
        <v>1399</v>
      </c>
      <c r="B1395">
        <v>0.98018197421672304</v>
      </c>
      <c r="C1395">
        <v>0.99612821365815696</v>
      </c>
      <c r="D1395">
        <v>0.98677738839205298</v>
      </c>
      <c r="E1395">
        <v>0.88087129882582704</v>
      </c>
      <c r="F1395">
        <v>0.762029006929418</v>
      </c>
      <c r="G1395">
        <v>0.37652818426476597</v>
      </c>
      <c r="H1395">
        <v>0.19007097102259801</v>
      </c>
      <c r="I1395">
        <v>8.98108357228313E-2</v>
      </c>
      <c r="J1395">
        <v>9.7348553682693198E-2</v>
      </c>
      <c r="K1395">
        <v>6.4169251885049405E-2</v>
      </c>
      <c r="L1395">
        <v>1160.8703235497401</v>
      </c>
      <c r="M1395">
        <v>20.959610074035901</v>
      </c>
      <c r="N1395">
        <v>55.704827754830802</v>
      </c>
      <c r="O1395">
        <v>54.889283421193497</v>
      </c>
      <c r="P1395">
        <v>-9.0070327401964204E-2</v>
      </c>
      <c r="Q1395">
        <v>5.6516458943484699E-2</v>
      </c>
      <c r="R1395">
        <v>0.99799755716194405</v>
      </c>
      <c r="S1395" t="s">
        <v>5024</v>
      </c>
      <c r="T1395" t="s">
        <v>7256</v>
      </c>
      <c r="U1395" t="s">
        <v>7256</v>
      </c>
      <c r="V1395" t="s">
        <v>7256</v>
      </c>
      <c r="W1395">
        <v>14</v>
      </c>
      <c r="X1395" t="s">
        <v>8651</v>
      </c>
      <c r="Y1395">
        <v>0.55199163206058077</v>
      </c>
      <c r="Z1395" t="str">
        <f>HYPERLINK("Melting_Curves/meltCurve_sp_Q08J23_2_NSUN2_HUMAN_.pdf", "Melting_Curves/meltCurve_sp_Q08J23_2_NSUN2_HUMAN_.pdf")</f>
        <v>Melting_Curves/meltCurve_sp_Q08J23_2_NSUN2_HUMAN_.pdf</v>
      </c>
      <c r="AA1395" t="s">
        <v>12257</v>
      </c>
      <c r="AB1395" t="s">
        <v>15820</v>
      </c>
    </row>
    <row r="1396" spans="1:28" x14ac:dyDescent="0.25">
      <c r="A1396" t="s">
        <v>1400</v>
      </c>
      <c r="B1396">
        <v>0.98018197421672304</v>
      </c>
      <c r="C1396">
        <v>0.98814137220204001</v>
      </c>
      <c r="D1396">
        <v>0.85539359422795003</v>
      </c>
      <c r="E1396">
        <v>0.70543737230327097</v>
      </c>
      <c r="F1396">
        <v>0.57276212332374499</v>
      </c>
      <c r="G1396">
        <v>0.36820663748715299</v>
      </c>
      <c r="H1396">
        <v>0.19560297324321499</v>
      </c>
      <c r="I1396">
        <v>0.107921197865205</v>
      </c>
      <c r="J1396">
        <v>0.12403135149854</v>
      </c>
      <c r="K1396">
        <v>7.7051590778749901E-2</v>
      </c>
      <c r="L1396">
        <v>631.10686196426298</v>
      </c>
      <c r="M1396">
        <v>11.699279298521001</v>
      </c>
      <c r="N1396">
        <v>54.006310737817202</v>
      </c>
      <c r="O1396">
        <v>52.4403308945977</v>
      </c>
      <c r="P1396">
        <v>-5.5415556533996102E-2</v>
      </c>
      <c r="Q1396">
        <v>6.6952427466513498E-3</v>
      </c>
      <c r="R1396">
        <v>0.99603111355184704</v>
      </c>
      <c r="S1396" t="s">
        <v>5025</v>
      </c>
      <c r="T1396" t="s">
        <v>7256</v>
      </c>
      <c r="U1396" t="s">
        <v>7256</v>
      </c>
      <c r="V1396" t="s">
        <v>7256</v>
      </c>
      <c r="W1396">
        <v>7</v>
      </c>
      <c r="X1396" t="s">
        <v>8652</v>
      </c>
      <c r="Y1396">
        <v>0.49508115899922339</v>
      </c>
      <c r="Z1396" t="str">
        <f>HYPERLINK("Melting_Curves/meltCurve_sp_Q09028_3_RBBP4_HUMAN_.pdf", "Melting_Curves/meltCurve_sp_Q09028_3_RBBP4_HUMAN_.pdf")</f>
        <v>Melting_Curves/meltCurve_sp_Q09028_3_RBBP4_HUMAN_.pdf</v>
      </c>
      <c r="AA1396" t="s">
        <v>12258</v>
      </c>
      <c r="AB1396" t="s">
        <v>15821</v>
      </c>
    </row>
    <row r="1397" spans="1:28" x14ac:dyDescent="0.25">
      <c r="A1397" t="s">
        <v>1401</v>
      </c>
      <c r="B1397">
        <v>0.98018197421672304</v>
      </c>
      <c r="C1397">
        <v>0.87157118794007804</v>
      </c>
      <c r="D1397">
        <v>0.84543936364166705</v>
      </c>
      <c r="E1397">
        <v>0.48923047786372797</v>
      </c>
      <c r="F1397">
        <v>0.167317437702414</v>
      </c>
      <c r="G1397">
        <v>8.8355377561246395E-2</v>
      </c>
      <c r="H1397">
        <v>4.5832232595134803E-2</v>
      </c>
      <c r="I1397">
        <v>1.9599599962388199E-2</v>
      </c>
      <c r="J1397">
        <v>3.2474139643799901E-2</v>
      </c>
      <c r="K1397">
        <v>0</v>
      </c>
      <c r="L1397">
        <v>995.27960473611802</v>
      </c>
      <c r="M1397">
        <v>20.1048591032948</v>
      </c>
      <c r="N1397">
        <v>49.561029087970901</v>
      </c>
      <c r="O1397">
        <v>49.022464535197997</v>
      </c>
      <c r="P1397">
        <v>-0.101368432890174</v>
      </c>
      <c r="Q1397">
        <v>1.1349023096407399E-2</v>
      </c>
      <c r="R1397">
        <v>0.99152950263621298</v>
      </c>
      <c r="S1397" t="s">
        <v>5026</v>
      </c>
      <c r="T1397" t="s">
        <v>7256</v>
      </c>
      <c r="U1397" t="s">
        <v>7256</v>
      </c>
      <c r="V1397" t="s">
        <v>7256</v>
      </c>
      <c r="W1397">
        <v>2</v>
      </c>
      <c r="X1397" t="s">
        <v>8653</v>
      </c>
      <c r="Y1397">
        <v>0.33822108003676188</v>
      </c>
      <c r="Z1397" t="str">
        <f>HYPERLINK("Melting_Curves/meltCurve_sp_Q09161_NCBP1_HUMAN_.pdf", "Melting_Curves/meltCurve_sp_Q09161_NCBP1_HUMAN_.pdf")</f>
        <v>Melting_Curves/meltCurve_sp_Q09161_NCBP1_HUMAN_.pdf</v>
      </c>
      <c r="AA1397" t="s">
        <v>12259</v>
      </c>
      <c r="AB1397" t="s">
        <v>15822</v>
      </c>
    </row>
    <row r="1398" spans="1:28" x14ac:dyDescent="0.25">
      <c r="A1398" t="s">
        <v>1402</v>
      </c>
      <c r="B1398">
        <v>0.98018197421672304</v>
      </c>
      <c r="C1398">
        <v>0.805515392191827</v>
      </c>
      <c r="D1398">
        <v>0.75928634176661702</v>
      </c>
      <c r="E1398">
        <v>0.64320562572594497</v>
      </c>
      <c r="F1398">
        <v>0.44818847466886802</v>
      </c>
      <c r="G1398">
        <v>0.274749126981639</v>
      </c>
      <c r="H1398">
        <v>0.17891467799811001</v>
      </c>
      <c r="I1398">
        <v>0.17744374135136001</v>
      </c>
      <c r="J1398">
        <v>0.15948958970487701</v>
      </c>
      <c r="K1398">
        <v>0.23193273474683801</v>
      </c>
      <c r="L1398">
        <v>551.96285559730904</v>
      </c>
      <c r="M1398">
        <v>10.9747380568227</v>
      </c>
      <c r="N1398">
        <v>51.5672623138841</v>
      </c>
      <c r="O1398">
        <v>48.710602300388501</v>
      </c>
      <c r="P1398">
        <v>-4.9657831796060502E-2</v>
      </c>
      <c r="Q1398">
        <v>0.118688837664715</v>
      </c>
      <c r="R1398">
        <v>0.97401492777064003</v>
      </c>
      <c r="S1398" t="s">
        <v>5027</v>
      </c>
      <c r="T1398" t="s">
        <v>7256</v>
      </c>
      <c r="U1398" t="s">
        <v>7256</v>
      </c>
      <c r="V1398" t="s">
        <v>7256</v>
      </c>
      <c r="W1398">
        <v>3</v>
      </c>
      <c r="X1398" t="s">
        <v>8654</v>
      </c>
      <c r="Y1398">
        <v>0.45530790091018558</v>
      </c>
      <c r="Z1398" t="str">
        <f>HYPERLINK("Melting_Curves/meltCurve_sp_Q09472_EP300_HUMAN_.pdf", "Melting_Curves/meltCurve_sp_Q09472_EP300_HUMAN_.pdf")</f>
        <v>Melting_Curves/meltCurve_sp_Q09472_EP300_HUMAN_.pdf</v>
      </c>
      <c r="AA1398" t="s">
        <v>12260</v>
      </c>
      <c r="AB1398" t="s">
        <v>15823</v>
      </c>
    </row>
    <row r="1399" spans="1:28" x14ac:dyDescent="0.25">
      <c r="A1399" t="s">
        <v>1403</v>
      </c>
      <c r="B1399">
        <v>0.98018197421672304</v>
      </c>
      <c r="C1399">
        <v>0.94982344875412705</v>
      </c>
      <c r="D1399">
        <v>0.92981641135975102</v>
      </c>
      <c r="E1399">
        <v>0.815953633558131</v>
      </c>
      <c r="F1399">
        <v>0.64196615813748004</v>
      </c>
      <c r="G1399">
        <v>0.38951150848961402</v>
      </c>
      <c r="H1399">
        <v>0.45158268409451802</v>
      </c>
      <c r="I1399">
        <v>0.46255285925355499</v>
      </c>
      <c r="J1399">
        <v>0.45601086601239599</v>
      </c>
      <c r="K1399">
        <v>0.56475103080329703</v>
      </c>
      <c r="L1399">
        <v>1482.56873691804</v>
      </c>
      <c r="M1399">
        <v>28.993707803009301</v>
      </c>
      <c r="N1399">
        <v>56.240949379885599</v>
      </c>
      <c r="O1399">
        <v>50.892755311824402</v>
      </c>
      <c r="P1399">
        <v>-7.6332451920618993E-2</v>
      </c>
      <c r="Q1399">
        <v>0.46405754096759</v>
      </c>
      <c r="R1399">
        <v>0.94482349086791395</v>
      </c>
      <c r="S1399" t="s">
        <v>5028</v>
      </c>
      <c r="T1399" t="s">
        <v>7256</v>
      </c>
      <c r="U1399" t="s">
        <v>7256</v>
      </c>
      <c r="V1399" t="s">
        <v>7256</v>
      </c>
      <c r="W1399">
        <v>237</v>
      </c>
      <c r="X1399" t="s">
        <v>8655</v>
      </c>
      <c r="Y1399">
        <v>0.66658177400703977</v>
      </c>
      <c r="Z1399" t="str">
        <f>HYPERLINK("Melting_Curves/meltCurve_sp_Q09666_AHNK_HUMAN_.pdf", "Melting_Curves/meltCurve_sp_Q09666_AHNK_HUMAN_.pdf")</f>
        <v>Melting_Curves/meltCurve_sp_Q09666_AHNK_HUMAN_.pdf</v>
      </c>
      <c r="AA1399" t="s">
        <v>12261</v>
      </c>
      <c r="AB1399" t="s">
        <v>15824</v>
      </c>
    </row>
    <row r="1400" spans="1:28" x14ac:dyDescent="0.25">
      <c r="A1400" t="s">
        <v>1404</v>
      </c>
      <c r="B1400">
        <v>0.98018197421672304</v>
      </c>
      <c r="C1400">
        <v>0.988725133032061</v>
      </c>
      <c r="D1400">
        <v>0.88980987193555305</v>
      </c>
      <c r="E1400">
        <v>0.69096371669154599</v>
      </c>
      <c r="F1400">
        <v>0.56546906134886499</v>
      </c>
      <c r="G1400">
        <v>0.29005088003285101</v>
      </c>
      <c r="H1400">
        <v>0.110434796043081</v>
      </c>
      <c r="I1400">
        <v>0.116521536426879</v>
      </c>
      <c r="J1400">
        <v>0.135248561534591</v>
      </c>
      <c r="K1400">
        <v>0.152469183348796</v>
      </c>
      <c r="L1400">
        <v>845.86627310602205</v>
      </c>
      <c r="M1400">
        <v>16.110157887196699</v>
      </c>
      <c r="N1400">
        <v>53.163099069112803</v>
      </c>
      <c r="O1400">
        <v>51.716129027898901</v>
      </c>
      <c r="P1400">
        <v>-7.08445902388639E-2</v>
      </c>
      <c r="Q1400">
        <v>9.0380545853740502E-2</v>
      </c>
      <c r="R1400">
        <v>0.99029393904777996</v>
      </c>
      <c r="S1400" t="s">
        <v>5029</v>
      </c>
      <c r="T1400" t="s">
        <v>7256</v>
      </c>
      <c r="U1400" t="s">
        <v>7256</v>
      </c>
      <c r="V1400" t="s">
        <v>7256</v>
      </c>
      <c r="W1400">
        <v>4</v>
      </c>
      <c r="X1400" t="s">
        <v>8656</v>
      </c>
      <c r="Y1400">
        <v>0.48748180362315219</v>
      </c>
      <c r="Z1400" t="str">
        <f>HYPERLINK("Melting_Curves/meltCurve_sp_Q0JRZ9_FCHO2_HUMAN_.pdf", "Melting_Curves/meltCurve_sp_Q0JRZ9_FCHO2_HUMAN_.pdf")</f>
        <v>Melting_Curves/meltCurve_sp_Q0JRZ9_FCHO2_HUMAN_.pdf</v>
      </c>
      <c r="AA1400" t="s">
        <v>12262</v>
      </c>
      <c r="AB1400" t="s">
        <v>15825</v>
      </c>
    </row>
    <row r="1401" spans="1:28" x14ac:dyDescent="0.25">
      <c r="A1401" t="s">
        <v>1405</v>
      </c>
      <c r="B1401">
        <v>0.98018197421672304</v>
      </c>
      <c r="C1401">
        <v>0.96965986618392697</v>
      </c>
      <c r="D1401">
        <v>0.93006396506765299</v>
      </c>
      <c r="E1401">
        <v>0.76246271840666002</v>
      </c>
      <c r="F1401">
        <v>0.49864888693528497</v>
      </c>
      <c r="G1401">
        <v>0.29890365388144302</v>
      </c>
      <c r="H1401">
        <v>0.28033953460711702</v>
      </c>
      <c r="I1401">
        <v>0.174131773908141</v>
      </c>
      <c r="J1401">
        <v>0.10352123959987</v>
      </c>
      <c r="K1401">
        <v>8.7109847194343198E-2</v>
      </c>
      <c r="L1401">
        <v>793.99325084248903</v>
      </c>
      <c r="M1401">
        <v>15.012028962210101</v>
      </c>
      <c r="N1401">
        <v>53.637554981087703</v>
      </c>
      <c r="O1401">
        <v>51.978557942394502</v>
      </c>
      <c r="P1401">
        <v>-6.5397917366482497E-2</v>
      </c>
      <c r="Q1401">
        <v>9.4340379563577298E-2</v>
      </c>
      <c r="R1401">
        <v>0.99048337690075305</v>
      </c>
      <c r="S1401" t="s">
        <v>5030</v>
      </c>
      <c r="T1401" t="s">
        <v>7256</v>
      </c>
      <c r="U1401" t="s">
        <v>7256</v>
      </c>
      <c r="V1401" t="s">
        <v>7256</v>
      </c>
      <c r="W1401">
        <v>2</v>
      </c>
      <c r="X1401" t="s">
        <v>8657</v>
      </c>
      <c r="Y1401">
        <v>0.50304200681356614</v>
      </c>
      <c r="Z1401" t="str">
        <f>HYPERLINK("Melting_Curves/meltCurve_sp_Q0PNE2_ELP6_HUMAN_.pdf", "Melting_Curves/meltCurve_sp_Q0PNE2_ELP6_HUMAN_.pdf")</f>
        <v>Melting_Curves/meltCurve_sp_Q0PNE2_ELP6_HUMAN_.pdf</v>
      </c>
      <c r="AA1401" t="s">
        <v>12263</v>
      </c>
      <c r="AB1401" t="s">
        <v>15826</v>
      </c>
    </row>
    <row r="1402" spans="1:28" x14ac:dyDescent="0.25">
      <c r="A1402" t="s">
        <v>1406</v>
      </c>
      <c r="B1402">
        <v>0.98018197421672304</v>
      </c>
      <c r="C1402">
        <v>1.0733942367718099</v>
      </c>
      <c r="D1402">
        <v>0.99979983032664799</v>
      </c>
      <c r="E1402">
        <v>0.90411392168416205</v>
      </c>
      <c r="F1402">
        <v>0.90627711299340596</v>
      </c>
      <c r="G1402">
        <v>0.55606926547120294</v>
      </c>
      <c r="H1402">
        <v>7.7128819135062199E-2</v>
      </c>
      <c r="I1402">
        <v>5.6731710946998602E-2</v>
      </c>
      <c r="J1402">
        <v>4.9455459135756198E-2</v>
      </c>
      <c r="K1402">
        <v>3.41766732256727E-2</v>
      </c>
      <c r="L1402">
        <v>1978.0163925020199</v>
      </c>
      <c r="M1402">
        <v>34.629242061672898</v>
      </c>
      <c r="N1402">
        <v>57.207938543280697</v>
      </c>
      <c r="O1402">
        <v>56.930339432142397</v>
      </c>
      <c r="P1402">
        <v>-0.14811999131977699</v>
      </c>
      <c r="Q1402">
        <v>2.5968594112340499E-2</v>
      </c>
      <c r="R1402">
        <v>0.99057959234131199</v>
      </c>
      <c r="S1402" t="s">
        <v>5031</v>
      </c>
      <c r="T1402" t="s">
        <v>7256</v>
      </c>
      <c r="U1402" t="s">
        <v>7256</v>
      </c>
      <c r="V1402" t="s">
        <v>7256</v>
      </c>
      <c r="W1402">
        <v>4</v>
      </c>
      <c r="X1402" t="s">
        <v>8658</v>
      </c>
      <c r="Y1402">
        <v>0.58681008337451135</v>
      </c>
      <c r="Z1402" t="str">
        <f>HYPERLINK("Melting_Curves/meltCurve_sp_Q0VDG4_2_SCRN3_HUMAN_.pdf", "Melting_Curves/meltCurve_sp_Q0VDG4_2_SCRN3_HUMAN_.pdf")</f>
        <v>Melting_Curves/meltCurve_sp_Q0VDG4_2_SCRN3_HUMAN_.pdf</v>
      </c>
      <c r="AA1402" t="s">
        <v>12264</v>
      </c>
      <c r="AB1402" t="s">
        <v>15827</v>
      </c>
    </row>
    <row r="1403" spans="1:28" x14ac:dyDescent="0.25">
      <c r="A1403" t="s">
        <v>1407</v>
      </c>
      <c r="B1403">
        <v>0.98018197421672304</v>
      </c>
      <c r="C1403">
        <v>0.95878974526337502</v>
      </c>
      <c r="D1403">
        <v>0.90134671095482599</v>
      </c>
      <c r="E1403">
        <v>0.798572546133269</v>
      </c>
      <c r="F1403">
        <v>0.69538032074535305</v>
      </c>
      <c r="G1403">
        <v>0.49990427108975899</v>
      </c>
      <c r="H1403">
        <v>0.44722285304925202</v>
      </c>
      <c r="I1403">
        <v>0.47690565631728199</v>
      </c>
      <c r="J1403">
        <v>0.51354761850125097</v>
      </c>
      <c r="K1403">
        <v>0.499588231202377</v>
      </c>
      <c r="L1403">
        <v>886.62387501206399</v>
      </c>
      <c r="M1403">
        <v>17.3266245113496</v>
      </c>
      <c r="N1403">
        <v>60.641807816915701</v>
      </c>
      <c r="O1403">
        <v>50.504145922893301</v>
      </c>
      <c r="P1403">
        <v>-4.57517308917137E-2</v>
      </c>
      <c r="Q1403">
        <v>0.46659671702341399</v>
      </c>
      <c r="R1403">
        <v>0.97554034274721002</v>
      </c>
      <c r="S1403" t="s">
        <v>5032</v>
      </c>
      <c r="T1403" t="s">
        <v>7256</v>
      </c>
      <c r="U1403" t="s">
        <v>7256</v>
      </c>
      <c r="V1403" t="s">
        <v>7256</v>
      </c>
      <c r="W1403">
        <v>36</v>
      </c>
      <c r="X1403" t="s">
        <v>8659</v>
      </c>
      <c r="Y1403">
        <v>0.67481825518956606</v>
      </c>
      <c r="Z1403" t="str">
        <f>HYPERLINK("Melting_Curves/meltCurve_sp_Q0VF96_CGNL1_HUMAN_.pdf", "Melting_Curves/meltCurve_sp_Q0VF96_CGNL1_HUMAN_.pdf")</f>
        <v>Melting_Curves/meltCurve_sp_Q0VF96_CGNL1_HUMAN_.pdf</v>
      </c>
      <c r="AA1403" t="s">
        <v>12265</v>
      </c>
      <c r="AB1403" t="s">
        <v>15828</v>
      </c>
    </row>
    <row r="1404" spans="1:28" x14ac:dyDescent="0.25">
      <c r="A1404" t="s">
        <v>1408</v>
      </c>
      <c r="B1404">
        <v>0.98018197421672304</v>
      </c>
      <c r="C1404">
        <v>0.97714035898768403</v>
      </c>
      <c r="D1404">
        <v>0.91701485432699403</v>
      </c>
      <c r="E1404">
        <v>0.768784783826019</v>
      </c>
      <c r="F1404">
        <v>0.46707783313164197</v>
      </c>
      <c r="G1404">
        <v>0.217367592994892</v>
      </c>
      <c r="H1404">
        <v>0.12173210288232</v>
      </c>
      <c r="I1404">
        <v>6.8141156847459694E-2</v>
      </c>
      <c r="J1404">
        <v>5.68790743141099E-2</v>
      </c>
      <c r="K1404">
        <v>3.7149148571331697E-2</v>
      </c>
      <c r="L1404">
        <v>997.123343692861</v>
      </c>
      <c r="M1404">
        <v>18.951323987629198</v>
      </c>
      <c r="N1404">
        <v>52.838167918855497</v>
      </c>
      <c r="O1404">
        <v>52.039626981540898</v>
      </c>
      <c r="P1404">
        <v>-8.7544185522847803E-2</v>
      </c>
      <c r="Q1404">
        <v>3.8466426924976101E-2</v>
      </c>
      <c r="R1404">
        <v>0.99828764968573402</v>
      </c>
      <c r="S1404" t="s">
        <v>5033</v>
      </c>
      <c r="T1404" t="s">
        <v>7256</v>
      </c>
      <c r="U1404" t="s">
        <v>7256</v>
      </c>
      <c r="V1404" t="s">
        <v>7256</v>
      </c>
      <c r="W1404">
        <v>29</v>
      </c>
      <c r="X1404" t="s">
        <v>8660</v>
      </c>
      <c r="Y1404">
        <v>0.45733827758021067</v>
      </c>
      <c r="Z1404" t="str">
        <f>HYPERLINK("Melting_Curves/meltCurve_sp_Q10567_2_AP1B1_HUMAN_.pdf", "Melting_Curves/meltCurve_sp_Q10567_2_AP1B1_HUMAN_.pdf")</f>
        <v>Melting_Curves/meltCurve_sp_Q10567_2_AP1B1_HUMAN_.pdf</v>
      </c>
      <c r="AA1404" t="s">
        <v>12266</v>
      </c>
      <c r="AB1404" t="s">
        <v>15829</v>
      </c>
    </row>
    <row r="1405" spans="1:28" x14ac:dyDescent="0.25">
      <c r="A1405" t="s">
        <v>1409</v>
      </c>
      <c r="B1405">
        <v>0.98018197421672304</v>
      </c>
      <c r="C1405">
        <v>1.0295594934332499</v>
      </c>
      <c r="D1405">
        <v>1.0075764623585299</v>
      </c>
      <c r="E1405">
        <v>0.83347776487087</v>
      </c>
      <c r="F1405">
        <v>0.446165523761547</v>
      </c>
      <c r="G1405">
        <v>0.23261405839334801</v>
      </c>
      <c r="H1405">
        <v>8.5644132833540901E-2</v>
      </c>
      <c r="I1405">
        <v>3.8551416685345098E-2</v>
      </c>
      <c r="J1405">
        <v>2.0619588024487202E-2</v>
      </c>
      <c r="K1405">
        <v>2.5584635233090298E-2</v>
      </c>
      <c r="L1405">
        <v>1253.7787810817899</v>
      </c>
      <c r="M1405">
        <v>23.724059858634298</v>
      </c>
      <c r="N1405">
        <v>53.001116511359697</v>
      </c>
      <c r="O1405">
        <v>52.4772065338461</v>
      </c>
      <c r="P1405">
        <v>-0.109288897740326</v>
      </c>
      <c r="Q1405">
        <v>3.3035465800555698E-2</v>
      </c>
      <c r="R1405">
        <v>0.99422557139008805</v>
      </c>
      <c r="S1405" t="s">
        <v>5034</v>
      </c>
      <c r="T1405" t="s">
        <v>7256</v>
      </c>
      <c r="U1405" t="s">
        <v>7256</v>
      </c>
      <c r="V1405" t="s">
        <v>7256</v>
      </c>
      <c r="W1405">
        <v>29</v>
      </c>
      <c r="X1405" t="s">
        <v>8661</v>
      </c>
      <c r="Y1405">
        <v>0.45697553250234058</v>
      </c>
      <c r="Z1405" t="str">
        <f>HYPERLINK("Melting_Curves/meltCurve_sp_Q10567_3_AP1B1_HUMAN_.pdf", "Melting_Curves/meltCurve_sp_Q10567_3_AP1B1_HUMAN_.pdf")</f>
        <v>Melting_Curves/meltCurve_sp_Q10567_3_AP1B1_HUMAN_.pdf</v>
      </c>
      <c r="AA1405" t="s">
        <v>12266</v>
      </c>
      <c r="AB1405" t="s">
        <v>15830</v>
      </c>
    </row>
    <row r="1406" spans="1:28" x14ac:dyDescent="0.25">
      <c r="A1406" t="s">
        <v>1410</v>
      </c>
      <c r="B1406">
        <v>0.98018197421672304</v>
      </c>
      <c r="C1406">
        <v>0.92500234800854497</v>
      </c>
      <c r="D1406">
        <v>0.79587298763373904</v>
      </c>
      <c r="E1406">
        <v>0.35440571072024701</v>
      </c>
      <c r="F1406">
        <v>0.148065578683645</v>
      </c>
      <c r="G1406">
        <v>9.8528292893659303E-2</v>
      </c>
      <c r="H1406">
        <v>5.9343637840853003E-2</v>
      </c>
      <c r="I1406">
        <v>5.0525870548506303E-2</v>
      </c>
      <c r="J1406">
        <v>5.23008169360877E-2</v>
      </c>
      <c r="K1406">
        <v>4.3978682461694903E-2</v>
      </c>
      <c r="L1406">
        <v>1120.98893277613</v>
      </c>
      <c r="M1406">
        <v>23.164695483194301</v>
      </c>
      <c r="N1406">
        <v>48.614415871674098</v>
      </c>
      <c r="O1406">
        <v>48.035842961081997</v>
      </c>
      <c r="P1406">
        <v>-0.11450329447952901</v>
      </c>
      <c r="Q1406">
        <v>5.0251388386583898E-2</v>
      </c>
      <c r="R1406">
        <v>0.998655805314969</v>
      </c>
      <c r="S1406" t="s">
        <v>5035</v>
      </c>
      <c r="T1406" t="s">
        <v>7256</v>
      </c>
      <c r="U1406" t="s">
        <v>7256</v>
      </c>
      <c r="V1406" t="s">
        <v>7256</v>
      </c>
      <c r="W1406">
        <v>14</v>
      </c>
      <c r="X1406" t="s">
        <v>8662</v>
      </c>
      <c r="Y1406">
        <v>0.32578289541797051</v>
      </c>
      <c r="Z1406" t="str">
        <f>HYPERLINK("Melting_Curves/meltCurve_sp_Q10713_MPPA_HUMAN_.pdf", "Melting_Curves/meltCurve_sp_Q10713_MPPA_HUMAN_.pdf")</f>
        <v>Melting_Curves/meltCurve_sp_Q10713_MPPA_HUMAN_.pdf</v>
      </c>
      <c r="AA1406" t="s">
        <v>12267</v>
      </c>
      <c r="AB1406" t="s">
        <v>15831</v>
      </c>
    </row>
    <row r="1407" spans="1:28" x14ac:dyDescent="0.25">
      <c r="A1407" t="s">
        <v>1411</v>
      </c>
      <c r="B1407">
        <v>0.98018197421672304</v>
      </c>
      <c r="C1407">
        <v>0.73234063132159299</v>
      </c>
      <c r="D1407">
        <v>0.84830920388142195</v>
      </c>
      <c r="E1407">
        <v>0.79456849945924002</v>
      </c>
      <c r="F1407">
        <v>0.66628739169363305</v>
      </c>
      <c r="G1407">
        <v>0.37936550187057</v>
      </c>
      <c r="H1407">
        <v>0.30305508316888502</v>
      </c>
      <c r="I1407">
        <v>0.36606683540737001</v>
      </c>
      <c r="J1407">
        <v>0.54332938832532296</v>
      </c>
      <c r="K1407">
        <v>0.35968365576135303</v>
      </c>
      <c r="L1407">
        <v>489.34183924918301</v>
      </c>
      <c r="M1407">
        <v>9.6256219131701304</v>
      </c>
      <c r="N1407">
        <v>56.8077895965978</v>
      </c>
      <c r="O1407">
        <v>48.788563877808599</v>
      </c>
      <c r="P1407">
        <v>-3.3648077991669703E-2</v>
      </c>
      <c r="Q1407">
        <v>0.318187110209463</v>
      </c>
      <c r="R1407">
        <v>0.79567381942142001</v>
      </c>
      <c r="S1407" t="s">
        <v>5036</v>
      </c>
      <c r="T1407" t="s">
        <v>7256</v>
      </c>
      <c r="U1407" t="s">
        <v>7256</v>
      </c>
      <c r="V1407" t="s">
        <v>7256</v>
      </c>
      <c r="W1407">
        <v>2</v>
      </c>
      <c r="X1407" t="s">
        <v>8663</v>
      </c>
      <c r="Y1407">
        <v>0.59463752178099738</v>
      </c>
      <c r="Z1407" t="str">
        <f>HYPERLINK("Melting_Curves/meltCurve_sp_Q12774_ARHG5_HUMAN_.pdf", "Melting_Curves/meltCurve_sp_Q12774_ARHG5_HUMAN_.pdf")</f>
        <v>Melting_Curves/meltCurve_sp_Q12774_ARHG5_HUMAN_.pdf</v>
      </c>
      <c r="AA1407" t="s">
        <v>12268</v>
      </c>
      <c r="AB1407" t="s">
        <v>15832</v>
      </c>
    </row>
    <row r="1408" spans="1:28" x14ac:dyDescent="0.25">
      <c r="A1408" t="s">
        <v>1412</v>
      </c>
      <c r="B1408">
        <v>0.98018197421672304</v>
      </c>
      <c r="C1408">
        <v>0.72643313858407799</v>
      </c>
      <c r="D1408">
        <v>0.85673511156856597</v>
      </c>
      <c r="E1408">
        <v>0.92048931081637297</v>
      </c>
      <c r="F1408">
        <v>0.49358156041347401</v>
      </c>
      <c r="G1408">
        <v>0.268773695369942</v>
      </c>
      <c r="H1408">
        <v>8.44586299961953E-2</v>
      </c>
      <c r="I1408">
        <v>6.0734754221610197E-2</v>
      </c>
      <c r="J1408">
        <v>6.7847585811596903E-2</v>
      </c>
      <c r="K1408">
        <v>4.4713427773478899E-2</v>
      </c>
      <c r="L1408">
        <v>1064.91072929906</v>
      </c>
      <c r="M1408">
        <v>19.933672207935398</v>
      </c>
      <c r="N1408">
        <v>53.604076750167501</v>
      </c>
      <c r="O1408">
        <v>52.8937806517133</v>
      </c>
      <c r="P1408">
        <v>-9.1146157152722507E-2</v>
      </c>
      <c r="Q1408">
        <v>3.2610771052983802E-2</v>
      </c>
      <c r="R1408">
        <v>0.926234485766952</v>
      </c>
      <c r="S1408" t="s">
        <v>5037</v>
      </c>
      <c r="T1408" t="s">
        <v>7256</v>
      </c>
      <c r="U1408" t="s">
        <v>7256</v>
      </c>
      <c r="V1408" t="s">
        <v>7256</v>
      </c>
      <c r="W1408">
        <v>7</v>
      </c>
      <c r="X1408" t="s">
        <v>8664</v>
      </c>
      <c r="Y1408">
        <v>0.47876705055587471</v>
      </c>
      <c r="Z1408" t="str">
        <f>HYPERLINK("Melting_Curves/meltCurve_sp_Q12792_TWF1_HUMAN_.pdf", "Melting_Curves/meltCurve_sp_Q12792_TWF1_HUMAN_.pdf")</f>
        <v>Melting_Curves/meltCurve_sp_Q12792_TWF1_HUMAN_.pdf</v>
      </c>
      <c r="AA1408" t="s">
        <v>12269</v>
      </c>
      <c r="AB1408" t="s">
        <v>15833</v>
      </c>
    </row>
    <row r="1409" spans="1:28" x14ac:dyDescent="0.25">
      <c r="A1409" t="s">
        <v>1413</v>
      </c>
      <c r="B1409">
        <v>0.98018197421672304</v>
      </c>
      <c r="C1409">
        <v>0.91850421531163196</v>
      </c>
      <c r="D1409">
        <v>0.91151648835021604</v>
      </c>
      <c r="E1409">
        <v>0.82294909540106298</v>
      </c>
      <c r="F1409">
        <v>0.71199227592990999</v>
      </c>
      <c r="G1409">
        <v>0.54549859655634303</v>
      </c>
      <c r="H1409">
        <v>0.44328177373954802</v>
      </c>
      <c r="I1409">
        <v>0.42679667085692902</v>
      </c>
      <c r="J1409">
        <v>0.47717866631283201</v>
      </c>
      <c r="K1409">
        <v>0.51854526125753297</v>
      </c>
      <c r="L1409">
        <v>810.53010527123104</v>
      </c>
      <c r="M1409">
        <v>15.586313743333999</v>
      </c>
      <c r="N1409">
        <v>60.479168207298699</v>
      </c>
      <c r="O1409">
        <v>51.169213341707497</v>
      </c>
      <c r="P1409">
        <v>-4.2363856692424498E-2</v>
      </c>
      <c r="Q1409">
        <v>0.44373330539285499</v>
      </c>
      <c r="R1409">
        <v>0.96454516127818801</v>
      </c>
      <c r="S1409" t="s">
        <v>5038</v>
      </c>
      <c r="T1409" t="s">
        <v>7256</v>
      </c>
      <c r="U1409" t="s">
        <v>7256</v>
      </c>
      <c r="V1409" t="s">
        <v>7256</v>
      </c>
      <c r="W1409">
        <v>8</v>
      </c>
      <c r="X1409" t="s">
        <v>8665</v>
      </c>
      <c r="Y1409">
        <v>0.67800828140102376</v>
      </c>
      <c r="Z1409" t="str">
        <f>HYPERLINK("Melting_Curves/meltCurve_sp_Q12802_4_AKP13_HUMAN_.pdf", "Melting_Curves/meltCurve_sp_Q12802_4_AKP13_HUMAN_.pdf")</f>
        <v>Melting_Curves/meltCurve_sp_Q12802_4_AKP13_HUMAN_.pdf</v>
      </c>
      <c r="AA1409" t="s">
        <v>12270</v>
      </c>
      <c r="AB1409" t="s">
        <v>15834</v>
      </c>
    </row>
    <row r="1410" spans="1:28" x14ac:dyDescent="0.25">
      <c r="A1410" t="s">
        <v>1414</v>
      </c>
      <c r="B1410">
        <v>0.98018197421672304</v>
      </c>
      <c r="C1410">
        <v>0.91760563508815596</v>
      </c>
      <c r="D1410">
        <v>0.88940114985935004</v>
      </c>
      <c r="E1410">
        <v>0.74205525323287302</v>
      </c>
      <c r="F1410">
        <v>0.49254641705848701</v>
      </c>
      <c r="G1410">
        <v>0.29502990869331502</v>
      </c>
      <c r="H1410">
        <v>0.203262768445021</v>
      </c>
      <c r="I1410">
        <v>0.22360130849370399</v>
      </c>
      <c r="J1410">
        <v>0.18780015393441499</v>
      </c>
      <c r="K1410">
        <v>0.226786325808913</v>
      </c>
      <c r="L1410">
        <v>923.90005694344802</v>
      </c>
      <c r="M1410">
        <v>17.910844093447601</v>
      </c>
      <c r="N1410">
        <v>52.954386650580098</v>
      </c>
      <c r="O1410">
        <v>50.953146257713001</v>
      </c>
      <c r="P1410">
        <v>-7.1577499185787805E-2</v>
      </c>
      <c r="Q1410">
        <v>0.18554027365351999</v>
      </c>
      <c r="R1410">
        <v>0.99116194539970204</v>
      </c>
      <c r="S1410" t="s">
        <v>5039</v>
      </c>
      <c r="T1410" t="s">
        <v>7256</v>
      </c>
      <c r="U1410" t="s">
        <v>7256</v>
      </c>
      <c r="V1410" t="s">
        <v>7256</v>
      </c>
      <c r="W1410">
        <v>3</v>
      </c>
      <c r="X1410" t="s">
        <v>8666</v>
      </c>
      <c r="Y1410">
        <v>0.5137568282705286</v>
      </c>
      <c r="Z1410" t="str">
        <f>HYPERLINK("Melting_Curves/meltCurve_sp_Q12849_5_GRSF1_HUMAN_.pdf", "Melting_Curves/meltCurve_sp_Q12849_5_GRSF1_HUMAN_.pdf")</f>
        <v>Melting_Curves/meltCurve_sp_Q12849_5_GRSF1_HUMAN_.pdf</v>
      </c>
      <c r="AA1410" t="s">
        <v>12271</v>
      </c>
      <c r="AB1410" t="s">
        <v>15835</v>
      </c>
    </row>
    <row r="1411" spans="1:28" x14ac:dyDescent="0.25">
      <c r="A1411" t="s">
        <v>1415</v>
      </c>
      <c r="B1411">
        <v>0.98018197421672304</v>
      </c>
      <c r="C1411">
        <v>0.917019074965153</v>
      </c>
      <c r="D1411">
        <v>0.85129036755904497</v>
      </c>
      <c r="E1411">
        <v>0.43789090557465898</v>
      </c>
      <c r="F1411">
        <v>0.19364735470590499</v>
      </c>
      <c r="G1411">
        <v>0.111542156959016</v>
      </c>
      <c r="H1411">
        <v>7.1899239189584394E-2</v>
      </c>
      <c r="I1411">
        <v>5.60468643231107E-2</v>
      </c>
      <c r="J1411">
        <v>7.3061827858021705E-2</v>
      </c>
      <c r="K1411">
        <v>4.3054439607174401E-2</v>
      </c>
      <c r="L1411">
        <v>1102.2780268450899</v>
      </c>
      <c r="M1411">
        <v>22.440455110492302</v>
      </c>
      <c r="N1411">
        <v>49.384821135210998</v>
      </c>
      <c r="O1411">
        <v>48.735043839788702</v>
      </c>
      <c r="P1411">
        <v>-0.10859415992235701</v>
      </c>
      <c r="Q1411">
        <v>5.6662283854239798E-2</v>
      </c>
      <c r="R1411">
        <v>0.99724286163463605</v>
      </c>
      <c r="S1411" t="s">
        <v>5040</v>
      </c>
      <c r="T1411" t="s">
        <v>7256</v>
      </c>
      <c r="U1411" t="s">
        <v>7256</v>
      </c>
      <c r="V1411" t="s">
        <v>7256</v>
      </c>
      <c r="W1411">
        <v>5</v>
      </c>
      <c r="X1411" t="s">
        <v>8667</v>
      </c>
      <c r="Y1411">
        <v>0.35388219889622308</v>
      </c>
      <c r="Z1411" t="str">
        <f>HYPERLINK("Melting_Curves/meltCurve_sp_Q12874_SF3A3_HUMAN_.pdf", "Melting_Curves/meltCurve_sp_Q12874_SF3A3_HUMAN_.pdf")</f>
        <v>Melting_Curves/meltCurve_sp_Q12874_SF3A3_HUMAN_.pdf</v>
      </c>
      <c r="AA1411" t="s">
        <v>12272</v>
      </c>
      <c r="AB1411" t="s">
        <v>15836</v>
      </c>
    </row>
    <row r="1412" spans="1:28" x14ac:dyDescent="0.25">
      <c r="A1412" t="s">
        <v>1416</v>
      </c>
      <c r="B1412">
        <v>0.98018197421672304</v>
      </c>
      <c r="C1412">
        <v>0.969116919195251</v>
      </c>
      <c r="D1412">
        <v>0.90043698566226904</v>
      </c>
      <c r="E1412">
        <v>0.798058071932091</v>
      </c>
      <c r="F1412">
        <v>0.436406163685782</v>
      </c>
      <c r="G1412">
        <v>0.121643625068015</v>
      </c>
      <c r="H1412">
        <v>6.9859079537174198E-2</v>
      </c>
      <c r="I1412">
        <v>5.0407713266958198E-2</v>
      </c>
      <c r="J1412">
        <v>5.4897452131720301E-2</v>
      </c>
      <c r="K1412">
        <v>4.18824015806269E-2</v>
      </c>
      <c r="L1412">
        <v>1369.2990263592601</v>
      </c>
      <c r="M1412">
        <v>26.191375826564101</v>
      </c>
      <c r="N1412">
        <v>52.4565853454706</v>
      </c>
      <c r="O1412">
        <v>51.978613448491203</v>
      </c>
      <c r="P1412">
        <v>-0.120672969945396</v>
      </c>
      <c r="Q1412">
        <v>4.2074998002183901E-2</v>
      </c>
      <c r="R1412">
        <v>0.99536221551572102</v>
      </c>
      <c r="S1412" t="s">
        <v>5041</v>
      </c>
      <c r="T1412" t="s">
        <v>7256</v>
      </c>
      <c r="U1412" t="s">
        <v>7256</v>
      </c>
      <c r="V1412" t="s">
        <v>7256</v>
      </c>
      <c r="W1412">
        <v>38</v>
      </c>
      <c r="X1412" t="s">
        <v>8668</v>
      </c>
      <c r="Y1412">
        <v>0.4422199741794749</v>
      </c>
      <c r="Z1412" t="str">
        <f>HYPERLINK("Melting_Curves/meltCurve_sp_Q12882_DPYD_HUMAN_.pdf", "Melting_Curves/meltCurve_sp_Q12882_DPYD_HUMAN_.pdf")</f>
        <v>Melting_Curves/meltCurve_sp_Q12882_DPYD_HUMAN_.pdf</v>
      </c>
      <c r="AA1412" t="s">
        <v>12273</v>
      </c>
      <c r="AB1412" t="s">
        <v>15837</v>
      </c>
    </row>
    <row r="1413" spans="1:28" x14ac:dyDescent="0.25">
      <c r="A1413" t="s">
        <v>1417</v>
      </c>
      <c r="B1413">
        <v>0.98018197421672304</v>
      </c>
      <c r="C1413">
        <v>0.99249042861116599</v>
      </c>
      <c r="D1413">
        <v>0.91609056720964799</v>
      </c>
      <c r="E1413">
        <v>0.73877909383918905</v>
      </c>
      <c r="F1413">
        <v>0.40709260053007101</v>
      </c>
      <c r="G1413">
        <v>0.25740545946424298</v>
      </c>
      <c r="H1413">
        <v>0.16289026218730299</v>
      </c>
      <c r="I1413">
        <v>0.119815092294278</v>
      </c>
      <c r="J1413">
        <v>0.13831207375694499</v>
      </c>
      <c r="K1413">
        <v>0.170342680013573</v>
      </c>
      <c r="L1413">
        <v>1158.6824270136899</v>
      </c>
      <c r="M1413">
        <v>22.500084537232599</v>
      </c>
      <c r="N1413">
        <v>52.2647550835161</v>
      </c>
      <c r="O1413">
        <v>51.095212940707199</v>
      </c>
      <c r="P1413">
        <v>-9.4595335172896394E-2</v>
      </c>
      <c r="Q1413">
        <v>0.140755494972476</v>
      </c>
      <c r="R1413">
        <v>0.99558059826357603</v>
      </c>
      <c r="S1413" t="s">
        <v>5042</v>
      </c>
      <c r="T1413" t="s">
        <v>7256</v>
      </c>
      <c r="U1413" t="s">
        <v>7256</v>
      </c>
      <c r="V1413" t="s">
        <v>7256</v>
      </c>
      <c r="W1413">
        <v>4</v>
      </c>
      <c r="X1413" t="s">
        <v>8669</v>
      </c>
      <c r="Y1413">
        <v>0.47959974059738392</v>
      </c>
      <c r="Z1413" t="str">
        <f>HYPERLINK("Melting_Curves/meltCurve_sp_Q12899_TRI26_HUMAN_.pdf", "Melting_Curves/meltCurve_sp_Q12899_TRI26_HUMAN_.pdf")</f>
        <v>Melting_Curves/meltCurve_sp_Q12899_TRI26_HUMAN_.pdf</v>
      </c>
      <c r="AA1413" t="s">
        <v>12274</v>
      </c>
      <c r="AB1413" t="s">
        <v>15838</v>
      </c>
    </row>
    <row r="1414" spans="1:28" x14ac:dyDescent="0.25">
      <c r="A1414" t="s">
        <v>1418</v>
      </c>
      <c r="B1414">
        <v>0.98018197421672304</v>
      </c>
      <c r="C1414">
        <v>0.90253215684537902</v>
      </c>
      <c r="D1414">
        <v>0.58242959928490201</v>
      </c>
      <c r="E1414">
        <v>0.32186357978716501</v>
      </c>
      <c r="F1414">
        <v>0.19076062195245799</v>
      </c>
      <c r="G1414">
        <v>0.113591875807297</v>
      </c>
      <c r="H1414">
        <v>7.7391722478272501E-2</v>
      </c>
      <c r="I1414">
        <v>7.4554863101286298E-2</v>
      </c>
      <c r="J1414">
        <v>9.1733205652716698E-2</v>
      </c>
      <c r="K1414">
        <v>9.8651735035876001E-2</v>
      </c>
      <c r="L1414">
        <v>888.25287579772601</v>
      </c>
      <c r="M1414">
        <v>18.9471889520917</v>
      </c>
      <c r="N1414">
        <v>47.342890991597102</v>
      </c>
      <c r="O1414">
        <v>46.3676034769993</v>
      </c>
      <c r="P1414">
        <v>-9.3531223028170296E-2</v>
      </c>
      <c r="Q1414">
        <v>8.4477619843419796E-2</v>
      </c>
      <c r="R1414">
        <v>0.99571347186367598</v>
      </c>
      <c r="S1414" t="s">
        <v>5043</v>
      </c>
      <c r="T1414" t="s">
        <v>7256</v>
      </c>
      <c r="U1414" t="s">
        <v>7256</v>
      </c>
      <c r="V1414" t="s">
        <v>7256</v>
      </c>
      <c r="W1414">
        <v>9</v>
      </c>
      <c r="X1414" t="s">
        <v>8670</v>
      </c>
      <c r="Y1414">
        <v>0.30963442148738152</v>
      </c>
      <c r="Z1414" t="str">
        <f>HYPERLINK("Melting_Curves/meltCurve_sp_Q12904_AIMP1_HUMAN_.pdf", "Melting_Curves/meltCurve_sp_Q12904_AIMP1_HUMAN_.pdf")</f>
        <v>Melting_Curves/meltCurve_sp_Q12904_AIMP1_HUMAN_.pdf</v>
      </c>
      <c r="AA1414" t="s">
        <v>12275</v>
      </c>
      <c r="AB1414" t="s">
        <v>15839</v>
      </c>
    </row>
    <row r="1415" spans="1:28" x14ac:dyDescent="0.25">
      <c r="A1415" t="s">
        <v>1419</v>
      </c>
      <c r="B1415">
        <v>0.98018197421672304</v>
      </c>
      <c r="C1415">
        <v>0.98354887727737605</v>
      </c>
      <c r="D1415">
        <v>0.90860737899856703</v>
      </c>
      <c r="E1415">
        <v>0.83672321985228604</v>
      </c>
      <c r="F1415">
        <v>0.69366216520332802</v>
      </c>
      <c r="G1415">
        <v>0.440725833843927</v>
      </c>
      <c r="H1415">
        <v>0.113011830957527</v>
      </c>
      <c r="I1415">
        <v>4.7095685000036899E-2</v>
      </c>
      <c r="J1415">
        <v>6.0143537647128903E-2</v>
      </c>
      <c r="K1415">
        <v>3.1966414392225702E-2</v>
      </c>
      <c r="L1415">
        <v>956.75521692026496</v>
      </c>
      <c r="M1415">
        <v>17.272197032746799</v>
      </c>
      <c r="N1415">
        <v>55.392792394697999</v>
      </c>
      <c r="O1415">
        <v>54.666265253793597</v>
      </c>
      <c r="P1415">
        <v>-7.8993871571857402E-2</v>
      </c>
      <c r="Q1415">
        <v>0</v>
      </c>
      <c r="R1415">
        <v>0.99092910544421198</v>
      </c>
      <c r="S1415" t="s">
        <v>5044</v>
      </c>
      <c r="T1415" t="s">
        <v>7256</v>
      </c>
      <c r="U1415" t="s">
        <v>7256</v>
      </c>
      <c r="V1415" t="s">
        <v>7256</v>
      </c>
      <c r="W1415">
        <v>7</v>
      </c>
      <c r="X1415" t="s">
        <v>8671</v>
      </c>
      <c r="Y1415">
        <v>0.52911001634536536</v>
      </c>
      <c r="Z1415" t="str">
        <f>HYPERLINK("Melting_Curves/meltCurve_sp_Q12905_ILF2_HUMAN_.pdf", "Melting_Curves/meltCurve_sp_Q12905_ILF2_HUMAN_.pdf")</f>
        <v>Melting_Curves/meltCurve_sp_Q12905_ILF2_HUMAN_.pdf</v>
      </c>
      <c r="AA1415" t="s">
        <v>12276</v>
      </c>
      <c r="AB1415" t="s">
        <v>15840</v>
      </c>
    </row>
    <row r="1416" spans="1:28" x14ac:dyDescent="0.25">
      <c r="A1416" t="s">
        <v>1420</v>
      </c>
      <c r="B1416">
        <v>0.98018197421672304</v>
      </c>
      <c r="C1416">
        <v>1.0005411096096899</v>
      </c>
      <c r="D1416">
        <v>0.89354286203752697</v>
      </c>
      <c r="E1416">
        <v>0.81816277053034803</v>
      </c>
      <c r="F1416">
        <v>0.75439075518465304</v>
      </c>
      <c r="G1416">
        <v>0.57630269131946399</v>
      </c>
      <c r="H1416">
        <v>0.22257090478178601</v>
      </c>
      <c r="I1416">
        <v>0.123477277253983</v>
      </c>
      <c r="J1416">
        <v>0.13727739858587601</v>
      </c>
      <c r="K1416">
        <v>9.8441087414784995E-2</v>
      </c>
      <c r="L1416">
        <v>778.07674424624895</v>
      </c>
      <c r="M1416">
        <v>13.6750240485185</v>
      </c>
      <c r="N1416">
        <v>56.8976317495773</v>
      </c>
      <c r="O1416">
        <v>55.722314299144898</v>
      </c>
      <c r="P1416">
        <v>-6.1362350770495698E-2</v>
      </c>
      <c r="Q1416">
        <v>0</v>
      </c>
      <c r="R1416">
        <v>0.98180248739556097</v>
      </c>
      <c r="S1416" t="s">
        <v>5045</v>
      </c>
      <c r="T1416" t="s">
        <v>7256</v>
      </c>
      <c r="U1416" t="s">
        <v>7256</v>
      </c>
      <c r="V1416" t="s">
        <v>7256</v>
      </c>
      <c r="W1416">
        <v>16</v>
      </c>
      <c r="X1416" t="s">
        <v>8672</v>
      </c>
      <c r="Y1416">
        <v>0.58003437153578696</v>
      </c>
      <c r="Z1416" t="str">
        <f>HYPERLINK("Melting_Curves/meltCurve_sp_Q12906_4_ILF3_HUMAN_.pdf", "Melting_Curves/meltCurve_sp_Q12906_4_ILF3_HUMAN_.pdf")</f>
        <v>Melting_Curves/meltCurve_sp_Q12906_4_ILF3_HUMAN_.pdf</v>
      </c>
      <c r="AA1416" t="s">
        <v>12277</v>
      </c>
      <c r="AB1416" t="s">
        <v>15841</v>
      </c>
    </row>
    <row r="1417" spans="1:28" x14ac:dyDescent="0.25">
      <c r="A1417" t="s">
        <v>1421</v>
      </c>
      <c r="B1417">
        <v>0.98018197421672304</v>
      </c>
      <c r="C1417">
        <v>0.97381374789950004</v>
      </c>
      <c r="D1417">
        <v>0.85598702152468897</v>
      </c>
      <c r="E1417">
        <v>0.93190538618946195</v>
      </c>
      <c r="F1417">
        <v>0.71042833936146299</v>
      </c>
      <c r="G1417">
        <v>0.50543782760057598</v>
      </c>
      <c r="H1417">
        <v>0.79716630600627902</v>
      </c>
      <c r="I1417">
        <v>0.73483597841093196</v>
      </c>
      <c r="J1417">
        <v>0.947615628198473</v>
      </c>
      <c r="K1417">
        <v>0.93155291763728498</v>
      </c>
      <c r="L1417">
        <v>1046.67729718394</v>
      </c>
      <c r="M1417">
        <v>22.826801218033701</v>
      </c>
      <c r="O1417">
        <v>45.505434121075297</v>
      </c>
      <c r="P1417">
        <v>-2.6992883403376602E-2</v>
      </c>
      <c r="Q1417">
        <v>0.78476189059575796</v>
      </c>
      <c r="R1417">
        <v>0.2656360188004</v>
      </c>
      <c r="S1417" t="s">
        <v>5046</v>
      </c>
      <c r="T1417" t="s">
        <v>7256</v>
      </c>
      <c r="U1417" t="s">
        <v>7256</v>
      </c>
      <c r="V1417" t="s">
        <v>7256</v>
      </c>
      <c r="W1417">
        <v>1</v>
      </c>
      <c r="X1417" t="s">
        <v>8673</v>
      </c>
      <c r="Y1417">
        <v>0.82923116032809641</v>
      </c>
      <c r="Z1417" t="str">
        <f>HYPERLINK("Melting_Curves/meltCurve_sp_Q12929_EPS8_HUMAN_.pdf", "Melting_Curves/meltCurve_sp_Q12929_EPS8_HUMAN_.pdf")</f>
        <v>Melting_Curves/meltCurve_sp_Q12929_EPS8_HUMAN_.pdf</v>
      </c>
      <c r="AA1417" t="s">
        <v>12278</v>
      </c>
      <c r="AB1417" t="s">
        <v>15842</v>
      </c>
    </row>
    <row r="1418" spans="1:28" x14ac:dyDescent="0.25">
      <c r="A1418" t="s">
        <v>1422</v>
      </c>
      <c r="B1418">
        <v>0.98018197421672304</v>
      </c>
      <c r="C1418">
        <v>0.90592858527984699</v>
      </c>
      <c r="D1418">
        <v>0.86812082808865798</v>
      </c>
      <c r="E1418">
        <v>0.75293731074901105</v>
      </c>
      <c r="F1418">
        <v>0.62301448786307601</v>
      </c>
      <c r="G1418">
        <v>0.272701048010138</v>
      </c>
      <c r="H1418">
        <v>0.16135311132701899</v>
      </c>
      <c r="I1418">
        <v>0.14884772770065299</v>
      </c>
      <c r="J1418">
        <v>0.15873366118742199</v>
      </c>
      <c r="K1418">
        <v>0.16576322150887199</v>
      </c>
      <c r="L1418">
        <v>838.99377873910396</v>
      </c>
      <c r="M1418">
        <v>15.848426874633301</v>
      </c>
      <c r="N1418">
        <v>53.758516009401397</v>
      </c>
      <c r="O1418">
        <v>52.117266642189797</v>
      </c>
      <c r="P1418">
        <v>-6.7866688636197103E-2</v>
      </c>
      <c r="Q1418">
        <v>0.10735914498353299</v>
      </c>
      <c r="R1418">
        <v>0.98133066483798004</v>
      </c>
      <c r="S1418" t="s">
        <v>5047</v>
      </c>
      <c r="T1418" t="s">
        <v>7256</v>
      </c>
      <c r="U1418" t="s">
        <v>7256</v>
      </c>
      <c r="V1418" t="s">
        <v>7256</v>
      </c>
      <c r="W1418">
        <v>9</v>
      </c>
      <c r="X1418" t="s">
        <v>8674</v>
      </c>
      <c r="Y1418">
        <v>0.5101412921662557</v>
      </c>
      <c r="Z1418" t="str">
        <f>HYPERLINK("Melting_Curves/meltCurve_sp_Q12959_5_DLG1_HUMAN_.pdf", "Melting_Curves/meltCurve_sp_Q12959_5_DLG1_HUMAN_.pdf")</f>
        <v>Melting_Curves/meltCurve_sp_Q12959_5_DLG1_HUMAN_.pdf</v>
      </c>
      <c r="AA1418" t="s">
        <v>12279</v>
      </c>
      <c r="AB1418" t="s">
        <v>15843</v>
      </c>
    </row>
    <row r="1419" spans="1:28" x14ac:dyDescent="0.25">
      <c r="A1419" t="s">
        <v>1423</v>
      </c>
      <c r="B1419">
        <v>0.98018197421672304</v>
      </c>
      <c r="C1419">
        <v>0.93702836183080096</v>
      </c>
      <c r="D1419">
        <v>0.80809344174641295</v>
      </c>
      <c r="E1419">
        <v>0.40882098526516703</v>
      </c>
      <c r="F1419">
        <v>0.190732875663536</v>
      </c>
      <c r="G1419">
        <v>0.137042784657184</v>
      </c>
      <c r="H1419">
        <v>9.6295320612065596E-2</v>
      </c>
      <c r="I1419">
        <v>8.1460324839955106E-2</v>
      </c>
      <c r="J1419">
        <v>0.101411638827832</v>
      </c>
      <c r="K1419">
        <v>8.1301379241362506E-2</v>
      </c>
      <c r="L1419">
        <v>1095.4087025845899</v>
      </c>
      <c r="M1419">
        <v>22.542143738310099</v>
      </c>
      <c r="N1419">
        <v>49.012042478629702</v>
      </c>
      <c r="O1419">
        <v>48.216245675761002</v>
      </c>
      <c r="P1419">
        <v>-0.106656306015112</v>
      </c>
      <c r="Q1419">
        <v>8.7493755415177704E-2</v>
      </c>
      <c r="R1419">
        <v>0.99877811934558602</v>
      </c>
      <c r="S1419" t="s">
        <v>5048</v>
      </c>
      <c r="T1419" t="s">
        <v>7256</v>
      </c>
      <c r="U1419" t="s">
        <v>7256</v>
      </c>
      <c r="V1419" t="s">
        <v>7256</v>
      </c>
      <c r="W1419">
        <v>10</v>
      </c>
      <c r="X1419" t="s">
        <v>8675</v>
      </c>
      <c r="Y1419">
        <v>0.35890392035857321</v>
      </c>
      <c r="Z1419" t="str">
        <f>HYPERLINK("Melting_Curves/meltCurve_sp_Q12965_MYO1E_HUMAN_.pdf", "Melting_Curves/meltCurve_sp_Q12965_MYO1E_HUMAN_.pdf")</f>
        <v>Melting_Curves/meltCurve_sp_Q12965_MYO1E_HUMAN_.pdf</v>
      </c>
      <c r="AA1419" t="s">
        <v>12280</v>
      </c>
      <c r="AB1419" t="s">
        <v>15844</v>
      </c>
    </row>
    <row r="1420" spans="1:28" x14ac:dyDescent="0.25">
      <c r="A1420" t="s">
        <v>1424</v>
      </c>
      <c r="B1420">
        <v>0.98018197421672304</v>
      </c>
      <c r="C1420">
        <v>1.09131329666962</v>
      </c>
      <c r="D1420">
        <v>1.08553271620101</v>
      </c>
      <c r="E1420">
        <v>0.88819039375804298</v>
      </c>
      <c r="F1420">
        <v>0.52495466264179003</v>
      </c>
      <c r="G1420">
        <v>0.21716225776322001</v>
      </c>
      <c r="H1420">
        <v>0.14799218948776299</v>
      </c>
      <c r="I1420">
        <v>0.12324693198288</v>
      </c>
      <c r="J1420">
        <v>0.12865032546102001</v>
      </c>
      <c r="K1420">
        <v>0.109071382889705</v>
      </c>
      <c r="L1420">
        <v>1783.8271457616099</v>
      </c>
      <c r="M1420">
        <v>33.788163214052901</v>
      </c>
      <c r="N1420">
        <v>53.261202557219399</v>
      </c>
      <c r="O1420">
        <v>52.610537832437501</v>
      </c>
      <c r="P1420">
        <v>-0.13998361544430299</v>
      </c>
      <c r="Q1420">
        <v>0.12814638810731699</v>
      </c>
      <c r="R1420">
        <v>0.989239357784366</v>
      </c>
      <c r="S1420" t="s">
        <v>5049</v>
      </c>
      <c r="T1420" t="s">
        <v>7256</v>
      </c>
      <c r="U1420" t="s">
        <v>7256</v>
      </c>
      <c r="V1420" t="s">
        <v>7256</v>
      </c>
      <c r="W1420">
        <v>2</v>
      </c>
      <c r="X1420" t="s">
        <v>8676</v>
      </c>
      <c r="Y1420">
        <v>0.50443112463000261</v>
      </c>
      <c r="Z1420" t="str">
        <f>HYPERLINK("Melting_Curves/meltCurve_sp_Q12972_PP1R8_HUMAN_.pdf", "Melting_Curves/meltCurve_sp_Q12972_PP1R8_HUMAN_.pdf")</f>
        <v>Melting_Curves/meltCurve_sp_Q12972_PP1R8_HUMAN_.pdf</v>
      </c>
      <c r="AA1420" t="s">
        <v>12281</v>
      </c>
      <c r="AB1420" t="s">
        <v>15845</v>
      </c>
    </row>
    <row r="1421" spans="1:28" x14ac:dyDescent="0.25">
      <c r="A1421" t="s">
        <v>1425</v>
      </c>
      <c r="B1421">
        <v>0.98018197421672304</v>
      </c>
      <c r="C1421">
        <v>0.99847830208569599</v>
      </c>
      <c r="D1421">
        <v>0.91151088794702995</v>
      </c>
      <c r="E1421">
        <v>0.77706729765166105</v>
      </c>
      <c r="F1421">
        <v>0.49164055878990998</v>
      </c>
      <c r="G1421">
        <v>0.29985547181213901</v>
      </c>
      <c r="H1421">
        <v>0.18249312561934</v>
      </c>
      <c r="I1421">
        <v>0.17635318651837101</v>
      </c>
      <c r="J1421">
        <v>0.26693234160021301</v>
      </c>
      <c r="K1421">
        <v>0.29432336695911498</v>
      </c>
      <c r="L1421">
        <v>1286.3515718916999</v>
      </c>
      <c r="M1421">
        <v>24.917720446755599</v>
      </c>
      <c r="N1421">
        <v>52.899907007739898</v>
      </c>
      <c r="O1421">
        <v>51.294917252733001</v>
      </c>
      <c r="P1421">
        <v>-9.4013877295234305E-2</v>
      </c>
      <c r="Q1421">
        <v>0.225873301773139</v>
      </c>
      <c r="R1421">
        <v>0.98460047428947395</v>
      </c>
      <c r="S1421" t="s">
        <v>5050</v>
      </c>
      <c r="T1421" t="s">
        <v>7256</v>
      </c>
      <c r="U1421" t="s">
        <v>7256</v>
      </c>
      <c r="V1421" t="s">
        <v>7256</v>
      </c>
      <c r="W1421">
        <v>3</v>
      </c>
      <c r="X1421" t="s">
        <v>8677</v>
      </c>
      <c r="Y1421">
        <v>0.53290618077508101</v>
      </c>
      <c r="Z1421" t="str">
        <f>HYPERLINK("Melting_Curves/meltCurve_sp_Q12986_2_NFX1_HUMAN_.pdf", "Melting_Curves/meltCurve_sp_Q12986_2_NFX1_HUMAN_.pdf")</f>
        <v>Melting_Curves/meltCurve_sp_Q12986_2_NFX1_HUMAN_.pdf</v>
      </c>
      <c r="AA1421" t="s">
        <v>12282</v>
      </c>
      <c r="AB1421" t="s">
        <v>15846</v>
      </c>
    </row>
    <row r="1422" spans="1:28" x14ac:dyDescent="0.25">
      <c r="A1422" t="s">
        <v>1426</v>
      </c>
      <c r="B1422">
        <v>0.98018197421672304</v>
      </c>
      <c r="C1422">
        <v>0.92942025172238096</v>
      </c>
      <c r="D1422">
        <v>0.87395357089237002</v>
      </c>
      <c r="E1422">
        <v>0.54595353693524895</v>
      </c>
      <c r="F1422">
        <v>0.133683448253473</v>
      </c>
      <c r="G1422">
        <v>8.4986608185427998E-2</v>
      </c>
      <c r="H1422">
        <v>3.3440067368326699E-2</v>
      </c>
      <c r="I1422">
        <v>2.3896870888750799E-2</v>
      </c>
      <c r="J1422">
        <v>5.2101221634240497E-2</v>
      </c>
      <c r="K1422">
        <v>5.2602531241404599E-2</v>
      </c>
      <c r="L1422">
        <v>1378.24862003063</v>
      </c>
      <c r="M1422">
        <v>27.639034482369802</v>
      </c>
      <c r="N1422">
        <v>49.999327754720902</v>
      </c>
      <c r="O1422">
        <v>49.607173956216002</v>
      </c>
      <c r="P1422">
        <v>-0.13434305147606099</v>
      </c>
      <c r="Q1422">
        <v>3.5520846315565797E-2</v>
      </c>
      <c r="R1422">
        <v>0.99198851002513599</v>
      </c>
      <c r="S1422" t="s">
        <v>5051</v>
      </c>
      <c r="T1422" t="s">
        <v>7256</v>
      </c>
      <c r="U1422" t="s">
        <v>7256</v>
      </c>
      <c r="V1422" t="s">
        <v>7256</v>
      </c>
      <c r="W1422">
        <v>2</v>
      </c>
      <c r="X1422" t="s">
        <v>8678</v>
      </c>
      <c r="Y1422">
        <v>0.35973449809133579</v>
      </c>
      <c r="Z1422" t="str">
        <f>HYPERLINK("Melting_Curves/meltCurve_sp_Q12996_CSTF3_HUMAN_.pdf", "Melting_Curves/meltCurve_sp_Q12996_CSTF3_HUMAN_.pdf")</f>
        <v>Melting_Curves/meltCurve_sp_Q12996_CSTF3_HUMAN_.pdf</v>
      </c>
      <c r="AA1422" t="s">
        <v>12283</v>
      </c>
      <c r="AB1422" t="s">
        <v>15847</v>
      </c>
    </row>
    <row r="1423" spans="1:28" x14ac:dyDescent="0.25">
      <c r="A1423" t="s">
        <v>1427</v>
      </c>
      <c r="B1423">
        <v>0.98018197421672304</v>
      </c>
      <c r="C1423">
        <v>0.98600375893074299</v>
      </c>
      <c r="D1423">
        <v>0.93065539337398495</v>
      </c>
      <c r="E1423">
        <v>0.862355119613197</v>
      </c>
      <c r="F1423">
        <v>0.62858223720820805</v>
      </c>
      <c r="G1423">
        <v>0.14816933406239499</v>
      </c>
      <c r="H1423">
        <v>6.5502555000711199E-2</v>
      </c>
      <c r="I1423">
        <v>4.6784582256681501E-2</v>
      </c>
      <c r="J1423">
        <v>4.62617505280081E-2</v>
      </c>
      <c r="K1423">
        <v>3.2631175556748701E-2</v>
      </c>
      <c r="L1423">
        <v>1549.4278227858699</v>
      </c>
      <c r="M1423">
        <v>28.896200814442199</v>
      </c>
      <c r="N1423">
        <v>53.746610841064197</v>
      </c>
      <c r="O1423">
        <v>53.365638174861502</v>
      </c>
      <c r="P1423">
        <v>-0.13093184273556899</v>
      </c>
      <c r="Q1423">
        <v>3.2785259616067999E-2</v>
      </c>
      <c r="R1423">
        <v>0.99568246100003599</v>
      </c>
      <c r="S1423" t="s">
        <v>5052</v>
      </c>
      <c r="T1423" t="s">
        <v>7256</v>
      </c>
      <c r="U1423" t="s">
        <v>7256</v>
      </c>
      <c r="V1423" t="s">
        <v>7256</v>
      </c>
      <c r="W1423">
        <v>14</v>
      </c>
      <c r="X1423" t="s">
        <v>8679</v>
      </c>
      <c r="Y1423">
        <v>0.47871568530322928</v>
      </c>
      <c r="Z1423" t="str">
        <f>HYPERLINK("Melting_Curves/meltCurve_sp_Q13011_ECH1_HUMAN_.pdf", "Melting_Curves/meltCurve_sp_Q13011_ECH1_HUMAN_.pdf")</f>
        <v>Melting_Curves/meltCurve_sp_Q13011_ECH1_HUMAN_.pdf</v>
      </c>
      <c r="AA1423" t="s">
        <v>12284</v>
      </c>
      <c r="AB1423" t="s">
        <v>15848</v>
      </c>
    </row>
    <row r="1424" spans="1:28" x14ac:dyDescent="0.25">
      <c r="A1424" t="s">
        <v>1428</v>
      </c>
      <c r="B1424">
        <v>0.98018197421672304</v>
      </c>
      <c r="C1424">
        <v>1.0070940979787999</v>
      </c>
      <c r="D1424">
        <v>0.98735739800692701</v>
      </c>
      <c r="E1424">
        <v>0.49594293150367502</v>
      </c>
      <c r="F1424">
        <v>0.20941980396548901</v>
      </c>
      <c r="G1424">
        <v>0.150843808044652</v>
      </c>
      <c r="H1424">
        <v>9.2294927716830094E-2</v>
      </c>
      <c r="I1424">
        <v>6.6756382058750605E-2</v>
      </c>
      <c r="J1424">
        <v>0</v>
      </c>
      <c r="K1424">
        <v>2.7500612241026599E-2</v>
      </c>
      <c r="L1424">
        <v>1548.6123781449401</v>
      </c>
      <c r="M1424">
        <v>31.017057505211199</v>
      </c>
      <c r="N1424">
        <v>50.144500852198199</v>
      </c>
      <c r="O1424">
        <v>49.721599695556399</v>
      </c>
      <c r="P1424">
        <v>-0.14617120803768399</v>
      </c>
      <c r="Q1424">
        <v>6.2731768451764702E-2</v>
      </c>
      <c r="R1424">
        <v>0.99133662974260495</v>
      </c>
      <c r="S1424" t="s">
        <v>5053</v>
      </c>
      <c r="T1424" t="s">
        <v>7256</v>
      </c>
      <c r="U1424" t="s">
        <v>7256</v>
      </c>
      <c r="V1424" t="s">
        <v>7256</v>
      </c>
      <c r="W1424">
        <v>2</v>
      </c>
      <c r="X1424" t="s">
        <v>8680</v>
      </c>
      <c r="Y1424">
        <v>0.37831005851070348</v>
      </c>
      <c r="Z1424" t="str">
        <f>HYPERLINK("Melting_Curves/meltCurve_sp_Q13017_2_RHG05_HUMAN_.pdf", "Melting_Curves/meltCurve_sp_Q13017_2_RHG05_HUMAN_.pdf")</f>
        <v>Melting_Curves/meltCurve_sp_Q13017_2_RHG05_HUMAN_.pdf</v>
      </c>
      <c r="AA1424" t="s">
        <v>12285</v>
      </c>
      <c r="AB1424" t="s">
        <v>15849</v>
      </c>
    </row>
    <row r="1425" spans="1:28" x14ac:dyDescent="0.25">
      <c r="A1425" t="s">
        <v>1429</v>
      </c>
      <c r="B1425">
        <v>0.98018197421672304</v>
      </c>
      <c r="C1425">
        <v>0.94141244344006303</v>
      </c>
      <c r="D1425">
        <v>0.93583131151001697</v>
      </c>
      <c r="E1425">
        <v>0.79133253644588697</v>
      </c>
      <c r="F1425">
        <v>0.56773919850824295</v>
      </c>
      <c r="G1425">
        <v>0.357408301325291</v>
      </c>
      <c r="H1425">
        <v>0.19546575218981099</v>
      </c>
      <c r="I1425">
        <v>0.104326582785151</v>
      </c>
      <c r="J1425">
        <v>0.102016161694237</v>
      </c>
      <c r="K1425">
        <v>5.6026087140562897E-2</v>
      </c>
      <c r="L1425">
        <v>763.71807154299597</v>
      </c>
      <c r="M1425">
        <v>14.0896710587821</v>
      </c>
      <c r="N1425">
        <v>54.379115298826697</v>
      </c>
      <c r="O1425">
        <v>53.147240361607302</v>
      </c>
      <c r="P1425">
        <v>-6.4815873486671394E-2</v>
      </c>
      <c r="Q1425">
        <v>2.2165649001393901E-2</v>
      </c>
      <c r="R1425">
        <v>0.99761454844786301</v>
      </c>
      <c r="S1425" t="s">
        <v>5054</v>
      </c>
      <c r="T1425" t="s">
        <v>7256</v>
      </c>
      <c r="U1425" t="s">
        <v>7256</v>
      </c>
      <c r="V1425" t="s">
        <v>7256</v>
      </c>
      <c r="W1425">
        <v>5</v>
      </c>
      <c r="X1425" t="s">
        <v>8681</v>
      </c>
      <c r="Y1425">
        <v>0.50647305442375945</v>
      </c>
      <c r="Z1425" t="str">
        <f>HYPERLINK("Melting_Curves/meltCurve_sp_Q13033_2_STRN3_HUMAN_.pdf", "Melting_Curves/meltCurve_sp_Q13033_2_STRN3_HUMAN_.pdf")</f>
        <v>Melting_Curves/meltCurve_sp_Q13033_2_STRN3_HUMAN_.pdf</v>
      </c>
      <c r="AA1425" t="s">
        <v>12286</v>
      </c>
      <c r="AB1425" t="s">
        <v>15850</v>
      </c>
    </row>
    <row r="1426" spans="1:28" x14ac:dyDescent="0.25">
      <c r="A1426" t="s">
        <v>1430</v>
      </c>
      <c r="B1426">
        <v>0.98018197421672304</v>
      </c>
      <c r="C1426">
        <v>0.89756530121234801</v>
      </c>
      <c r="D1426">
        <v>0.79285881101645195</v>
      </c>
      <c r="E1426">
        <v>0.59701320291126403</v>
      </c>
      <c r="F1426">
        <v>0.35914843558728399</v>
      </c>
      <c r="G1426">
        <v>0.28203266204627903</v>
      </c>
      <c r="H1426">
        <v>0.16385390056799001</v>
      </c>
      <c r="I1426">
        <v>0.11443834470695</v>
      </c>
      <c r="J1426">
        <v>8.1973330150872006E-2</v>
      </c>
      <c r="K1426">
        <v>9.0577129667614595E-2</v>
      </c>
      <c r="L1426">
        <v>622.70364138549803</v>
      </c>
      <c r="M1426">
        <v>12.2618053725294</v>
      </c>
      <c r="N1426">
        <v>51.232678452435998</v>
      </c>
      <c r="O1426">
        <v>49.489931250178003</v>
      </c>
      <c r="P1426">
        <v>-5.8800582376950003E-2</v>
      </c>
      <c r="Q1426">
        <v>5.0908945602408801E-2</v>
      </c>
      <c r="R1426">
        <v>0.99573182317394604</v>
      </c>
      <c r="S1426" t="s">
        <v>5055</v>
      </c>
      <c r="T1426" t="s">
        <v>7256</v>
      </c>
      <c r="U1426" t="s">
        <v>7256</v>
      </c>
      <c r="V1426" t="s">
        <v>7256</v>
      </c>
      <c r="W1426">
        <v>2</v>
      </c>
      <c r="X1426" t="s">
        <v>8682</v>
      </c>
      <c r="Y1426">
        <v>0.42245674069110212</v>
      </c>
      <c r="Z1426" t="str">
        <f>HYPERLINK("Melting_Curves/meltCurve_sp_Q13042_3_CDC16_HUMAN_.pdf", "Melting_Curves/meltCurve_sp_Q13042_3_CDC16_HUMAN_.pdf")</f>
        <v>Melting_Curves/meltCurve_sp_Q13042_3_CDC16_HUMAN_.pdf</v>
      </c>
      <c r="AA1426" t="s">
        <v>12287</v>
      </c>
      <c r="AB1426" t="s">
        <v>15851</v>
      </c>
    </row>
    <row r="1427" spans="1:28" x14ac:dyDescent="0.25">
      <c r="A1427" t="s">
        <v>1431</v>
      </c>
      <c r="B1427">
        <v>0.98018197421672304</v>
      </c>
      <c r="C1427">
        <v>0.89868073156098205</v>
      </c>
      <c r="D1427">
        <v>0.74289051259905503</v>
      </c>
      <c r="E1427">
        <v>0.30226847655774702</v>
      </c>
      <c r="F1427">
        <v>0.14352026243695001</v>
      </c>
      <c r="G1427">
        <v>9.1266135335510701E-2</v>
      </c>
      <c r="H1427">
        <v>6.2482366508098998E-2</v>
      </c>
      <c r="I1427">
        <v>4.8429573216938103E-2</v>
      </c>
      <c r="J1427">
        <v>6.1438669049132297E-2</v>
      </c>
      <c r="K1427">
        <v>3.7008281722286797E-2</v>
      </c>
      <c r="L1427">
        <v>1054.18005616405</v>
      </c>
      <c r="M1427">
        <v>22.040914848149701</v>
      </c>
      <c r="N1427">
        <v>48.058281154367101</v>
      </c>
      <c r="O1427">
        <v>47.439850403326098</v>
      </c>
      <c r="P1427">
        <v>-0.110341312321853</v>
      </c>
      <c r="Q1427">
        <v>5.00470812712627E-2</v>
      </c>
      <c r="R1427">
        <v>0.99830437853521403</v>
      </c>
      <c r="S1427" t="s">
        <v>5056</v>
      </c>
      <c r="T1427" t="s">
        <v>7256</v>
      </c>
      <c r="U1427" t="s">
        <v>7256</v>
      </c>
      <c r="V1427" t="s">
        <v>7256</v>
      </c>
      <c r="W1427">
        <v>17</v>
      </c>
      <c r="X1427" t="s">
        <v>8683</v>
      </c>
      <c r="Y1427">
        <v>0.30893638489714448</v>
      </c>
      <c r="Z1427" t="str">
        <f>HYPERLINK("Melting_Curves/meltCurve_sp_Q13045_2_FLII_HUMAN_.pdf", "Melting_Curves/meltCurve_sp_Q13045_2_FLII_HUMAN_.pdf")</f>
        <v>Melting_Curves/meltCurve_sp_Q13045_2_FLII_HUMAN_.pdf</v>
      </c>
      <c r="AA1427" t="s">
        <v>12288</v>
      </c>
      <c r="AB1427" t="s">
        <v>15852</v>
      </c>
    </row>
    <row r="1428" spans="1:28" x14ac:dyDescent="0.25">
      <c r="A1428" t="s">
        <v>1432</v>
      </c>
      <c r="B1428">
        <v>0.98018197421672304</v>
      </c>
      <c r="C1428">
        <v>0.81161753219137001</v>
      </c>
      <c r="D1428">
        <v>0.66033944281897194</v>
      </c>
      <c r="E1428">
        <v>0.26549616404690501</v>
      </c>
      <c r="F1428">
        <v>0.13486366096920999</v>
      </c>
      <c r="G1428">
        <v>0.13728172735706101</v>
      </c>
      <c r="H1428">
        <v>7.3099068996477307E-2</v>
      </c>
      <c r="I1428">
        <v>6.7689621234365602E-2</v>
      </c>
      <c r="J1428">
        <v>8.8864792574857604E-2</v>
      </c>
      <c r="K1428">
        <v>3.28455144167683E-2</v>
      </c>
      <c r="L1428">
        <v>876.81404095117296</v>
      </c>
      <c r="M1428">
        <v>18.6925465783311</v>
      </c>
      <c r="N1428">
        <v>47.245328771765401</v>
      </c>
      <c r="O1428">
        <v>46.380188158592603</v>
      </c>
      <c r="P1428">
        <v>-9.44519862535282E-2</v>
      </c>
      <c r="Q1428">
        <v>6.2617895933336803E-2</v>
      </c>
      <c r="R1428">
        <v>0.992034607780373</v>
      </c>
      <c r="S1428" t="s">
        <v>5057</v>
      </c>
      <c r="T1428" t="s">
        <v>7256</v>
      </c>
      <c r="U1428" t="s">
        <v>7256</v>
      </c>
      <c r="V1428" t="s">
        <v>7256</v>
      </c>
      <c r="W1428">
        <v>17</v>
      </c>
      <c r="X1428" t="s">
        <v>8684</v>
      </c>
      <c r="Y1428">
        <v>0.29443443422087612</v>
      </c>
      <c r="Z1428" t="str">
        <f>HYPERLINK("Melting_Curves/meltCurve_sp_Q13045_FLII_HUMAN_.pdf", "Melting_Curves/meltCurve_sp_Q13045_FLII_HUMAN_.pdf")</f>
        <v>Melting_Curves/meltCurve_sp_Q13045_FLII_HUMAN_.pdf</v>
      </c>
      <c r="AA1428" t="s">
        <v>12288</v>
      </c>
      <c r="AB1428" t="s">
        <v>15853</v>
      </c>
    </row>
    <row r="1429" spans="1:28" x14ac:dyDescent="0.25">
      <c r="A1429" t="s">
        <v>1433</v>
      </c>
      <c r="B1429">
        <v>0.98018197421672304</v>
      </c>
      <c r="C1429">
        <v>0.77513093084733198</v>
      </c>
      <c r="D1429">
        <v>0.34888219155233302</v>
      </c>
      <c r="E1429">
        <v>0.16138872643764501</v>
      </c>
      <c r="F1429">
        <v>8.9469865027869994E-2</v>
      </c>
      <c r="G1429">
        <v>5.8931885487250903E-2</v>
      </c>
      <c r="H1429">
        <v>4.0877099469421099E-2</v>
      </c>
      <c r="I1429">
        <v>3.4921432393695703E-2</v>
      </c>
      <c r="J1429">
        <v>3.4640081215270499E-2</v>
      </c>
      <c r="K1429">
        <v>3.3000073505900597E-2</v>
      </c>
      <c r="L1429">
        <v>1120.6059287242199</v>
      </c>
      <c r="M1429">
        <v>25.0034734945365</v>
      </c>
      <c r="N1429">
        <v>45.003211997568997</v>
      </c>
      <c r="O1429">
        <v>44.534275315499002</v>
      </c>
      <c r="P1429">
        <v>-0.13349992486932599</v>
      </c>
      <c r="Q1429">
        <v>4.8893343942603203E-2</v>
      </c>
      <c r="R1429">
        <v>0.99547843957252402</v>
      </c>
      <c r="S1429" t="s">
        <v>5058</v>
      </c>
      <c r="T1429" t="s">
        <v>7256</v>
      </c>
      <c r="U1429" t="s">
        <v>7256</v>
      </c>
      <c r="V1429" t="s">
        <v>7256</v>
      </c>
      <c r="W1429">
        <v>10</v>
      </c>
      <c r="X1429" t="s">
        <v>8685</v>
      </c>
      <c r="Y1429">
        <v>0.21130528023201381</v>
      </c>
      <c r="Z1429" t="str">
        <f>HYPERLINK("Melting_Curves/meltCurve_sp_Q13057_COASY_HUMAN_.pdf", "Melting_Curves/meltCurve_sp_Q13057_COASY_HUMAN_.pdf")</f>
        <v>Melting_Curves/meltCurve_sp_Q13057_COASY_HUMAN_.pdf</v>
      </c>
      <c r="AA1429" t="s">
        <v>12289</v>
      </c>
      <c r="AB1429" t="s">
        <v>15854</v>
      </c>
    </row>
    <row r="1430" spans="1:28" x14ac:dyDescent="0.25">
      <c r="A1430" t="s">
        <v>1434</v>
      </c>
      <c r="B1430">
        <v>0.98018197421672304</v>
      </c>
      <c r="C1430">
        <v>0.89678954550750301</v>
      </c>
      <c r="D1430">
        <v>0.72991417510886802</v>
      </c>
      <c r="E1430">
        <v>0.26695013357782998</v>
      </c>
      <c r="F1430">
        <v>0.15439761206084501</v>
      </c>
      <c r="G1430">
        <v>8.1399880995169399E-2</v>
      </c>
      <c r="H1430">
        <v>5.7819131506948E-2</v>
      </c>
      <c r="I1430">
        <v>3.9192254344432201E-2</v>
      </c>
      <c r="J1430">
        <v>6.0020222023402701E-2</v>
      </c>
      <c r="K1430">
        <v>3.2560930803802297E-2</v>
      </c>
      <c r="L1430">
        <v>1065.2510911639799</v>
      </c>
      <c r="M1430">
        <v>22.3598798573504</v>
      </c>
      <c r="N1430">
        <v>47.853666525299197</v>
      </c>
      <c r="O1430">
        <v>47.26504114435</v>
      </c>
      <c r="P1430">
        <v>-0.11268189771315899</v>
      </c>
      <c r="Q1430">
        <v>4.7257525576575699E-2</v>
      </c>
      <c r="R1430">
        <v>0.997611986968718</v>
      </c>
      <c r="S1430" t="s">
        <v>5059</v>
      </c>
      <c r="T1430" t="s">
        <v>7256</v>
      </c>
      <c r="U1430" t="s">
        <v>7256</v>
      </c>
      <c r="V1430" t="s">
        <v>7256</v>
      </c>
      <c r="W1430">
        <v>25</v>
      </c>
      <c r="X1430" t="s">
        <v>8686</v>
      </c>
      <c r="Y1430">
        <v>0.30065887586308171</v>
      </c>
      <c r="Z1430" t="str">
        <f>HYPERLINK("Melting_Curves/meltCurve_sp_Q13085_3_ACACA_HUMAN_.pdf", "Melting_Curves/meltCurve_sp_Q13085_3_ACACA_HUMAN_.pdf")</f>
        <v>Melting_Curves/meltCurve_sp_Q13085_3_ACACA_HUMAN_.pdf</v>
      </c>
      <c r="AA1430" t="s">
        <v>12290</v>
      </c>
      <c r="AB1430" t="s">
        <v>15855</v>
      </c>
    </row>
    <row r="1431" spans="1:28" x14ac:dyDescent="0.25">
      <c r="A1431" t="s">
        <v>1435</v>
      </c>
      <c r="B1431">
        <v>0.98018197421672304</v>
      </c>
      <c r="C1431">
        <v>0.95071956867493401</v>
      </c>
      <c r="D1431">
        <v>0.86682616255870004</v>
      </c>
      <c r="E1431">
        <v>0.74440751555504303</v>
      </c>
      <c r="F1431">
        <v>0.57163657201850304</v>
      </c>
      <c r="G1431">
        <v>0.32488154934685598</v>
      </c>
      <c r="H1431">
        <v>0.270538700428755</v>
      </c>
      <c r="I1431">
        <v>0.24252255717119001</v>
      </c>
      <c r="J1431">
        <v>0.21405906761006699</v>
      </c>
      <c r="K1431">
        <v>0.29911821231678898</v>
      </c>
      <c r="L1431">
        <v>839.78006690399297</v>
      </c>
      <c r="M1431">
        <v>16.212337918539099</v>
      </c>
      <c r="N1431">
        <v>53.745446687944998</v>
      </c>
      <c r="O1431">
        <v>51.0299352816889</v>
      </c>
      <c r="P1431">
        <v>-6.1793025982373302E-2</v>
      </c>
      <c r="Q1431">
        <v>0.22205896161046601</v>
      </c>
      <c r="R1431">
        <v>0.98720016030596003</v>
      </c>
      <c r="S1431" t="s">
        <v>5060</v>
      </c>
      <c r="T1431" t="s">
        <v>7256</v>
      </c>
      <c r="U1431" t="s">
        <v>7256</v>
      </c>
      <c r="V1431" t="s">
        <v>7256</v>
      </c>
      <c r="W1431">
        <v>5</v>
      </c>
      <c r="X1431" t="s">
        <v>8687</v>
      </c>
      <c r="Y1431">
        <v>0.543492084863058</v>
      </c>
      <c r="Z1431" t="str">
        <f>HYPERLINK("Melting_Curves/meltCurve_sp_Q13123_RED_HUMAN_.pdf", "Melting_Curves/meltCurve_sp_Q13123_RED_HUMAN_.pdf")</f>
        <v>Melting_Curves/meltCurve_sp_Q13123_RED_HUMAN_.pdf</v>
      </c>
      <c r="AA1431" t="s">
        <v>12291</v>
      </c>
      <c r="AB1431" t="s">
        <v>15856</v>
      </c>
    </row>
    <row r="1432" spans="1:28" x14ac:dyDescent="0.25">
      <c r="A1432" t="s">
        <v>1436</v>
      </c>
      <c r="B1432">
        <v>0.98018197421672304</v>
      </c>
      <c r="C1432">
        <v>0.955427851337463</v>
      </c>
      <c r="D1432">
        <v>0.85692536385138196</v>
      </c>
      <c r="E1432">
        <v>0.764529288300276</v>
      </c>
      <c r="F1432">
        <v>0.66718674937821598</v>
      </c>
      <c r="G1432">
        <v>0.56575138434314998</v>
      </c>
      <c r="H1432">
        <v>0.43646934529717202</v>
      </c>
      <c r="I1432">
        <v>0.46944328494547199</v>
      </c>
      <c r="J1432">
        <v>0.54158044252342796</v>
      </c>
      <c r="K1432">
        <v>0.42973011789904397</v>
      </c>
      <c r="L1432">
        <v>626.16920123332295</v>
      </c>
      <c r="M1432">
        <v>12.284693648285501</v>
      </c>
      <c r="N1432">
        <v>61.194619179432401</v>
      </c>
      <c r="O1432">
        <v>49.677284893045297</v>
      </c>
      <c r="P1432">
        <v>-3.4889254596888103E-2</v>
      </c>
      <c r="Q1432">
        <v>0.435778516409768</v>
      </c>
      <c r="R1432">
        <v>0.96979030286162904</v>
      </c>
      <c r="S1432" t="s">
        <v>5061</v>
      </c>
      <c r="T1432" t="s">
        <v>7256</v>
      </c>
      <c r="U1432" t="s">
        <v>7256</v>
      </c>
      <c r="V1432" t="s">
        <v>7256</v>
      </c>
      <c r="W1432">
        <v>16</v>
      </c>
      <c r="X1432" t="s">
        <v>8688</v>
      </c>
      <c r="Y1432">
        <v>0.65994241279931165</v>
      </c>
      <c r="Z1432" t="str">
        <f>HYPERLINK("Melting_Curves/meltCurve_sp_Q13126_MTAP_HUMAN_.pdf", "Melting_Curves/meltCurve_sp_Q13126_MTAP_HUMAN_.pdf")</f>
        <v>Melting_Curves/meltCurve_sp_Q13126_MTAP_HUMAN_.pdf</v>
      </c>
      <c r="AA1432" t="s">
        <v>12292</v>
      </c>
      <c r="AB1432" t="s">
        <v>15857</v>
      </c>
    </row>
    <row r="1433" spans="1:28" x14ac:dyDescent="0.25">
      <c r="A1433" t="s">
        <v>1437</v>
      </c>
      <c r="B1433">
        <v>0.98018197421672304</v>
      </c>
      <c r="C1433">
        <v>0.98904037073986695</v>
      </c>
      <c r="D1433">
        <v>0.86458689074406003</v>
      </c>
      <c r="E1433">
        <v>0.64904634684170603</v>
      </c>
      <c r="F1433">
        <v>0.30253969223560401</v>
      </c>
      <c r="G1433">
        <v>0.126884110178444</v>
      </c>
      <c r="H1433">
        <v>7.3478048510569494E-2</v>
      </c>
      <c r="I1433">
        <v>5.6132842457233302E-2</v>
      </c>
      <c r="J1433">
        <v>4.98930355373884E-2</v>
      </c>
      <c r="K1433">
        <v>3.1434039235143998E-2</v>
      </c>
      <c r="L1433">
        <v>1066.94979205611</v>
      </c>
      <c r="M1433">
        <v>20.956309996292902</v>
      </c>
      <c r="N1433">
        <v>51.101434420748603</v>
      </c>
      <c r="O1433">
        <v>50.4562693256416</v>
      </c>
      <c r="P1433">
        <v>-9.9977060709710797E-2</v>
      </c>
      <c r="Q1433">
        <v>3.7171874386867802E-2</v>
      </c>
      <c r="R1433">
        <v>0.99691486902601101</v>
      </c>
      <c r="S1433" t="s">
        <v>5062</v>
      </c>
      <c r="T1433" t="s">
        <v>7256</v>
      </c>
      <c r="U1433" t="s">
        <v>7256</v>
      </c>
      <c r="V1433" t="s">
        <v>7256</v>
      </c>
      <c r="W1433">
        <v>14</v>
      </c>
      <c r="X1433" t="s">
        <v>8689</v>
      </c>
      <c r="Y1433">
        <v>0.39965658907213453</v>
      </c>
      <c r="Z1433" t="str">
        <f>HYPERLINK("Melting_Curves/meltCurve_sp_Q13131_2_AAPK1_HUMAN_.pdf", "Melting_Curves/meltCurve_sp_Q13131_2_AAPK1_HUMAN_.pdf")</f>
        <v>Melting_Curves/meltCurve_sp_Q13131_2_AAPK1_HUMAN_.pdf</v>
      </c>
      <c r="AA1433" t="s">
        <v>12293</v>
      </c>
      <c r="AB1433" t="s">
        <v>15858</v>
      </c>
    </row>
    <row r="1434" spans="1:28" x14ac:dyDescent="0.25">
      <c r="A1434" t="s">
        <v>1438</v>
      </c>
      <c r="B1434">
        <v>0.98018197421672304</v>
      </c>
      <c r="C1434">
        <v>0.96978692141381995</v>
      </c>
      <c r="D1434">
        <v>0.83669719865001302</v>
      </c>
      <c r="E1434">
        <v>0.69956827050531301</v>
      </c>
      <c r="F1434">
        <v>0.493236402830943</v>
      </c>
      <c r="G1434">
        <v>0.29420281677691501</v>
      </c>
      <c r="H1434">
        <v>0.25879178927778002</v>
      </c>
      <c r="I1434">
        <v>0.243073740124638</v>
      </c>
      <c r="J1434">
        <v>0.25906409667101798</v>
      </c>
      <c r="K1434">
        <v>0.24819040406571599</v>
      </c>
      <c r="L1434">
        <v>838.74591717129101</v>
      </c>
      <c r="M1434">
        <v>16.510524243492501</v>
      </c>
      <c r="N1434">
        <v>52.698627645960002</v>
      </c>
      <c r="O1434">
        <v>50.0729838291984</v>
      </c>
      <c r="P1434">
        <v>-6.3962337877244202E-2</v>
      </c>
      <c r="Q1434">
        <v>0.22411595640533899</v>
      </c>
      <c r="R1434">
        <v>0.99305591330296195</v>
      </c>
      <c r="S1434" t="s">
        <v>5063</v>
      </c>
      <c r="T1434" t="s">
        <v>7256</v>
      </c>
      <c r="U1434" t="s">
        <v>7256</v>
      </c>
      <c r="V1434" t="s">
        <v>7256</v>
      </c>
      <c r="W1434">
        <v>9</v>
      </c>
      <c r="X1434" t="s">
        <v>8690</v>
      </c>
      <c r="Y1434">
        <v>0.51874837226970183</v>
      </c>
      <c r="Z1434" t="str">
        <f>HYPERLINK("Melting_Curves/meltCurve_sp_Q13136_2_LIPA1_HUMAN_.pdf", "Melting_Curves/meltCurve_sp_Q13136_2_LIPA1_HUMAN_.pdf")</f>
        <v>Melting_Curves/meltCurve_sp_Q13136_2_LIPA1_HUMAN_.pdf</v>
      </c>
      <c r="AA1434" t="s">
        <v>12294</v>
      </c>
      <c r="AB1434" t="s">
        <v>15859</v>
      </c>
    </row>
    <row r="1435" spans="1:28" x14ac:dyDescent="0.25">
      <c r="A1435" t="s">
        <v>1439</v>
      </c>
      <c r="B1435">
        <v>0.98018197421672304</v>
      </c>
      <c r="C1435">
        <v>0.88941372846240596</v>
      </c>
      <c r="D1435">
        <v>0.77412695156997902</v>
      </c>
      <c r="E1435">
        <v>0.333223592591948</v>
      </c>
      <c r="F1435">
        <v>0.14675660192100501</v>
      </c>
      <c r="G1435">
        <v>9.6347249635829593E-2</v>
      </c>
      <c r="H1435">
        <v>7.9662445035071999E-2</v>
      </c>
      <c r="I1435">
        <v>7.5763097650300495E-2</v>
      </c>
      <c r="J1435">
        <v>8.5032319237772505E-2</v>
      </c>
      <c r="K1435">
        <v>0.105104157964985</v>
      </c>
      <c r="L1435">
        <v>1124.53621067672</v>
      </c>
      <c r="M1435">
        <v>23.462471599191801</v>
      </c>
      <c r="N1435">
        <v>48.2838966429523</v>
      </c>
      <c r="O1435">
        <v>47.5850409794851</v>
      </c>
      <c r="P1435">
        <v>-0.113509150649323</v>
      </c>
      <c r="Q1435">
        <v>7.9168822943703004E-2</v>
      </c>
      <c r="R1435">
        <v>0.996033241309358</v>
      </c>
      <c r="S1435" t="s">
        <v>5064</v>
      </c>
      <c r="T1435" t="s">
        <v>7256</v>
      </c>
      <c r="U1435" t="s">
        <v>7256</v>
      </c>
      <c r="V1435" t="s">
        <v>7256</v>
      </c>
      <c r="W1435">
        <v>3</v>
      </c>
      <c r="X1435" t="s">
        <v>8691</v>
      </c>
      <c r="Y1435">
        <v>0.3318694001445171</v>
      </c>
      <c r="Z1435" t="str">
        <f>HYPERLINK("Melting_Curves/meltCurve_sp_Q13148_TADBP_HUMAN_.pdf", "Melting_Curves/meltCurve_sp_Q13148_TADBP_HUMAN_.pdf")</f>
        <v>Melting_Curves/meltCurve_sp_Q13148_TADBP_HUMAN_.pdf</v>
      </c>
      <c r="AA1435" t="s">
        <v>12295</v>
      </c>
      <c r="AB1435" t="s">
        <v>15860</v>
      </c>
    </row>
    <row r="1436" spans="1:28" x14ac:dyDescent="0.25">
      <c r="A1436" t="s">
        <v>1440</v>
      </c>
      <c r="B1436">
        <v>0.98018197421672304</v>
      </c>
      <c r="C1436">
        <v>0.88339245138268097</v>
      </c>
      <c r="D1436">
        <v>0.74774366342597098</v>
      </c>
      <c r="E1436">
        <v>0.48477458964046</v>
      </c>
      <c r="F1436">
        <v>0.425102666289014</v>
      </c>
      <c r="G1436">
        <v>0.28793513327712</v>
      </c>
      <c r="H1436">
        <v>0.23536889296733601</v>
      </c>
      <c r="I1436">
        <v>0.272434018820843</v>
      </c>
      <c r="J1436">
        <v>0.227559899355153</v>
      </c>
      <c r="K1436">
        <v>0.32609794200873099</v>
      </c>
      <c r="L1436">
        <v>762.90590484099903</v>
      </c>
      <c r="M1436">
        <v>15.9560654708429</v>
      </c>
      <c r="N1436">
        <v>50.047984781827097</v>
      </c>
      <c r="O1436">
        <v>47.080791756655103</v>
      </c>
      <c r="P1436">
        <v>-6.3142797038962306E-2</v>
      </c>
      <c r="Q1436">
        <v>0.25480922025061398</v>
      </c>
      <c r="R1436">
        <v>0.98569116718661898</v>
      </c>
      <c r="S1436" t="s">
        <v>5065</v>
      </c>
      <c r="T1436" t="s">
        <v>7256</v>
      </c>
      <c r="U1436" t="s">
        <v>7256</v>
      </c>
      <c r="V1436" t="s">
        <v>7256</v>
      </c>
      <c r="W1436">
        <v>2</v>
      </c>
      <c r="X1436" t="s">
        <v>8692</v>
      </c>
      <c r="Y1436">
        <v>0.46596078752414161</v>
      </c>
      <c r="Z1436" t="str">
        <f>HYPERLINK("Melting_Curves/meltCurve_sp_Q13151_ROA0_HUMAN_.pdf", "Melting_Curves/meltCurve_sp_Q13151_ROA0_HUMAN_.pdf")</f>
        <v>Melting_Curves/meltCurve_sp_Q13151_ROA0_HUMAN_.pdf</v>
      </c>
      <c r="AA1436" t="s">
        <v>12296</v>
      </c>
      <c r="AB1436" t="s">
        <v>15861</v>
      </c>
    </row>
    <row r="1437" spans="1:28" x14ac:dyDescent="0.25">
      <c r="A1437" t="s">
        <v>1441</v>
      </c>
      <c r="B1437">
        <v>0.98018197421672304</v>
      </c>
      <c r="C1437">
        <v>0.95129128280439701</v>
      </c>
      <c r="D1437">
        <v>0.88371244448603703</v>
      </c>
      <c r="E1437">
        <v>0.72833988119628401</v>
      </c>
      <c r="F1437">
        <v>0.56867244711033704</v>
      </c>
      <c r="G1437">
        <v>0.297082716488757</v>
      </c>
      <c r="H1437">
        <v>9.4719448040602797E-2</v>
      </c>
      <c r="I1437">
        <v>7.2879590911348505E-2</v>
      </c>
      <c r="J1437">
        <v>7.5728971699192196E-2</v>
      </c>
      <c r="K1437">
        <v>3.8004919922400501E-2</v>
      </c>
      <c r="L1437">
        <v>774.67340205051505</v>
      </c>
      <c r="M1437">
        <v>14.479699328687101</v>
      </c>
      <c r="N1437">
        <v>53.500657422173397</v>
      </c>
      <c r="O1437">
        <v>52.5112863400891</v>
      </c>
      <c r="P1437">
        <v>-6.89441577634229E-2</v>
      </c>
      <c r="Q1437">
        <v>0</v>
      </c>
      <c r="R1437">
        <v>0.99573363756529598</v>
      </c>
      <c r="S1437" t="s">
        <v>5066</v>
      </c>
      <c r="T1437" t="s">
        <v>7256</v>
      </c>
      <c r="U1437" t="s">
        <v>7256</v>
      </c>
      <c r="V1437" t="s">
        <v>7256</v>
      </c>
      <c r="W1437">
        <v>9</v>
      </c>
      <c r="X1437" t="s">
        <v>8693</v>
      </c>
      <c r="Y1437">
        <v>0.47204847340647033</v>
      </c>
      <c r="Z1437" t="str">
        <f>HYPERLINK("Melting_Curves/meltCurve_sp_Q13153_PAK1_HUMAN_.pdf", "Melting_Curves/meltCurve_sp_Q13153_PAK1_HUMAN_.pdf")</f>
        <v>Melting_Curves/meltCurve_sp_Q13153_PAK1_HUMAN_.pdf</v>
      </c>
      <c r="AA1437" t="s">
        <v>12297</v>
      </c>
      <c r="AB1437" t="s">
        <v>15862</v>
      </c>
    </row>
    <row r="1438" spans="1:28" x14ac:dyDescent="0.25">
      <c r="A1438" t="s">
        <v>1442</v>
      </c>
      <c r="B1438">
        <v>0.98018197421672304</v>
      </c>
      <c r="C1438">
        <v>0.90558552111115798</v>
      </c>
      <c r="D1438">
        <v>0.435936823971799</v>
      </c>
      <c r="E1438">
        <v>0.16124495124868901</v>
      </c>
      <c r="F1438">
        <v>7.3762739842876707E-2</v>
      </c>
      <c r="G1438">
        <v>4.5363823934036401E-2</v>
      </c>
      <c r="H1438">
        <v>2.2547518755755901E-2</v>
      </c>
      <c r="I1438">
        <v>2.1379865876662001E-2</v>
      </c>
      <c r="J1438">
        <v>2.0433119512763699E-2</v>
      </c>
      <c r="K1438">
        <v>1.16305024155424E-2</v>
      </c>
      <c r="L1438">
        <v>1275.0278467319499</v>
      </c>
      <c r="M1438">
        <v>27.903257352287199</v>
      </c>
      <c r="N1438">
        <v>45.807349571300698</v>
      </c>
      <c r="O1438">
        <v>45.4618234469025</v>
      </c>
      <c r="P1438">
        <v>-0.14835276818958801</v>
      </c>
      <c r="Q1438">
        <v>3.3184026921181699E-2</v>
      </c>
      <c r="R1438">
        <v>0.99484702750396103</v>
      </c>
      <c r="S1438" t="s">
        <v>5067</v>
      </c>
      <c r="T1438" t="s">
        <v>7256</v>
      </c>
      <c r="U1438" t="s">
        <v>7256</v>
      </c>
      <c r="V1438" t="s">
        <v>7256</v>
      </c>
      <c r="W1438">
        <v>4</v>
      </c>
      <c r="X1438" t="s">
        <v>8694</v>
      </c>
      <c r="Y1438">
        <v>0.22374430929623171</v>
      </c>
      <c r="Z1438" t="str">
        <f>HYPERLINK("Melting_Curves/meltCurve_sp_Q13155_AIMP2_HUMAN_.pdf", "Melting_Curves/meltCurve_sp_Q13155_AIMP2_HUMAN_.pdf")</f>
        <v>Melting_Curves/meltCurve_sp_Q13155_AIMP2_HUMAN_.pdf</v>
      </c>
      <c r="AA1438" t="s">
        <v>12298</v>
      </c>
      <c r="AB1438" t="s">
        <v>15863</v>
      </c>
    </row>
    <row r="1439" spans="1:28" x14ac:dyDescent="0.25">
      <c r="A1439" t="s">
        <v>1443</v>
      </c>
      <c r="B1439">
        <v>0.98018197421672304</v>
      </c>
      <c r="C1439">
        <v>0.88622786701746303</v>
      </c>
      <c r="D1439">
        <v>0.855822736264371</v>
      </c>
      <c r="E1439">
        <v>0.72239062703229895</v>
      </c>
      <c r="F1439">
        <v>0.59666086393967499</v>
      </c>
      <c r="G1439">
        <v>0.388433536710937</v>
      </c>
      <c r="H1439">
        <v>0.32712311054455501</v>
      </c>
      <c r="I1439">
        <v>0.31383892760358201</v>
      </c>
      <c r="J1439">
        <v>0.330350901182693</v>
      </c>
      <c r="K1439">
        <v>0.251487929637845</v>
      </c>
      <c r="L1439">
        <v>593.03492174305802</v>
      </c>
      <c r="M1439">
        <v>11.4257286683904</v>
      </c>
      <c r="N1439">
        <v>54.861847461093902</v>
      </c>
      <c r="O1439">
        <v>50.389868881359803</v>
      </c>
      <c r="P1439">
        <v>-4.3662409134158302E-2</v>
      </c>
      <c r="Q1439">
        <v>0.22998302838252599</v>
      </c>
      <c r="R1439">
        <v>0.98731782751887898</v>
      </c>
      <c r="S1439" t="s">
        <v>5068</v>
      </c>
      <c r="T1439" t="s">
        <v>7256</v>
      </c>
      <c r="U1439" t="s">
        <v>7256</v>
      </c>
      <c r="V1439" t="s">
        <v>7256</v>
      </c>
      <c r="W1439">
        <v>13</v>
      </c>
      <c r="X1439" t="s">
        <v>8695</v>
      </c>
      <c r="Y1439">
        <v>0.56075532475268175</v>
      </c>
      <c r="Z1439" t="str">
        <f>HYPERLINK("Melting_Curves/meltCurve_sp_Q13162_PRDX4_HUMAN_.pdf", "Melting_Curves/meltCurve_sp_Q13162_PRDX4_HUMAN_.pdf")</f>
        <v>Melting_Curves/meltCurve_sp_Q13162_PRDX4_HUMAN_.pdf</v>
      </c>
      <c r="AA1439" t="s">
        <v>12299</v>
      </c>
      <c r="AB1439" t="s">
        <v>15864</v>
      </c>
    </row>
    <row r="1440" spans="1:28" x14ac:dyDescent="0.25">
      <c r="A1440" t="s">
        <v>1444</v>
      </c>
      <c r="B1440">
        <v>0.98018197421672304</v>
      </c>
      <c r="C1440">
        <v>0.98852629384915602</v>
      </c>
      <c r="D1440">
        <v>0.92031188854249502</v>
      </c>
      <c r="E1440">
        <v>0.77219144497903702</v>
      </c>
      <c r="F1440">
        <v>0.563553303010218</v>
      </c>
      <c r="G1440">
        <v>0.2803336745419</v>
      </c>
      <c r="H1440">
        <v>0.117454931761971</v>
      </c>
      <c r="I1440">
        <v>8.9346922391236303E-2</v>
      </c>
      <c r="J1440">
        <v>9.0288564965905205E-2</v>
      </c>
      <c r="K1440">
        <v>7.5426018088204094E-2</v>
      </c>
      <c r="L1440">
        <v>939.39510966055502</v>
      </c>
      <c r="M1440">
        <v>17.624822093733101</v>
      </c>
      <c r="N1440">
        <v>53.622391771632202</v>
      </c>
      <c r="O1440">
        <v>52.627592987565301</v>
      </c>
      <c r="P1440">
        <v>-7.9514258174425104E-2</v>
      </c>
      <c r="Q1440">
        <v>5.0334856106965399E-2</v>
      </c>
      <c r="R1440">
        <v>0.99845939116070803</v>
      </c>
      <c r="S1440" t="s">
        <v>5069</v>
      </c>
      <c r="T1440" t="s">
        <v>7256</v>
      </c>
      <c r="U1440" t="s">
        <v>7256</v>
      </c>
      <c r="V1440" t="s">
        <v>7256</v>
      </c>
      <c r="W1440">
        <v>16</v>
      </c>
      <c r="X1440" t="s">
        <v>8696</v>
      </c>
      <c r="Y1440">
        <v>0.48730979859389101</v>
      </c>
      <c r="Z1440" t="str">
        <f>HYPERLINK("Melting_Curves/meltCurve_sp_Q13177_PAK2_HUMAN_.pdf", "Melting_Curves/meltCurve_sp_Q13177_PAK2_HUMAN_.pdf")</f>
        <v>Melting_Curves/meltCurve_sp_Q13177_PAK2_HUMAN_.pdf</v>
      </c>
      <c r="AA1440" t="s">
        <v>12300</v>
      </c>
      <c r="AB1440" t="s">
        <v>15865</v>
      </c>
    </row>
    <row r="1441" spans="1:28" x14ac:dyDescent="0.25">
      <c r="A1441" t="s">
        <v>1445</v>
      </c>
      <c r="B1441">
        <v>0.98018197421672304</v>
      </c>
      <c r="C1441">
        <v>0.94683940839024705</v>
      </c>
      <c r="D1441">
        <v>0.93759759462598802</v>
      </c>
      <c r="E1441">
        <v>0.79913813955713497</v>
      </c>
      <c r="F1441">
        <v>0.73751054200440702</v>
      </c>
      <c r="G1441">
        <v>0.54003995837779895</v>
      </c>
      <c r="H1441">
        <v>0.362042241582611</v>
      </c>
      <c r="I1441">
        <v>0.334248970125817</v>
      </c>
      <c r="J1441">
        <v>0.32157737508766698</v>
      </c>
      <c r="K1441">
        <v>0.41629248105299699</v>
      </c>
      <c r="L1441">
        <v>805.00062751936798</v>
      </c>
      <c r="M1441">
        <v>14.985020992500001</v>
      </c>
      <c r="N1441">
        <v>57.5426830236607</v>
      </c>
      <c r="O1441">
        <v>52.790892411820501</v>
      </c>
      <c r="P1441">
        <v>-4.8600313605581001E-2</v>
      </c>
      <c r="Q1441">
        <v>0.31521123262145001</v>
      </c>
      <c r="R1441">
        <v>0.97503901030421802</v>
      </c>
      <c r="S1441" t="s">
        <v>5070</v>
      </c>
      <c r="T1441" t="s">
        <v>7256</v>
      </c>
      <c r="U1441" t="s">
        <v>7256</v>
      </c>
      <c r="V1441" t="s">
        <v>7256</v>
      </c>
      <c r="W1441">
        <v>4</v>
      </c>
      <c r="X1441" t="s">
        <v>8697</v>
      </c>
      <c r="Y1441">
        <v>0.64267029591160418</v>
      </c>
      <c r="Z1441" t="str">
        <f>HYPERLINK("Melting_Curves/meltCurve_sp_Q13185_CBX3_HUMAN_.pdf", "Melting_Curves/meltCurve_sp_Q13185_CBX3_HUMAN_.pdf")</f>
        <v>Melting_Curves/meltCurve_sp_Q13185_CBX3_HUMAN_.pdf</v>
      </c>
      <c r="AA1441" t="s">
        <v>12301</v>
      </c>
      <c r="AB1441" t="s">
        <v>15866</v>
      </c>
    </row>
    <row r="1442" spans="1:28" x14ac:dyDescent="0.25">
      <c r="A1442" t="s">
        <v>1446</v>
      </c>
      <c r="B1442">
        <v>0.98018197421672304</v>
      </c>
      <c r="C1442">
        <v>1.19458715875543</v>
      </c>
      <c r="D1442">
        <v>0.70080263235766105</v>
      </c>
      <c r="E1442">
        <v>0.60791860986606605</v>
      </c>
      <c r="F1442">
        <v>0.40460246723059801</v>
      </c>
      <c r="G1442">
        <v>0.17456120236067499</v>
      </c>
      <c r="H1442">
        <v>5.3924340291659503E-2</v>
      </c>
      <c r="I1442">
        <v>0</v>
      </c>
      <c r="J1442">
        <v>8.0640682109221096E-2</v>
      </c>
      <c r="K1442">
        <v>0</v>
      </c>
      <c r="L1442">
        <v>797.86381531063</v>
      </c>
      <c r="M1442">
        <v>15.5718672988629</v>
      </c>
      <c r="N1442">
        <v>51.237517054606201</v>
      </c>
      <c r="O1442">
        <v>50.414829617196098</v>
      </c>
      <c r="P1442">
        <v>-7.7225422632268004E-2</v>
      </c>
      <c r="Q1442">
        <v>0</v>
      </c>
      <c r="R1442">
        <v>0.94758704701221697</v>
      </c>
      <c r="S1442" t="s">
        <v>5071</v>
      </c>
      <c r="T1442" t="s">
        <v>7256</v>
      </c>
      <c r="U1442" t="s">
        <v>7256</v>
      </c>
      <c r="V1442" t="s">
        <v>7256</v>
      </c>
      <c r="W1442">
        <v>1</v>
      </c>
      <c r="X1442" t="s">
        <v>8698</v>
      </c>
      <c r="Y1442">
        <v>0.39614843697391572</v>
      </c>
      <c r="Z1442" t="str">
        <f>HYPERLINK("Melting_Curves/meltCurve_sp_Q13188_STK3_HUMAN_.pdf", "Melting_Curves/meltCurve_sp_Q13188_STK3_HUMAN_.pdf")</f>
        <v>Melting_Curves/meltCurve_sp_Q13188_STK3_HUMAN_.pdf</v>
      </c>
      <c r="AA1442" t="s">
        <v>12302</v>
      </c>
      <c r="AB1442" t="s">
        <v>15867</v>
      </c>
    </row>
    <row r="1443" spans="1:28" x14ac:dyDescent="0.25">
      <c r="A1443" t="s">
        <v>1447</v>
      </c>
      <c r="B1443">
        <v>0.98018197421672304</v>
      </c>
      <c r="C1443">
        <v>0.90502667647242396</v>
      </c>
      <c r="D1443">
        <v>0.71005069705284896</v>
      </c>
      <c r="E1443">
        <v>0.37328829041412598</v>
      </c>
      <c r="F1443">
        <v>0.17574941632968</v>
      </c>
      <c r="G1443">
        <v>9.4596505776081405E-2</v>
      </c>
      <c r="H1443">
        <v>5.8299887401430599E-2</v>
      </c>
      <c r="I1443">
        <v>4.4977806593711603E-2</v>
      </c>
      <c r="J1443">
        <v>6.2025322174376098E-2</v>
      </c>
      <c r="K1443">
        <v>3.3157830082931702E-2</v>
      </c>
      <c r="L1443">
        <v>883.91718697367799</v>
      </c>
      <c r="M1443">
        <v>18.3611830576187</v>
      </c>
      <c r="N1443">
        <v>48.356658216578303</v>
      </c>
      <c r="O1443">
        <v>47.580403711896501</v>
      </c>
      <c r="P1443">
        <v>-9.2678745627578996E-2</v>
      </c>
      <c r="Q1443">
        <v>3.9388487991085297E-2</v>
      </c>
      <c r="R1443">
        <v>0.99940649711995699</v>
      </c>
      <c r="S1443" t="s">
        <v>5072</v>
      </c>
      <c r="T1443" t="s">
        <v>7256</v>
      </c>
      <c r="U1443" t="s">
        <v>7256</v>
      </c>
      <c r="V1443" t="s">
        <v>7256</v>
      </c>
      <c r="W1443">
        <v>19</v>
      </c>
      <c r="X1443" t="s">
        <v>8699</v>
      </c>
      <c r="Y1443">
        <v>0.31633827709298412</v>
      </c>
      <c r="Z1443" t="str">
        <f>HYPERLINK("Melting_Curves/meltCurve_sp_Q13200_PSMD2_HUMAN_.pdf", "Melting_Curves/meltCurve_sp_Q13200_PSMD2_HUMAN_.pdf")</f>
        <v>Melting_Curves/meltCurve_sp_Q13200_PSMD2_HUMAN_.pdf</v>
      </c>
      <c r="AA1443" t="s">
        <v>12303</v>
      </c>
      <c r="AB1443" t="s">
        <v>15868</v>
      </c>
    </row>
    <row r="1444" spans="1:28" x14ac:dyDescent="0.25">
      <c r="A1444" t="s">
        <v>1448</v>
      </c>
      <c r="B1444">
        <v>0.98018197421672304</v>
      </c>
      <c r="C1444">
        <v>1.0518620003974799</v>
      </c>
      <c r="D1444">
        <v>1.0211585032072501</v>
      </c>
      <c r="E1444">
        <v>0.71086410088968799</v>
      </c>
      <c r="F1444">
        <v>0.38389530277601702</v>
      </c>
      <c r="G1444">
        <v>0.25157299021358098</v>
      </c>
      <c r="H1444">
        <v>0.18842064357879701</v>
      </c>
      <c r="I1444">
        <v>0.113950163350358</v>
      </c>
      <c r="J1444">
        <v>0.13582779609679899</v>
      </c>
      <c r="K1444">
        <v>5.9790965651520402E-2</v>
      </c>
      <c r="L1444">
        <v>1315.84268602937</v>
      </c>
      <c r="M1444">
        <v>25.564273871127401</v>
      </c>
      <c r="N1444">
        <v>52.068521399122801</v>
      </c>
      <c r="O1444">
        <v>51.160084120097601</v>
      </c>
      <c r="P1444">
        <v>-0.109064788400128</v>
      </c>
      <c r="Q1444">
        <v>0.126954424544723</v>
      </c>
      <c r="R1444">
        <v>0.98765718342624198</v>
      </c>
      <c r="S1444" t="s">
        <v>5073</v>
      </c>
      <c r="T1444" t="s">
        <v>7256</v>
      </c>
      <c r="U1444" t="s">
        <v>7256</v>
      </c>
      <c r="V1444" t="s">
        <v>7256</v>
      </c>
      <c r="W1444">
        <v>3</v>
      </c>
      <c r="X1444" t="s">
        <v>8700</v>
      </c>
      <c r="Y1444">
        <v>0.46839457638956578</v>
      </c>
      <c r="Z1444" t="str">
        <f>HYPERLINK("Melting_Curves/meltCurve_sp_Q13217_DNJC3_HUMAN_.pdf", "Melting_Curves/meltCurve_sp_Q13217_DNJC3_HUMAN_.pdf")</f>
        <v>Melting_Curves/meltCurve_sp_Q13217_DNJC3_HUMAN_.pdf</v>
      </c>
      <c r="AA1444" t="s">
        <v>12304</v>
      </c>
      <c r="AB1444" t="s">
        <v>15869</v>
      </c>
    </row>
    <row r="1445" spans="1:28" x14ac:dyDescent="0.25">
      <c r="A1445" t="s">
        <v>1449</v>
      </c>
      <c r="B1445">
        <v>0.98018197421672304</v>
      </c>
      <c r="C1445">
        <v>0.88067005038830504</v>
      </c>
      <c r="D1445">
        <v>0.92494172708922395</v>
      </c>
      <c r="E1445">
        <v>0.80748803292034999</v>
      </c>
      <c r="F1445">
        <v>0.77351236427745096</v>
      </c>
      <c r="G1445">
        <v>0.57945201379132805</v>
      </c>
      <c r="H1445">
        <v>0.43515898121962499</v>
      </c>
      <c r="I1445">
        <v>0.44403557146075101</v>
      </c>
      <c r="J1445">
        <v>0.40001914716380899</v>
      </c>
      <c r="K1445">
        <v>0.49049587730833399</v>
      </c>
      <c r="L1445">
        <v>639.67165951418599</v>
      </c>
      <c r="M1445">
        <v>11.9423178813791</v>
      </c>
      <c r="N1445">
        <v>60.841900759977797</v>
      </c>
      <c r="O1445">
        <v>52.12780901715</v>
      </c>
      <c r="P1445">
        <v>-3.5508215851970101E-2</v>
      </c>
      <c r="Q1445">
        <v>0.380183643744955</v>
      </c>
      <c r="R1445">
        <v>0.94978309135526495</v>
      </c>
      <c r="S1445" t="s">
        <v>5074</v>
      </c>
      <c r="T1445" t="s">
        <v>7256</v>
      </c>
      <c r="U1445" t="s">
        <v>7256</v>
      </c>
      <c r="V1445" t="s">
        <v>7256</v>
      </c>
      <c r="W1445">
        <v>37</v>
      </c>
      <c r="X1445" t="s">
        <v>8701</v>
      </c>
      <c r="Y1445">
        <v>0.67733927367771629</v>
      </c>
      <c r="Z1445" t="str">
        <f>HYPERLINK("Melting_Curves/meltCurve_sp_Q13228_SBP1_HUMAN_.pdf", "Melting_Curves/meltCurve_sp_Q13228_SBP1_HUMAN_.pdf")</f>
        <v>Melting_Curves/meltCurve_sp_Q13228_SBP1_HUMAN_.pdf</v>
      </c>
      <c r="AA1445" t="s">
        <v>12305</v>
      </c>
      <c r="AB1445" t="s">
        <v>15870</v>
      </c>
    </row>
    <row r="1446" spans="1:28" x14ac:dyDescent="0.25">
      <c r="A1446" t="s">
        <v>1450</v>
      </c>
      <c r="B1446">
        <v>0.98018197421672304</v>
      </c>
      <c r="C1446">
        <v>1.00927734261211</v>
      </c>
      <c r="D1446">
        <v>0.93779497173273396</v>
      </c>
      <c r="E1446">
        <v>0.88001542075018602</v>
      </c>
      <c r="F1446">
        <v>0.67600394184619805</v>
      </c>
      <c r="G1446">
        <v>0.58462706541450804</v>
      </c>
      <c r="H1446">
        <v>0.39505557524287199</v>
      </c>
      <c r="I1446">
        <v>0.26447233970867101</v>
      </c>
      <c r="J1446">
        <v>9.2293388944862206E-2</v>
      </c>
      <c r="K1446">
        <v>6.1050878854720401E-2</v>
      </c>
      <c r="L1446">
        <v>697.99534335474596</v>
      </c>
      <c r="M1446">
        <v>12.076610394469199</v>
      </c>
      <c r="N1446">
        <v>57.797266025749401</v>
      </c>
      <c r="O1446">
        <v>56.280961368503498</v>
      </c>
      <c r="P1446">
        <v>-5.3656914544181797E-2</v>
      </c>
      <c r="Q1446">
        <v>0</v>
      </c>
      <c r="R1446">
        <v>0.98481914817750105</v>
      </c>
      <c r="S1446" t="s">
        <v>5075</v>
      </c>
      <c r="T1446" t="s">
        <v>7256</v>
      </c>
      <c r="U1446" t="s">
        <v>7256</v>
      </c>
      <c r="V1446" t="s">
        <v>7256</v>
      </c>
      <c r="W1446">
        <v>10</v>
      </c>
      <c r="X1446" t="s">
        <v>8702</v>
      </c>
      <c r="Y1446">
        <v>0.60688145580540598</v>
      </c>
      <c r="Z1446" t="str">
        <f>HYPERLINK("Melting_Curves/meltCurve_sp_Q13232_NDK3_HUMAN_.pdf", "Melting_Curves/meltCurve_sp_Q13232_NDK3_HUMAN_.pdf")</f>
        <v>Melting_Curves/meltCurve_sp_Q13232_NDK3_HUMAN_.pdf</v>
      </c>
      <c r="AA1446" t="s">
        <v>12306</v>
      </c>
      <c r="AB1446" t="s">
        <v>15871</v>
      </c>
    </row>
    <row r="1447" spans="1:28" x14ac:dyDescent="0.25">
      <c r="A1447" t="s">
        <v>1451</v>
      </c>
      <c r="B1447">
        <v>0.98018197421672304</v>
      </c>
      <c r="C1447">
        <v>0.79304821138036796</v>
      </c>
      <c r="D1447">
        <v>0.88971342324186797</v>
      </c>
      <c r="E1447">
        <v>0.88052233892036902</v>
      </c>
      <c r="F1447">
        <v>0.79507960995475602</v>
      </c>
      <c r="G1447">
        <v>0.71016767120476298</v>
      </c>
      <c r="H1447">
        <v>0.46932572940946399</v>
      </c>
      <c r="I1447">
        <v>0.224023501327069</v>
      </c>
      <c r="J1447">
        <v>0.24627556240258</v>
      </c>
      <c r="K1447">
        <v>0.233983156816196</v>
      </c>
      <c r="L1447">
        <v>595.15600124365994</v>
      </c>
      <c r="M1447">
        <v>9.9508443898851908</v>
      </c>
      <c r="N1447">
        <v>59.809582732603701</v>
      </c>
      <c r="O1447">
        <v>57.544527539703601</v>
      </c>
      <c r="P1447">
        <v>-4.3252485215627599E-2</v>
      </c>
      <c r="Q1447">
        <v>0</v>
      </c>
      <c r="R1447">
        <v>0.92086166967693495</v>
      </c>
      <c r="S1447" t="s">
        <v>5076</v>
      </c>
      <c r="T1447" t="s">
        <v>7256</v>
      </c>
      <c r="U1447" t="s">
        <v>7256</v>
      </c>
      <c r="V1447" t="s">
        <v>7256</v>
      </c>
      <c r="W1447">
        <v>5</v>
      </c>
      <c r="X1447" t="s">
        <v>8703</v>
      </c>
      <c r="Y1447">
        <v>0.65758847656136632</v>
      </c>
      <c r="Z1447" t="str">
        <f>HYPERLINK("Melting_Curves/meltCurve_sp_Q13243_3_SRSF5_HUMAN_.pdf", "Melting_Curves/meltCurve_sp_Q13243_3_SRSF5_HUMAN_.pdf")</f>
        <v>Melting_Curves/meltCurve_sp_Q13243_3_SRSF5_HUMAN_.pdf</v>
      </c>
      <c r="AA1447" t="s">
        <v>12307</v>
      </c>
      <c r="AB1447" t="s">
        <v>15872</v>
      </c>
    </row>
    <row r="1448" spans="1:28" x14ac:dyDescent="0.25">
      <c r="A1448" t="s">
        <v>1452</v>
      </c>
      <c r="B1448">
        <v>0.98018197421672304</v>
      </c>
      <c r="C1448">
        <v>0.92170155707044499</v>
      </c>
      <c r="D1448">
        <v>0.90871296237126897</v>
      </c>
      <c r="E1448">
        <v>0.77802712340997704</v>
      </c>
      <c r="F1448">
        <v>0.78429817363504295</v>
      </c>
      <c r="G1448">
        <v>0.60119651768914895</v>
      </c>
      <c r="H1448">
        <v>0.47814005972301798</v>
      </c>
      <c r="I1448">
        <v>0.44361705172706301</v>
      </c>
      <c r="J1448">
        <v>0.42766843446610397</v>
      </c>
      <c r="K1448">
        <v>0.38738720421706802</v>
      </c>
      <c r="L1448">
        <v>481.840656921245</v>
      </c>
      <c r="M1448">
        <v>8.5956971181813895</v>
      </c>
      <c r="N1448">
        <v>61.532366524118302</v>
      </c>
      <c r="O1448">
        <v>53.2694946372985</v>
      </c>
      <c r="P1448">
        <v>-2.95816694773962E-2</v>
      </c>
      <c r="Q1448">
        <v>0.26733552788514298</v>
      </c>
      <c r="R1448">
        <v>0.98473642644272097</v>
      </c>
      <c r="S1448" t="s">
        <v>5077</v>
      </c>
      <c r="T1448" t="s">
        <v>7256</v>
      </c>
      <c r="U1448" t="s">
        <v>7256</v>
      </c>
      <c r="V1448" t="s">
        <v>7256</v>
      </c>
      <c r="W1448">
        <v>7</v>
      </c>
      <c r="X1448" t="s">
        <v>8704</v>
      </c>
      <c r="Y1448">
        <v>0.67419445036973646</v>
      </c>
      <c r="Z1448" t="str">
        <f>HYPERLINK("Melting_Curves/meltCurve_sp_Q13247_3_SRSF6_HUMAN_.pdf", "Melting_Curves/meltCurve_sp_Q13247_3_SRSF6_HUMAN_.pdf")</f>
        <v>Melting_Curves/meltCurve_sp_Q13247_3_SRSF6_HUMAN_.pdf</v>
      </c>
      <c r="AA1448" t="s">
        <v>12308</v>
      </c>
      <c r="AB1448" t="s">
        <v>15873</v>
      </c>
    </row>
    <row r="1449" spans="1:28" x14ac:dyDescent="0.25">
      <c r="A1449" t="s">
        <v>1453</v>
      </c>
      <c r="B1449">
        <v>0.98018197421672304</v>
      </c>
      <c r="C1449">
        <v>0.96194773053575</v>
      </c>
      <c r="D1449">
        <v>0.84970832595033996</v>
      </c>
      <c r="E1449">
        <v>0.63213262458171304</v>
      </c>
      <c r="F1449">
        <v>0.45206920775647003</v>
      </c>
      <c r="G1449">
        <v>0.27763385457427198</v>
      </c>
      <c r="H1449">
        <v>0.14570909227407799</v>
      </c>
      <c r="I1449">
        <v>8.7917876989092203E-2</v>
      </c>
      <c r="J1449">
        <v>0.16219739489340801</v>
      </c>
      <c r="K1449">
        <v>7.5551531475103004E-2</v>
      </c>
      <c r="L1449">
        <v>726.65928211270398</v>
      </c>
      <c r="M1449">
        <v>14.088870811854701</v>
      </c>
      <c r="N1449">
        <v>52.1294660357282</v>
      </c>
      <c r="O1449">
        <v>50.571088557866297</v>
      </c>
      <c r="P1449">
        <v>-6.4825656466093506E-2</v>
      </c>
      <c r="Q1449">
        <v>6.9370177253545703E-2</v>
      </c>
      <c r="R1449">
        <v>0.995115542687938</v>
      </c>
      <c r="S1449" t="s">
        <v>5078</v>
      </c>
      <c r="T1449" t="s">
        <v>7256</v>
      </c>
      <c r="U1449" t="s">
        <v>7256</v>
      </c>
      <c r="V1449" t="s">
        <v>7256</v>
      </c>
      <c r="W1449">
        <v>1</v>
      </c>
      <c r="X1449" t="s">
        <v>8705</v>
      </c>
      <c r="Y1449">
        <v>0.45175545090900981</v>
      </c>
      <c r="Z1449" t="str">
        <f>HYPERLINK("Melting_Curves/meltCurve_sp_Q13257_MD2L1_HUMAN_.pdf", "Melting_Curves/meltCurve_sp_Q13257_MD2L1_HUMAN_.pdf")</f>
        <v>Melting_Curves/meltCurve_sp_Q13257_MD2L1_HUMAN_.pdf</v>
      </c>
      <c r="AA1449" t="s">
        <v>12309</v>
      </c>
      <c r="AB1449" t="s">
        <v>15874</v>
      </c>
    </row>
    <row r="1450" spans="1:28" x14ac:dyDescent="0.25">
      <c r="A1450" t="s">
        <v>1454</v>
      </c>
      <c r="B1450">
        <v>0.98018197421672304</v>
      </c>
      <c r="C1450">
        <v>0.90233983686852604</v>
      </c>
      <c r="D1450">
        <v>0.79827611880716298</v>
      </c>
      <c r="E1450">
        <v>0.597597702741964</v>
      </c>
      <c r="F1450">
        <v>0.35440656470021198</v>
      </c>
      <c r="G1450">
        <v>0.18726082189518001</v>
      </c>
      <c r="H1450">
        <v>0.131669899260109</v>
      </c>
      <c r="I1450">
        <v>0.115678543285058</v>
      </c>
      <c r="J1450">
        <v>0.13826691362598501</v>
      </c>
      <c r="K1450">
        <v>0.12264386687585301</v>
      </c>
      <c r="L1450">
        <v>768.23646957620394</v>
      </c>
      <c r="M1450">
        <v>15.3413083743117</v>
      </c>
      <c r="N1450">
        <v>50.7675375046135</v>
      </c>
      <c r="O1450">
        <v>49.248611473634703</v>
      </c>
      <c r="P1450">
        <v>-7.0543430301660007E-2</v>
      </c>
      <c r="Q1450">
        <v>9.4250851191745796E-2</v>
      </c>
      <c r="R1450">
        <v>0.99491561954691199</v>
      </c>
      <c r="S1450" t="s">
        <v>5079</v>
      </c>
      <c r="T1450" t="s">
        <v>7256</v>
      </c>
      <c r="U1450" t="s">
        <v>7256</v>
      </c>
      <c r="V1450" t="s">
        <v>7256</v>
      </c>
      <c r="W1450">
        <v>12</v>
      </c>
      <c r="X1450" t="s">
        <v>8706</v>
      </c>
      <c r="Y1450">
        <v>0.41917567625846802</v>
      </c>
      <c r="Z1450" t="str">
        <f>HYPERLINK("Melting_Curves/meltCurve_sp_Q13263_TIF1B_HUMAN_.pdf", "Melting_Curves/meltCurve_sp_Q13263_TIF1B_HUMAN_.pdf")</f>
        <v>Melting_Curves/meltCurve_sp_Q13263_TIF1B_HUMAN_.pdf</v>
      </c>
      <c r="AA1450" t="s">
        <v>12310</v>
      </c>
      <c r="AB1450" t="s">
        <v>15875</v>
      </c>
    </row>
    <row r="1451" spans="1:28" x14ac:dyDescent="0.25">
      <c r="A1451" t="s">
        <v>1455</v>
      </c>
      <c r="B1451">
        <v>0.98018197421672304</v>
      </c>
      <c r="C1451">
        <v>1.0070900245635399</v>
      </c>
      <c r="D1451">
        <v>0.77303740970599999</v>
      </c>
      <c r="E1451">
        <v>0.68499764049370604</v>
      </c>
      <c r="F1451">
        <v>0.41414816995391601</v>
      </c>
      <c r="G1451">
        <v>0.21753358820862101</v>
      </c>
      <c r="H1451">
        <v>0.15812801287650899</v>
      </c>
      <c r="I1451">
        <v>0.13045886762609199</v>
      </c>
      <c r="J1451">
        <v>0.18901703296097</v>
      </c>
      <c r="K1451">
        <v>0.15894938557466301</v>
      </c>
      <c r="L1451">
        <v>835.69981543343101</v>
      </c>
      <c r="M1451">
        <v>16.465789747762901</v>
      </c>
      <c r="N1451">
        <v>51.693314558465701</v>
      </c>
      <c r="O1451">
        <v>50.0228153457481</v>
      </c>
      <c r="P1451">
        <v>-7.1653810036820906E-2</v>
      </c>
      <c r="Q1451">
        <v>0.12932832742397801</v>
      </c>
      <c r="R1451">
        <v>0.98230610596481105</v>
      </c>
      <c r="S1451" t="s">
        <v>5080</v>
      </c>
      <c r="T1451" t="s">
        <v>7256</v>
      </c>
      <c r="U1451" t="s">
        <v>7256</v>
      </c>
      <c r="V1451" t="s">
        <v>7256</v>
      </c>
      <c r="W1451">
        <v>9</v>
      </c>
      <c r="X1451" t="s">
        <v>8707</v>
      </c>
      <c r="Y1451">
        <v>0.45869058559004139</v>
      </c>
      <c r="Z1451" t="str">
        <f>HYPERLINK("Melting_Curves/meltCurve_sp_Q13283_G3BP1_HUMAN_.pdf", "Melting_Curves/meltCurve_sp_Q13283_G3BP1_HUMAN_.pdf")</f>
        <v>Melting_Curves/meltCurve_sp_Q13283_G3BP1_HUMAN_.pdf</v>
      </c>
      <c r="AA1451" t="s">
        <v>12311</v>
      </c>
      <c r="AB1451" t="s">
        <v>15876</v>
      </c>
    </row>
    <row r="1452" spans="1:28" x14ac:dyDescent="0.25">
      <c r="A1452" t="s">
        <v>1456</v>
      </c>
      <c r="B1452">
        <v>0.98018197421672304</v>
      </c>
      <c r="C1452">
        <v>0.95187783698434303</v>
      </c>
      <c r="D1452">
        <v>0.91569768840996801</v>
      </c>
      <c r="E1452">
        <v>0.77876918701872899</v>
      </c>
      <c r="F1452">
        <v>0.61608139046668497</v>
      </c>
      <c r="G1452">
        <v>0.24322371154932501</v>
      </c>
      <c r="H1452">
        <v>5.5328043005815598E-2</v>
      </c>
      <c r="I1452">
        <v>3.8501641548502101E-2</v>
      </c>
      <c r="J1452">
        <v>2.1794848489384799E-2</v>
      </c>
      <c r="K1452">
        <v>2.3569246130599301E-2</v>
      </c>
      <c r="L1452">
        <v>1021.69207610816</v>
      </c>
      <c r="M1452">
        <v>19.005189168349101</v>
      </c>
      <c r="N1452">
        <v>53.7585853072096</v>
      </c>
      <c r="O1452">
        <v>53.174009939119799</v>
      </c>
      <c r="P1452">
        <v>-8.9357314978096999E-2</v>
      </c>
      <c r="Q1452">
        <v>0</v>
      </c>
      <c r="R1452">
        <v>0.994449232418817</v>
      </c>
      <c r="S1452" t="s">
        <v>5081</v>
      </c>
      <c r="T1452" t="s">
        <v>7256</v>
      </c>
      <c r="U1452" t="s">
        <v>7256</v>
      </c>
      <c r="V1452" t="s">
        <v>7256</v>
      </c>
      <c r="W1452">
        <v>4</v>
      </c>
      <c r="X1452" t="s">
        <v>8708</v>
      </c>
      <c r="Y1452">
        <v>0.47342434509369841</v>
      </c>
      <c r="Z1452" t="str">
        <f>HYPERLINK("Melting_Curves/meltCurve_sp_Q13287_NMI_HUMAN_.pdf", "Melting_Curves/meltCurve_sp_Q13287_NMI_HUMAN_.pdf")</f>
        <v>Melting_Curves/meltCurve_sp_Q13287_NMI_HUMAN_.pdf</v>
      </c>
      <c r="AA1452" t="s">
        <v>12312</v>
      </c>
      <c r="AB1452" t="s">
        <v>15877</v>
      </c>
    </row>
    <row r="1453" spans="1:28" x14ac:dyDescent="0.25">
      <c r="A1453" t="s">
        <v>1457</v>
      </c>
      <c r="B1453">
        <v>0.98018197421672304</v>
      </c>
      <c r="C1453">
        <v>0.99208057570387198</v>
      </c>
      <c r="D1453">
        <v>0.91087721309803704</v>
      </c>
      <c r="E1453">
        <v>0.68915365359838199</v>
      </c>
      <c r="F1453">
        <v>0.44289747065631502</v>
      </c>
      <c r="G1453">
        <v>0.188463968456827</v>
      </c>
      <c r="H1453">
        <v>9.4174745851755004E-2</v>
      </c>
      <c r="I1453">
        <v>7.4136035596661404E-2</v>
      </c>
      <c r="J1453">
        <v>8.4106248963094807E-2</v>
      </c>
      <c r="K1453">
        <v>6.1267301596510303E-2</v>
      </c>
      <c r="L1453">
        <v>991.56052638382198</v>
      </c>
      <c r="M1453">
        <v>19.115955818495902</v>
      </c>
      <c r="N1453">
        <v>52.184051653062603</v>
      </c>
      <c r="O1453">
        <v>51.3131815480452</v>
      </c>
      <c r="P1453">
        <v>-8.8089317975622902E-2</v>
      </c>
      <c r="Q1453">
        <v>5.4200075365282097E-2</v>
      </c>
      <c r="R1453">
        <v>0.99918771982576104</v>
      </c>
      <c r="S1453" t="s">
        <v>5082</v>
      </c>
      <c r="T1453" t="s">
        <v>7256</v>
      </c>
      <c r="U1453" t="s">
        <v>7256</v>
      </c>
      <c r="V1453" t="s">
        <v>7256</v>
      </c>
      <c r="W1453">
        <v>20</v>
      </c>
      <c r="X1453" t="s">
        <v>8709</v>
      </c>
      <c r="Y1453">
        <v>0.44264425304675042</v>
      </c>
      <c r="Z1453" t="str">
        <f>HYPERLINK("Melting_Curves/meltCurve_sp_Q13310_3_PABP4_HUMAN_.pdf", "Melting_Curves/meltCurve_sp_Q13310_3_PABP4_HUMAN_.pdf")</f>
        <v>Melting_Curves/meltCurve_sp_Q13310_3_PABP4_HUMAN_.pdf</v>
      </c>
      <c r="AA1453" t="s">
        <v>12313</v>
      </c>
      <c r="AB1453" t="s">
        <v>15878</v>
      </c>
    </row>
    <row r="1454" spans="1:28" x14ac:dyDescent="0.25">
      <c r="A1454" t="s">
        <v>1458</v>
      </c>
      <c r="B1454">
        <v>0.98018197421672304</v>
      </c>
      <c r="C1454">
        <v>0.63704372837184398</v>
      </c>
      <c r="D1454">
        <v>0.65266549279689101</v>
      </c>
      <c r="E1454">
        <v>0.58401033458548601</v>
      </c>
      <c r="F1454">
        <v>0.47648298354574398</v>
      </c>
      <c r="G1454">
        <v>0.26151920932831701</v>
      </c>
      <c r="H1454">
        <v>0.228956910238095</v>
      </c>
      <c r="I1454">
        <v>0.22266226794466901</v>
      </c>
      <c r="J1454">
        <v>0.44748011354886102</v>
      </c>
      <c r="K1454">
        <v>0.29462939808889799</v>
      </c>
      <c r="L1454">
        <v>477.318949299427</v>
      </c>
      <c r="M1454">
        <v>10.3019481184631</v>
      </c>
      <c r="N1454">
        <v>49.930152004866898</v>
      </c>
      <c r="O1454">
        <v>44.688915555710302</v>
      </c>
      <c r="P1454">
        <v>-4.25521262643078E-2</v>
      </c>
      <c r="Q1454">
        <v>0.26197089458925399</v>
      </c>
      <c r="R1454">
        <v>0.83389026700030799</v>
      </c>
      <c r="S1454" t="s">
        <v>5083</v>
      </c>
      <c r="T1454" t="s">
        <v>7256</v>
      </c>
      <c r="U1454" t="s">
        <v>7256</v>
      </c>
      <c r="V1454" t="s">
        <v>7256</v>
      </c>
      <c r="W1454">
        <v>20</v>
      </c>
      <c r="X1454" t="s">
        <v>8710</v>
      </c>
      <c r="Y1454">
        <v>0.46048115083271057</v>
      </c>
      <c r="Z1454" t="str">
        <f>HYPERLINK("Melting_Curves/meltCurve_sp_Q13310_PABP4_HUMAN_.pdf", "Melting_Curves/meltCurve_sp_Q13310_PABP4_HUMAN_.pdf")</f>
        <v>Melting_Curves/meltCurve_sp_Q13310_PABP4_HUMAN_.pdf</v>
      </c>
      <c r="AA1454" t="s">
        <v>12313</v>
      </c>
      <c r="AB1454" t="s">
        <v>15879</v>
      </c>
    </row>
    <row r="1455" spans="1:28" x14ac:dyDescent="0.25">
      <c r="A1455" t="s">
        <v>1459</v>
      </c>
      <c r="B1455">
        <v>0.98018197421672304</v>
      </c>
      <c r="C1455">
        <v>0.96095172732511702</v>
      </c>
      <c r="D1455">
        <v>0.855532690451141</v>
      </c>
      <c r="E1455">
        <v>0.68792440656075704</v>
      </c>
      <c r="F1455">
        <v>0.36120734381998498</v>
      </c>
      <c r="G1455">
        <v>0.121141706501716</v>
      </c>
      <c r="H1455">
        <v>0.104786213350633</v>
      </c>
      <c r="I1455">
        <v>8.9262464602749406E-2</v>
      </c>
      <c r="J1455">
        <v>0.19026489443241501</v>
      </c>
      <c r="K1455">
        <v>2.4149737325271599E-2</v>
      </c>
      <c r="L1455">
        <v>1093.9090491193999</v>
      </c>
      <c r="M1455">
        <v>21.429518556645899</v>
      </c>
      <c r="N1455">
        <v>51.471799663440102</v>
      </c>
      <c r="O1455">
        <v>50.608543053114602</v>
      </c>
      <c r="P1455">
        <v>-9.7278260691759003E-2</v>
      </c>
      <c r="Q1455">
        <v>8.1082593769862599E-2</v>
      </c>
      <c r="R1455">
        <v>0.98265247227543595</v>
      </c>
      <c r="S1455" t="s">
        <v>5084</v>
      </c>
      <c r="T1455" t="s">
        <v>7256</v>
      </c>
      <c r="U1455" t="s">
        <v>7256</v>
      </c>
      <c r="V1455" t="s">
        <v>7256</v>
      </c>
      <c r="W1455">
        <v>1</v>
      </c>
      <c r="X1455" t="s">
        <v>8711</v>
      </c>
      <c r="Y1455">
        <v>0.43064991995229268</v>
      </c>
      <c r="Z1455" t="str">
        <f>HYPERLINK("Melting_Curves/meltCurve_sp_Q13315_ATM_HUMAN_.pdf", "Melting_Curves/meltCurve_sp_Q13315_ATM_HUMAN_.pdf")</f>
        <v>Melting_Curves/meltCurve_sp_Q13315_ATM_HUMAN_.pdf</v>
      </c>
      <c r="AA1455" t="s">
        <v>12314</v>
      </c>
      <c r="AB1455" t="s">
        <v>15880</v>
      </c>
    </row>
    <row r="1456" spans="1:28" x14ac:dyDescent="0.25">
      <c r="A1456" t="s">
        <v>1460</v>
      </c>
      <c r="B1456">
        <v>0.98018197421672304</v>
      </c>
      <c r="C1456">
        <v>0.90865948285946696</v>
      </c>
      <c r="D1456">
        <v>0.90667858925719602</v>
      </c>
      <c r="E1456">
        <v>0.481909026995754</v>
      </c>
      <c r="F1456">
        <v>0.229231366621831</v>
      </c>
      <c r="G1456">
        <v>0.13761591422490699</v>
      </c>
      <c r="H1456">
        <v>0.105537374537833</v>
      </c>
      <c r="I1456">
        <v>6.9969470433629805E-2</v>
      </c>
      <c r="J1456">
        <v>7.9737778273377302E-2</v>
      </c>
      <c r="K1456">
        <v>6.8668429200186107E-2</v>
      </c>
      <c r="L1456">
        <v>1192.65512494222</v>
      </c>
      <c r="M1456">
        <v>24.075407122274498</v>
      </c>
      <c r="N1456">
        <v>49.897777326864301</v>
      </c>
      <c r="O1456">
        <v>49.200332155708303</v>
      </c>
      <c r="P1456">
        <v>-0.112595759384279</v>
      </c>
      <c r="Q1456">
        <v>7.9614774320870704E-2</v>
      </c>
      <c r="R1456">
        <v>0.99468801018588004</v>
      </c>
      <c r="S1456" t="s">
        <v>5085</v>
      </c>
      <c r="T1456" t="s">
        <v>7256</v>
      </c>
      <c r="U1456" t="s">
        <v>7256</v>
      </c>
      <c r="V1456" t="s">
        <v>7256</v>
      </c>
      <c r="W1456">
        <v>3</v>
      </c>
      <c r="X1456" t="s">
        <v>8712</v>
      </c>
      <c r="Y1456">
        <v>0.38108701988328242</v>
      </c>
      <c r="Z1456" t="str">
        <f>HYPERLINK("Melting_Curves/meltCurve_sp_Q13325_IFIT5_HUMAN_.pdf", "Melting_Curves/meltCurve_sp_Q13325_IFIT5_HUMAN_.pdf")</f>
        <v>Melting_Curves/meltCurve_sp_Q13325_IFIT5_HUMAN_.pdf</v>
      </c>
      <c r="AA1456" t="s">
        <v>12315</v>
      </c>
      <c r="AB1456" t="s">
        <v>15881</v>
      </c>
    </row>
    <row r="1457" spans="1:28" x14ac:dyDescent="0.25">
      <c r="A1457" t="s">
        <v>1461</v>
      </c>
      <c r="B1457">
        <v>0.98018197421672304</v>
      </c>
      <c r="C1457">
        <v>0.95357382973881699</v>
      </c>
      <c r="D1457">
        <v>0.95990887184840601</v>
      </c>
      <c r="E1457">
        <v>0.61707660587226099</v>
      </c>
      <c r="F1457">
        <v>0.32547912681892299</v>
      </c>
      <c r="G1457">
        <v>0.148823784023765</v>
      </c>
      <c r="H1457">
        <v>0.13337708998247599</v>
      </c>
      <c r="I1457">
        <v>9.2364875164858196E-2</v>
      </c>
      <c r="J1457">
        <v>0.102133771007929</v>
      </c>
      <c r="K1457">
        <v>4.9528005915066203E-2</v>
      </c>
      <c r="L1457">
        <v>1241.07335734291</v>
      </c>
      <c r="M1457">
        <v>24.460653016576</v>
      </c>
      <c r="N1457">
        <v>51.144040998187101</v>
      </c>
      <c r="O1457">
        <v>50.402073321717502</v>
      </c>
      <c r="P1457">
        <v>-0.110610814963787</v>
      </c>
      <c r="Q1457">
        <v>8.8342789562743093E-2</v>
      </c>
      <c r="R1457">
        <v>0.99641648395284099</v>
      </c>
      <c r="S1457" t="s">
        <v>5086</v>
      </c>
      <c r="T1457" t="s">
        <v>7256</v>
      </c>
      <c r="U1457" t="s">
        <v>7256</v>
      </c>
      <c r="V1457" t="s">
        <v>7256</v>
      </c>
      <c r="W1457">
        <v>1</v>
      </c>
      <c r="X1457" t="s">
        <v>8713</v>
      </c>
      <c r="Y1457">
        <v>0.42321523165367908</v>
      </c>
      <c r="Z1457" t="str">
        <f>HYPERLINK("Melting_Curves/meltCurve_sp_Q13330_3_MTA1_HUMAN_.pdf", "Melting_Curves/meltCurve_sp_Q13330_3_MTA1_HUMAN_.pdf")</f>
        <v>Melting_Curves/meltCurve_sp_Q13330_3_MTA1_HUMAN_.pdf</v>
      </c>
      <c r="AA1457" t="s">
        <v>12316</v>
      </c>
      <c r="AB1457" t="s">
        <v>15882</v>
      </c>
    </row>
    <row r="1458" spans="1:28" x14ac:dyDescent="0.25">
      <c r="A1458" t="s">
        <v>1462</v>
      </c>
      <c r="B1458">
        <v>0.98018197421672304</v>
      </c>
      <c r="C1458">
        <v>0.87612991016351804</v>
      </c>
      <c r="D1458">
        <v>0.58365551557088902</v>
      </c>
      <c r="E1458">
        <v>0.22071480031021701</v>
      </c>
      <c r="F1458">
        <v>0.110960382970233</v>
      </c>
      <c r="G1458">
        <v>7.1179203110227601E-2</v>
      </c>
      <c r="H1458">
        <v>4.6574725924013599E-2</v>
      </c>
      <c r="I1458">
        <v>3.3940243979502099E-2</v>
      </c>
      <c r="J1458">
        <v>3.3397960098519197E-2</v>
      </c>
      <c r="K1458">
        <v>3.02553475776004E-2</v>
      </c>
      <c r="L1458">
        <v>996.576696073059</v>
      </c>
      <c r="M1458">
        <v>21.370574485167701</v>
      </c>
      <c r="N1458">
        <v>46.803181322694797</v>
      </c>
      <c r="O1458">
        <v>46.230561125810901</v>
      </c>
      <c r="P1458">
        <v>-0.111251052043181</v>
      </c>
      <c r="Q1458">
        <v>3.7355005208956397E-2</v>
      </c>
      <c r="R1458">
        <v>0.99960723356411896</v>
      </c>
      <c r="S1458" t="s">
        <v>5087</v>
      </c>
      <c r="T1458" t="s">
        <v>7256</v>
      </c>
      <c r="U1458" t="s">
        <v>7256</v>
      </c>
      <c r="V1458" t="s">
        <v>7256</v>
      </c>
      <c r="W1458">
        <v>4</v>
      </c>
      <c r="X1458" t="s">
        <v>8714</v>
      </c>
      <c r="Y1458">
        <v>0.26254365749413983</v>
      </c>
      <c r="Z1458" t="str">
        <f>HYPERLINK("Melting_Curves/meltCurve_sp_Q13347_EIF3I_HUMAN_.pdf", "Melting_Curves/meltCurve_sp_Q13347_EIF3I_HUMAN_.pdf")</f>
        <v>Melting_Curves/meltCurve_sp_Q13347_EIF3I_HUMAN_.pdf</v>
      </c>
      <c r="AA1458" t="s">
        <v>12317</v>
      </c>
      <c r="AB1458" t="s">
        <v>15883</v>
      </c>
    </row>
    <row r="1459" spans="1:28" x14ac:dyDescent="0.25">
      <c r="A1459" t="s">
        <v>1463</v>
      </c>
      <c r="B1459">
        <v>0.98018197421672304</v>
      </c>
      <c r="C1459">
        <v>0.96014376602009199</v>
      </c>
      <c r="D1459">
        <v>0.82645751293507097</v>
      </c>
      <c r="E1459">
        <v>0.53433252638614503</v>
      </c>
      <c r="F1459">
        <v>0.311353704565133</v>
      </c>
      <c r="G1459">
        <v>0.18256800424102201</v>
      </c>
      <c r="H1459">
        <v>0.12668480754910599</v>
      </c>
      <c r="I1459">
        <v>9.1486306900835701E-2</v>
      </c>
      <c r="J1459">
        <v>7.81794222082874E-2</v>
      </c>
      <c r="K1459">
        <v>5.8359884274374399E-2</v>
      </c>
      <c r="L1459">
        <v>852.22146784655001</v>
      </c>
      <c r="M1459">
        <v>17.0502664487686</v>
      </c>
      <c r="N1459">
        <v>50.419924447116699</v>
      </c>
      <c r="O1459">
        <v>49.310517093622003</v>
      </c>
      <c r="P1459">
        <v>-8.0510061954369799E-2</v>
      </c>
      <c r="Q1459">
        <v>6.86948362122069E-2</v>
      </c>
      <c r="R1459">
        <v>0.99912213586476595</v>
      </c>
      <c r="S1459" t="s">
        <v>5088</v>
      </c>
      <c r="T1459" t="s">
        <v>7256</v>
      </c>
      <c r="U1459" t="s">
        <v>7256</v>
      </c>
      <c r="V1459" t="s">
        <v>7256</v>
      </c>
      <c r="W1459">
        <v>5</v>
      </c>
      <c r="X1459" t="s">
        <v>8715</v>
      </c>
      <c r="Y1459">
        <v>0.39619249909400661</v>
      </c>
      <c r="Z1459" t="str">
        <f>HYPERLINK("Melting_Curves/meltCurve_sp_Q13362_2_2A5G_HUMAN_.pdf", "Melting_Curves/meltCurve_sp_Q13362_2_2A5G_HUMAN_.pdf")</f>
        <v>Melting_Curves/meltCurve_sp_Q13362_2_2A5G_HUMAN_.pdf</v>
      </c>
      <c r="AA1459" t="s">
        <v>12318</v>
      </c>
      <c r="AB1459" t="s">
        <v>15884</v>
      </c>
    </row>
    <row r="1460" spans="1:28" x14ac:dyDescent="0.25">
      <c r="A1460" t="s">
        <v>1464</v>
      </c>
      <c r="B1460">
        <v>0.98018197421672304</v>
      </c>
      <c r="C1460">
        <v>0.95391240398681199</v>
      </c>
      <c r="D1460">
        <v>0.85463464090560504</v>
      </c>
      <c r="E1460">
        <v>0.67228064781728702</v>
      </c>
      <c r="F1460">
        <v>0.38563674155806799</v>
      </c>
      <c r="G1460">
        <v>0.24829032992019601</v>
      </c>
      <c r="H1460">
        <v>0.174769258221044</v>
      </c>
      <c r="I1460">
        <v>0.114569019283951</v>
      </c>
      <c r="J1460">
        <v>0.246809819593865</v>
      </c>
      <c r="K1460">
        <v>0.11658492577733499</v>
      </c>
      <c r="L1460">
        <v>915.51141133193698</v>
      </c>
      <c r="M1460">
        <v>18.043507789569201</v>
      </c>
      <c r="N1460">
        <v>51.7069804691155</v>
      </c>
      <c r="O1460">
        <v>50.1281836398583</v>
      </c>
      <c r="P1460">
        <v>-7.7094522814730199E-2</v>
      </c>
      <c r="Q1460">
        <v>0.143310807346574</v>
      </c>
      <c r="R1460">
        <v>0.98564673977504402</v>
      </c>
      <c r="S1460" t="s">
        <v>5089</v>
      </c>
      <c r="T1460" t="s">
        <v>7256</v>
      </c>
      <c r="U1460" t="s">
        <v>7256</v>
      </c>
      <c r="V1460" t="s">
        <v>7256</v>
      </c>
      <c r="W1460">
        <v>7</v>
      </c>
      <c r="X1460" t="s">
        <v>8716</v>
      </c>
      <c r="Y1460">
        <v>0.46439472118755137</v>
      </c>
      <c r="Z1460" t="str">
        <f>HYPERLINK("Melting_Curves/meltCurve_sp_Q13363_2_CTBP1_HUMAN_.pdf", "Melting_Curves/meltCurve_sp_Q13363_2_CTBP1_HUMAN_.pdf")</f>
        <v>Melting_Curves/meltCurve_sp_Q13363_2_CTBP1_HUMAN_.pdf</v>
      </c>
      <c r="AA1460" t="s">
        <v>12319</v>
      </c>
      <c r="AB1460" t="s">
        <v>15885</v>
      </c>
    </row>
    <row r="1461" spans="1:28" x14ac:dyDescent="0.25">
      <c r="A1461" t="s">
        <v>1465</v>
      </c>
      <c r="B1461">
        <v>0.98018197421672304</v>
      </c>
      <c r="C1461">
        <v>0.94287320007182396</v>
      </c>
      <c r="D1461">
        <v>0.78742204256122605</v>
      </c>
      <c r="E1461">
        <v>0.55585172776784098</v>
      </c>
      <c r="F1461">
        <v>0.54492927688648896</v>
      </c>
      <c r="G1461">
        <v>0.200739589646412</v>
      </c>
      <c r="H1461">
        <v>8.3572371209779894E-2</v>
      </c>
      <c r="I1461">
        <v>3.7626107473301598E-2</v>
      </c>
      <c r="J1461">
        <v>8.6853090561275895E-2</v>
      </c>
      <c r="K1461">
        <v>0</v>
      </c>
      <c r="L1461">
        <v>659.93927686029394</v>
      </c>
      <c r="M1461">
        <v>12.7665111703595</v>
      </c>
      <c r="N1461">
        <v>51.693001186460897</v>
      </c>
      <c r="O1461">
        <v>50.473900319624903</v>
      </c>
      <c r="P1461">
        <v>-6.3245218046790397E-2</v>
      </c>
      <c r="Q1461">
        <v>0</v>
      </c>
      <c r="R1461">
        <v>0.98039478649113998</v>
      </c>
      <c r="S1461" t="s">
        <v>5090</v>
      </c>
      <c r="T1461" t="s">
        <v>7256</v>
      </c>
      <c r="U1461" t="s">
        <v>7256</v>
      </c>
      <c r="V1461" t="s">
        <v>7256</v>
      </c>
      <c r="W1461">
        <v>1</v>
      </c>
      <c r="X1461" t="s">
        <v>8717</v>
      </c>
      <c r="Y1461">
        <v>0.41846546731264461</v>
      </c>
      <c r="Z1461" t="str">
        <f>HYPERLINK("Melting_Curves/meltCurve_sp_Q13395_TARB1_HUMAN_.pdf", "Melting_Curves/meltCurve_sp_Q13395_TARB1_HUMAN_.pdf")</f>
        <v>Melting_Curves/meltCurve_sp_Q13395_TARB1_HUMAN_.pdf</v>
      </c>
      <c r="AA1461" t="s">
        <v>12320</v>
      </c>
      <c r="AB1461" t="s">
        <v>15886</v>
      </c>
    </row>
    <row r="1462" spans="1:28" x14ac:dyDescent="0.25">
      <c r="A1462" t="s">
        <v>1466</v>
      </c>
      <c r="B1462">
        <v>0.98018197421672304</v>
      </c>
      <c r="C1462">
        <v>1.0365899831434999</v>
      </c>
      <c r="D1462">
        <v>0.96159599790865502</v>
      </c>
      <c r="E1462">
        <v>0.82516030822564701</v>
      </c>
      <c r="F1462">
        <v>0.83988105957322801</v>
      </c>
      <c r="G1462">
        <v>0.61605480165031501</v>
      </c>
      <c r="H1462">
        <v>0.37160706025941098</v>
      </c>
      <c r="I1462">
        <v>0.19698736972627601</v>
      </c>
      <c r="J1462">
        <v>0.16044581897735499</v>
      </c>
      <c r="K1462">
        <v>0.14753961085453099</v>
      </c>
      <c r="L1462">
        <v>798.49436847014601</v>
      </c>
      <c r="M1462">
        <v>13.7016705369311</v>
      </c>
      <c r="N1462">
        <v>58.5048325044867</v>
      </c>
      <c r="O1462">
        <v>57.077834784371099</v>
      </c>
      <c r="P1462">
        <v>-5.8463423493637798E-2</v>
      </c>
      <c r="Q1462">
        <v>2.5962458989083899E-2</v>
      </c>
      <c r="R1462">
        <v>0.98710089081639396</v>
      </c>
      <c r="S1462" t="s">
        <v>5091</v>
      </c>
      <c r="T1462" t="s">
        <v>7256</v>
      </c>
      <c r="U1462" t="s">
        <v>7256</v>
      </c>
      <c r="V1462" t="s">
        <v>7256</v>
      </c>
      <c r="W1462">
        <v>9</v>
      </c>
      <c r="X1462" t="s">
        <v>8718</v>
      </c>
      <c r="Y1462">
        <v>0.63156827582704456</v>
      </c>
      <c r="Z1462" t="str">
        <f>HYPERLINK("Melting_Curves/meltCurve_sp_Q13404_UB2V1_HUMAN_.pdf", "Melting_Curves/meltCurve_sp_Q13404_UB2V1_HUMAN_.pdf")</f>
        <v>Melting_Curves/meltCurve_sp_Q13404_UB2V1_HUMAN_.pdf</v>
      </c>
      <c r="AA1462" t="s">
        <v>12321</v>
      </c>
      <c r="AB1462" t="s">
        <v>15887</v>
      </c>
    </row>
    <row r="1463" spans="1:28" x14ac:dyDescent="0.25">
      <c r="A1463" t="s">
        <v>1467</v>
      </c>
      <c r="B1463">
        <v>0.98018197421672304</v>
      </c>
      <c r="C1463">
        <v>0.82616430067776003</v>
      </c>
      <c r="D1463">
        <v>0.82271612095836799</v>
      </c>
      <c r="E1463">
        <v>0.46710792775524901</v>
      </c>
      <c r="F1463">
        <v>0.37922810578050398</v>
      </c>
      <c r="G1463">
        <v>0.208575283369964</v>
      </c>
      <c r="H1463">
        <v>9.7351207885940996E-2</v>
      </c>
      <c r="I1463">
        <v>5.08745403830533E-2</v>
      </c>
      <c r="J1463">
        <v>5.6015198492327598E-2</v>
      </c>
      <c r="K1463">
        <v>4.1732565741375897E-2</v>
      </c>
      <c r="L1463">
        <v>605.84557150089597</v>
      </c>
      <c r="M1463">
        <v>12.037720029213199</v>
      </c>
      <c r="N1463">
        <v>50.3289301321038</v>
      </c>
      <c r="O1463">
        <v>49.000361794176797</v>
      </c>
      <c r="P1463">
        <v>-6.1431112107362303E-2</v>
      </c>
      <c r="Q1463">
        <v>0</v>
      </c>
      <c r="R1463">
        <v>0.98896067286881095</v>
      </c>
      <c r="S1463" t="s">
        <v>5092</v>
      </c>
      <c r="T1463" t="s">
        <v>7256</v>
      </c>
      <c r="U1463" t="s">
        <v>7256</v>
      </c>
      <c r="V1463" t="s">
        <v>7256</v>
      </c>
      <c r="W1463">
        <v>2</v>
      </c>
      <c r="X1463" t="s">
        <v>8719</v>
      </c>
      <c r="Y1463">
        <v>0.37808728860855711</v>
      </c>
      <c r="Z1463" t="str">
        <f>HYPERLINK("Melting_Curves/meltCurve_sp_Q13409_6_DC1I2_HUMAN_.pdf", "Melting_Curves/meltCurve_sp_Q13409_6_DC1I2_HUMAN_.pdf")</f>
        <v>Melting_Curves/meltCurve_sp_Q13409_6_DC1I2_HUMAN_.pdf</v>
      </c>
      <c r="AA1463" t="s">
        <v>12322</v>
      </c>
      <c r="AB1463" t="s">
        <v>15888</v>
      </c>
    </row>
    <row r="1464" spans="1:28" x14ac:dyDescent="0.25">
      <c r="A1464" t="s">
        <v>1468</v>
      </c>
      <c r="B1464">
        <v>0.98018197421672304</v>
      </c>
      <c r="C1464">
        <v>0.92594733887255598</v>
      </c>
      <c r="D1464">
        <v>0.70828005305905095</v>
      </c>
      <c r="E1464">
        <v>0.33784943216168001</v>
      </c>
      <c r="F1464">
        <v>0.13890476854931699</v>
      </c>
      <c r="G1464">
        <v>0.10425395742648499</v>
      </c>
      <c r="H1464">
        <v>8.7540979321750395E-2</v>
      </c>
      <c r="I1464">
        <v>4.8308336708068202E-2</v>
      </c>
      <c r="J1464">
        <v>8.1971959279648399E-2</v>
      </c>
      <c r="K1464">
        <v>4.5039778271179498E-2</v>
      </c>
      <c r="L1464">
        <v>1015.70787702032</v>
      </c>
      <c r="M1464">
        <v>21.2603953547967</v>
      </c>
      <c r="N1464">
        <v>48.070902831877497</v>
      </c>
      <c r="O1464">
        <v>47.3579979786251</v>
      </c>
      <c r="P1464">
        <v>-0.105343685250745</v>
      </c>
      <c r="Q1464">
        <v>6.1402494464779502E-2</v>
      </c>
      <c r="R1464">
        <v>0.99820524834021296</v>
      </c>
      <c r="S1464" t="s">
        <v>5093</v>
      </c>
      <c r="T1464" t="s">
        <v>7256</v>
      </c>
      <c r="U1464" t="s">
        <v>7256</v>
      </c>
      <c r="V1464" t="s">
        <v>7256</v>
      </c>
      <c r="W1464">
        <v>12</v>
      </c>
      <c r="X1464" t="s">
        <v>8720</v>
      </c>
      <c r="Y1464">
        <v>0.31640359149191333</v>
      </c>
      <c r="Z1464" t="str">
        <f>HYPERLINK("Melting_Curves/meltCurve_sp_Q13418_ILK_HUMAN_.pdf", "Melting_Curves/meltCurve_sp_Q13418_ILK_HUMAN_.pdf")</f>
        <v>Melting_Curves/meltCurve_sp_Q13418_ILK_HUMAN_.pdf</v>
      </c>
      <c r="AA1464" t="s">
        <v>12323</v>
      </c>
      <c r="AB1464" t="s">
        <v>15889</v>
      </c>
    </row>
    <row r="1465" spans="1:28" x14ac:dyDescent="0.25">
      <c r="A1465" t="s">
        <v>1469</v>
      </c>
      <c r="B1465">
        <v>0.98018197421672304</v>
      </c>
      <c r="C1465">
        <v>0.97490743531851398</v>
      </c>
      <c r="D1465">
        <v>0.74215062913136998</v>
      </c>
      <c r="E1465">
        <v>0.40018336256972498</v>
      </c>
      <c r="F1465">
        <v>0.23658800954878501</v>
      </c>
      <c r="G1465">
        <v>0.144017080905147</v>
      </c>
      <c r="H1465">
        <v>8.3475879694553404E-2</v>
      </c>
      <c r="I1465">
        <v>7.4757688982430903E-2</v>
      </c>
      <c r="J1465">
        <v>8.6187703963437098E-2</v>
      </c>
      <c r="K1465">
        <v>7.0886899561268604E-2</v>
      </c>
      <c r="L1465">
        <v>941.18917464950596</v>
      </c>
      <c r="M1465">
        <v>19.409027368865399</v>
      </c>
      <c r="N1465">
        <v>48.910173442906597</v>
      </c>
      <c r="O1465">
        <v>47.986367593496702</v>
      </c>
      <c r="P1465">
        <v>-9.3395884963476797E-2</v>
      </c>
      <c r="Q1465">
        <v>7.6395738382947206E-2</v>
      </c>
      <c r="R1465">
        <v>0.99761431634610598</v>
      </c>
      <c r="S1465" t="s">
        <v>5094</v>
      </c>
      <c r="T1465" t="s">
        <v>7256</v>
      </c>
      <c r="U1465" t="s">
        <v>7256</v>
      </c>
      <c r="V1465" t="s">
        <v>7256</v>
      </c>
      <c r="W1465">
        <v>6</v>
      </c>
      <c r="X1465" t="s">
        <v>8721</v>
      </c>
      <c r="Y1465">
        <v>0.35169700886271149</v>
      </c>
      <c r="Z1465" t="str">
        <f>HYPERLINK("Melting_Curves/meltCurve_sp_Q13423_NNTM_HUMAN_.pdf", "Melting_Curves/meltCurve_sp_Q13423_NNTM_HUMAN_.pdf")</f>
        <v>Melting_Curves/meltCurve_sp_Q13423_NNTM_HUMAN_.pdf</v>
      </c>
      <c r="AA1465" t="s">
        <v>12324</v>
      </c>
      <c r="AB1465" t="s">
        <v>15890</v>
      </c>
    </row>
    <row r="1466" spans="1:28" x14ac:dyDescent="0.25">
      <c r="A1466" t="s">
        <v>1470</v>
      </c>
      <c r="B1466">
        <v>0.98018197421672304</v>
      </c>
      <c r="C1466">
        <v>0.95451833317134405</v>
      </c>
      <c r="D1466">
        <v>0.977225986285853</v>
      </c>
      <c r="E1466">
        <v>0.86120172644991</v>
      </c>
      <c r="F1466">
        <v>0.79868920851621295</v>
      </c>
      <c r="G1466">
        <v>0.70423679391949201</v>
      </c>
      <c r="H1466">
        <v>0.47617192137850001</v>
      </c>
      <c r="I1466">
        <v>0.41777435117228101</v>
      </c>
      <c r="J1466">
        <v>0.47992674912319599</v>
      </c>
      <c r="K1466">
        <v>0.54340278756074001</v>
      </c>
      <c r="L1466">
        <v>878.56580457676398</v>
      </c>
      <c r="M1466">
        <v>16.092899122750499</v>
      </c>
      <c r="N1466">
        <v>63.663838673433901</v>
      </c>
      <c r="O1466">
        <v>53.771263081759599</v>
      </c>
      <c r="P1466">
        <v>-4.1191479043082999E-2</v>
      </c>
      <c r="Q1466">
        <v>0.44950924400549602</v>
      </c>
      <c r="R1466">
        <v>0.94726633299973595</v>
      </c>
      <c r="S1466" t="s">
        <v>5095</v>
      </c>
      <c r="T1466" t="s">
        <v>7256</v>
      </c>
      <c r="U1466" t="s">
        <v>7256</v>
      </c>
      <c r="V1466" t="s">
        <v>7256</v>
      </c>
      <c r="W1466">
        <v>2</v>
      </c>
      <c r="X1466" t="s">
        <v>8722</v>
      </c>
      <c r="Y1466">
        <v>0.72732542905969921</v>
      </c>
      <c r="Z1466" t="str">
        <f>HYPERLINK("Melting_Curves/meltCurve_sp_Q13426_2_XRCC4_HUMAN_.pdf", "Melting_Curves/meltCurve_sp_Q13426_2_XRCC4_HUMAN_.pdf")</f>
        <v>Melting_Curves/meltCurve_sp_Q13426_2_XRCC4_HUMAN_.pdf</v>
      </c>
      <c r="AA1466" t="s">
        <v>12325</v>
      </c>
      <c r="AB1466" t="s">
        <v>15891</v>
      </c>
    </row>
    <row r="1467" spans="1:28" x14ac:dyDescent="0.25">
      <c r="A1467" t="s">
        <v>1471</v>
      </c>
      <c r="B1467">
        <v>0.98018197421672304</v>
      </c>
      <c r="C1467">
        <v>0.94603991762255502</v>
      </c>
      <c r="D1467">
        <v>0.85798784660011895</v>
      </c>
      <c r="E1467">
        <v>0.78179073464329196</v>
      </c>
      <c r="F1467">
        <v>0.80522608785341199</v>
      </c>
      <c r="G1467">
        <v>0.73819006363019102</v>
      </c>
      <c r="H1467">
        <v>0.62328871874491498</v>
      </c>
      <c r="I1467">
        <v>0.73875364568022805</v>
      </c>
      <c r="J1467">
        <v>0.92730835254948696</v>
      </c>
      <c r="K1467">
        <v>1.0563870765574901</v>
      </c>
      <c r="L1467">
        <v>1438.3284491095999</v>
      </c>
      <c r="M1467">
        <v>32.593484662068903</v>
      </c>
      <c r="O1467">
        <v>43.964199708461301</v>
      </c>
      <c r="P1467">
        <v>-3.5152882014993801E-2</v>
      </c>
      <c r="Q1467">
        <v>0.81033496695018303</v>
      </c>
      <c r="R1467">
        <v>0.23253157379169101</v>
      </c>
      <c r="S1467" t="s">
        <v>5096</v>
      </c>
      <c r="T1467" t="s">
        <v>7256</v>
      </c>
      <c r="U1467" t="s">
        <v>7256</v>
      </c>
      <c r="V1467" t="s">
        <v>7256</v>
      </c>
      <c r="W1467">
        <v>20</v>
      </c>
      <c r="X1467" t="s">
        <v>8723</v>
      </c>
      <c r="Y1467">
        <v>0.83754331691697836</v>
      </c>
      <c r="Z1467" t="str">
        <f>HYPERLINK("Melting_Curves/meltCurve_sp_Q13428_TCOF_HUMAN_.pdf", "Melting_Curves/meltCurve_sp_Q13428_TCOF_HUMAN_.pdf")</f>
        <v>Melting_Curves/meltCurve_sp_Q13428_TCOF_HUMAN_.pdf</v>
      </c>
      <c r="AA1467" t="s">
        <v>12326</v>
      </c>
      <c r="AB1467" t="s">
        <v>15892</v>
      </c>
    </row>
    <row r="1468" spans="1:28" x14ac:dyDescent="0.25">
      <c r="A1468" t="s">
        <v>1472</v>
      </c>
      <c r="B1468">
        <v>0.98018197421672304</v>
      </c>
      <c r="C1468">
        <v>0.98097120059137499</v>
      </c>
      <c r="D1468">
        <v>0.89837751664281196</v>
      </c>
      <c r="E1468">
        <v>0.71345221351485899</v>
      </c>
      <c r="F1468">
        <v>0.52909486670838102</v>
      </c>
      <c r="G1468">
        <v>0.31994739703069303</v>
      </c>
      <c r="H1468">
        <v>0.32500310549672401</v>
      </c>
      <c r="I1468">
        <v>0.32702675727862501</v>
      </c>
      <c r="J1468">
        <v>0.39004308893761802</v>
      </c>
      <c r="K1468">
        <v>0.42338592135213599</v>
      </c>
      <c r="L1468">
        <v>1177.53314692851</v>
      </c>
      <c r="M1468">
        <v>23.4013259265332</v>
      </c>
      <c r="N1468">
        <v>53.066162525403499</v>
      </c>
      <c r="O1468">
        <v>49.955945351495501</v>
      </c>
      <c r="P1468">
        <v>-7.5992288726209598E-2</v>
      </c>
      <c r="Q1468">
        <v>0.35111365293161501</v>
      </c>
      <c r="R1468">
        <v>0.97685444470161897</v>
      </c>
      <c r="S1468" t="s">
        <v>5097</v>
      </c>
      <c r="T1468" t="s">
        <v>7256</v>
      </c>
      <c r="U1468" t="s">
        <v>7256</v>
      </c>
      <c r="V1468" t="s">
        <v>7256</v>
      </c>
      <c r="W1468">
        <v>13</v>
      </c>
      <c r="X1468" t="s">
        <v>8724</v>
      </c>
      <c r="Y1468">
        <v>0.58094711983720204</v>
      </c>
      <c r="Z1468" t="str">
        <f>HYPERLINK("Melting_Curves/meltCurve_sp_Q13435_SF3B2_HUMAN_.pdf", "Melting_Curves/meltCurve_sp_Q13435_SF3B2_HUMAN_.pdf")</f>
        <v>Melting_Curves/meltCurve_sp_Q13435_SF3B2_HUMAN_.pdf</v>
      </c>
      <c r="AA1468" t="s">
        <v>12327</v>
      </c>
      <c r="AB1468" t="s">
        <v>15893</v>
      </c>
    </row>
    <row r="1469" spans="1:28" x14ac:dyDescent="0.25">
      <c r="A1469" t="s">
        <v>1473</v>
      </c>
      <c r="B1469">
        <v>0.98018197421672304</v>
      </c>
      <c r="C1469">
        <v>0.96314055632451001</v>
      </c>
      <c r="D1469">
        <v>0.86482194718345595</v>
      </c>
      <c r="E1469">
        <v>0.74926096218113503</v>
      </c>
      <c r="F1469">
        <v>0.675061193893017</v>
      </c>
      <c r="G1469">
        <v>0.50954133596903595</v>
      </c>
      <c r="H1469">
        <v>0.447566147735947</v>
      </c>
      <c r="I1469">
        <v>0.47229190906381302</v>
      </c>
      <c r="J1469">
        <v>0.57803329315547503</v>
      </c>
      <c r="K1469">
        <v>0.70243947705735499</v>
      </c>
      <c r="L1469">
        <v>904.68175461047201</v>
      </c>
      <c r="M1469">
        <v>18.476748700210099</v>
      </c>
      <c r="O1469">
        <v>48.400528941830601</v>
      </c>
      <c r="P1469">
        <v>-4.3821488677497897E-2</v>
      </c>
      <c r="Q1469">
        <v>0.54085246362927697</v>
      </c>
      <c r="R1469">
        <v>0.85299948034814199</v>
      </c>
      <c r="S1469" t="s">
        <v>5098</v>
      </c>
      <c r="T1469" t="s">
        <v>7256</v>
      </c>
      <c r="U1469" t="s">
        <v>7256</v>
      </c>
      <c r="V1469" t="s">
        <v>7256</v>
      </c>
      <c r="W1469">
        <v>5</v>
      </c>
      <c r="X1469" t="s">
        <v>8725</v>
      </c>
      <c r="Y1469">
        <v>0.68558667371335424</v>
      </c>
      <c r="Z1469" t="str">
        <f>HYPERLINK("Melting_Curves/meltCurve_sp_Q13442_HAP28_HUMAN_.pdf", "Melting_Curves/meltCurve_sp_Q13442_HAP28_HUMAN_.pdf")</f>
        <v>Melting_Curves/meltCurve_sp_Q13442_HAP28_HUMAN_.pdf</v>
      </c>
      <c r="AA1469" t="s">
        <v>12328</v>
      </c>
      <c r="AB1469" t="s">
        <v>15894</v>
      </c>
    </row>
    <row r="1470" spans="1:28" x14ac:dyDescent="0.25">
      <c r="A1470" t="s">
        <v>1474</v>
      </c>
      <c r="B1470">
        <v>0.98018197421672304</v>
      </c>
      <c r="C1470">
        <v>0.89215606043114204</v>
      </c>
      <c r="D1470">
        <v>0.80686762850655103</v>
      </c>
      <c r="E1470">
        <v>0.38123628444241597</v>
      </c>
      <c r="F1470">
        <v>0.18796742825736801</v>
      </c>
      <c r="G1470">
        <v>9.4451449945964397E-2</v>
      </c>
      <c r="H1470">
        <v>5.6279745345205502E-2</v>
      </c>
      <c r="I1470">
        <v>4.3797121565999499E-2</v>
      </c>
      <c r="J1470">
        <v>4.3186130281886601E-2</v>
      </c>
      <c r="K1470">
        <v>3.6929118676858497E-2</v>
      </c>
      <c r="L1470">
        <v>988.01603491698597</v>
      </c>
      <c r="M1470">
        <v>20.296935368142702</v>
      </c>
      <c r="N1470">
        <v>48.869837918489402</v>
      </c>
      <c r="O1470">
        <v>48.212963964981697</v>
      </c>
      <c r="P1470">
        <v>-0.10122109970113299</v>
      </c>
      <c r="Q1470">
        <v>3.8274799676470697E-2</v>
      </c>
      <c r="R1470">
        <v>0.99720513904872699</v>
      </c>
      <c r="S1470" t="s">
        <v>5099</v>
      </c>
      <c r="T1470" t="s">
        <v>7256</v>
      </c>
      <c r="U1470" t="s">
        <v>7256</v>
      </c>
      <c r="V1470" t="s">
        <v>7256</v>
      </c>
      <c r="W1470">
        <v>20</v>
      </c>
      <c r="X1470" t="s">
        <v>8726</v>
      </c>
      <c r="Y1470">
        <v>0.32958627459403178</v>
      </c>
      <c r="Z1470" t="str">
        <f>HYPERLINK("Melting_Curves/meltCurve_sp_Q13451_FKBP5_HUMAN_.pdf", "Melting_Curves/meltCurve_sp_Q13451_FKBP5_HUMAN_.pdf")</f>
        <v>Melting_Curves/meltCurve_sp_Q13451_FKBP5_HUMAN_.pdf</v>
      </c>
      <c r="AA1470" t="s">
        <v>12329</v>
      </c>
      <c r="AB1470" t="s">
        <v>15895</v>
      </c>
    </row>
    <row r="1471" spans="1:28" x14ac:dyDescent="0.25">
      <c r="A1471" t="s">
        <v>1475</v>
      </c>
      <c r="B1471">
        <v>0.98018197421672304</v>
      </c>
      <c r="C1471">
        <v>0.96320637041144896</v>
      </c>
      <c r="D1471">
        <v>0.87897945522576104</v>
      </c>
      <c r="E1471">
        <v>0.72837740552278096</v>
      </c>
      <c r="F1471">
        <v>0.26730500143275199</v>
      </c>
      <c r="G1471">
        <v>0.124923073898885</v>
      </c>
      <c r="H1471">
        <v>7.3410837226844106E-2</v>
      </c>
      <c r="I1471">
        <v>5.9834927608925802E-2</v>
      </c>
      <c r="J1471">
        <v>6.4766987925270997E-2</v>
      </c>
      <c r="K1471">
        <v>4.7976564676641797E-2</v>
      </c>
      <c r="L1471">
        <v>1550.0231299258701</v>
      </c>
      <c r="M1471">
        <v>30.299479441338299</v>
      </c>
      <c r="N1471">
        <v>51.375700546403898</v>
      </c>
      <c r="O1471">
        <v>50.935472742686599</v>
      </c>
      <c r="P1471">
        <v>-0.13970857763784</v>
      </c>
      <c r="Q1471">
        <v>6.0567654733616798E-2</v>
      </c>
      <c r="R1471">
        <v>0.99126668770557202</v>
      </c>
      <c r="S1471" t="s">
        <v>5100</v>
      </c>
      <c r="T1471" t="s">
        <v>7256</v>
      </c>
      <c r="U1471" t="s">
        <v>7256</v>
      </c>
      <c r="V1471" t="s">
        <v>7256</v>
      </c>
      <c r="W1471">
        <v>32</v>
      </c>
      <c r="X1471" t="s">
        <v>8727</v>
      </c>
      <c r="Y1471">
        <v>0.41574025338043769</v>
      </c>
      <c r="Z1471" t="str">
        <f>HYPERLINK("Melting_Curves/meltCurve_sp_Q13464_ROCK1_HUMAN_.pdf", "Melting_Curves/meltCurve_sp_Q13464_ROCK1_HUMAN_.pdf")</f>
        <v>Melting_Curves/meltCurve_sp_Q13464_ROCK1_HUMAN_.pdf</v>
      </c>
      <c r="AA1471" t="s">
        <v>12330</v>
      </c>
      <c r="AB1471" t="s">
        <v>15896</v>
      </c>
    </row>
    <row r="1472" spans="1:28" x14ac:dyDescent="0.25">
      <c r="A1472" t="s">
        <v>1476</v>
      </c>
      <c r="B1472">
        <v>0.98018197421672304</v>
      </c>
      <c r="C1472">
        <v>0.89989796097811203</v>
      </c>
      <c r="D1472">
        <v>0.943562921353716</v>
      </c>
      <c r="E1472">
        <v>0.79841167306483996</v>
      </c>
      <c r="F1472">
        <v>0.53165559959040498</v>
      </c>
      <c r="G1472">
        <v>0.21750143561490001</v>
      </c>
      <c r="H1472">
        <v>0.131821904291679</v>
      </c>
      <c r="I1472">
        <v>0.10765874008876999</v>
      </c>
      <c r="J1472">
        <v>0.13816577537126501</v>
      </c>
      <c r="K1472">
        <v>0.13257510359171701</v>
      </c>
      <c r="L1472">
        <v>1232.28748494147</v>
      </c>
      <c r="M1472">
        <v>23.4308680586728</v>
      </c>
      <c r="N1472">
        <v>53.165846172490703</v>
      </c>
      <c r="O1472">
        <v>52.213887244274801</v>
      </c>
      <c r="P1472">
        <v>-9.9663735846937995E-2</v>
      </c>
      <c r="Q1472">
        <v>0.111643584729121</v>
      </c>
      <c r="R1472">
        <v>0.99077665750789401</v>
      </c>
      <c r="S1472" t="s">
        <v>5101</v>
      </c>
      <c r="T1472" t="s">
        <v>7256</v>
      </c>
      <c r="U1472" t="s">
        <v>7256</v>
      </c>
      <c r="V1472" t="s">
        <v>7256</v>
      </c>
      <c r="W1472">
        <v>7</v>
      </c>
      <c r="X1472" t="s">
        <v>8728</v>
      </c>
      <c r="Y1472">
        <v>0.49374063436531551</v>
      </c>
      <c r="Z1472" t="str">
        <f>HYPERLINK("Melting_Curves/meltCurve_sp_Q13492_3_PICAL_HUMAN_.pdf", "Melting_Curves/meltCurve_sp_Q13492_3_PICAL_HUMAN_.pdf")</f>
        <v>Melting_Curves/meltCurve_sp_Q13492_3_PICAL_HUMAN_.pdf</v>
      </c>
      <c r="AA1472" t="s">
        <v>12331</v>
      </c>
      <c r="AB1472" t="s">
        <v>15897</v>
      </c>
    </row>
    <row r="1473" spans="1:28" x14ac:dyDescent="0.25">
      <c r="A1473" t="s">
        <v>1477</v>
      </c>
      <c r="B1473">
        <v>0.98018197421672304</v>
      </c>
      <c r="C1473">
        <v>0.96194232425725701</v>
      </c>
      <c r="D1473">
        <v>0.85930805232042196</v>
      </c>
      <c r="E1473">
        <v>0.73292220743648895</v>
      </c>
      <c r="F1473">
        <v>0.35603055673636902</v>
      </c>
      <c r="G1473">
        <v>0.19976239657588801</v>
      </c>
      <c r="H1473">
        <v>0.17220908625482001</v>
      </c>
      <c r="I1473">
        <v>7.46402654352991E-2</v>
      </c>
      <c r="J1473">
        <v>6.9779957296726994E-2</v>
      </c>
      <c r="K1473">
        <v>0.193779378039659</v>
      </c>
      <c r="L1473">
        <v>1115.20766390478</v>
      </c>
      <c r="M1473">
        <v>21.783157332317799</v>
      </c>
      <c r="N1473">
        <v>51.806724606770302</v>
      </c>
      <c r="O1473">
        <v>50.7702552581585</v>
      </c>
      <c r="P1473">
        <v>-9.5117301802073201E-2</v>
      </c>
      <c r="Q1473">
        <v>0.11325648328787501</v>
      </c>
      <c r="R1473">
        <v>0.98147317656668398</v>
      </c>
      <c r="S1473" t="s">
        <v>5102</v>
      </c>
      <c r="T1473" t="s">
        <v>7256</v>
      </c>
      <c r="U1473" t="s">
        <v>7256</v>
      </c>
      <c r="V1473" t="s">
        <v>7256</v>
      </c>
      <c r="W1473">
        <v>7</v>
      </c>
      <c r="X1473" t="s">
        <v>8729</v>
      </c>
      <c r="Y1473">
        <v>0.45466285406569179</v>
      </c>
      <c r="Z1473" t="str">
        <f>HYPERLINK("Melting_Curves/meltCurve_sp_Q13496_MTM1_HUMAN_.pdf", "Melting_Curves/meltCurve_sp_Q13496_MTM1_HUMAN_.pdf")</f>
        <v>Melting_Curves/meltCurve_sp_Q13496_MTM1_HUMAN_.pdf</v>
      </c>
      <c r="AA1473" t="s">
        <v>12332</v>
      </c>
      <c r="AB1473" t="s">
        <v>15898</v>
      </c>
    </row>
    <row r="1474" spans="1:28" x14ac:dyDescent="0.25">
      <c r="A1474" t="s">
        <v>1478</v>
      </c>
      <c r="B1474">
        <v>0.98018197421672304</v>
      </c>
      <c r="C1474">
        <v>0.87632622395590398</v>
      </c>
      <c r="D1474">
        <v>0.74585209114807105</v>
      </c>
      <c r="E1474">
        <v>0.57231574084255699</v>
      </c>
      <c r="F1474">
        <v>0.32551395581034298</v>
      </c>
      <c r="G1474">
        <v>0.19646476450873501</v>
      </c>
      <c r="H1474">
        <v>0.148102748802076</v>
      </c>
      <c r="I1474">
        <v>0.13935230366416601</v>
      </c>
      <c r="J1474">
        <v>0.160332773795926</v>
      </c>
      <c r="K1474">
        <v>0.157251504960464</v>
      </c>
      <c r="L1474">
        <v>712.65032967684601</v>
      </c>
      <c r="M1474">
        <v>14.4757498934226</v>
      </c>
      <c r="N1474">
        <v>50.171673973557198</v>
      </c>
      <c r="O1474">
        <v>48.3197241375671</v>
      </c>
      <c r="P1474">
        <v>-6.5999174495422905E-2</v>
      </c>
      <c r="Q1474">
        <v>0.11888734035472499</v>
      </c>
      <c r="R1474">
        <v>0.99140580038201398</v>
      </c>
      <c r="S1474" t="s">
        <v>5103</v>
      </c>
      <c r="T1474" t="s">
        <v>7256</v>
      </c>
      <c r="U1474" t="s">
        <v>7256</v>
      </c>
      <c r="V1474" t="s">
        <v>7256</v>
      </c>
      <c r="W1474">
        <v>2</v>
      </c>
      <c r="X1474" t="s">
        <v>8730</v>
      </c>
      <c r="Y1474">
        <v>0.41301971825187622</v>
      </c>
      <c r="Z1474" t="str">
        <f>HYPERLINK("Melting_Curves/meltCurve_sp_Q13501_2_SQSTM_HUMAN_.pdf", "Melting_Curves/meltCurve_sp_Q13501_2_SQSTM_HUMAN_.pdf")</f>
        <v>Melting_Curves/meltCurve_sp_Q13501_2_SQSTM_HUMAN_.pdf</v>
      </c>
      <c r="AA1474" t="s">
        <v>12333</v>
      </c>
      <c r="AB1474" t="s">
        <v>15899</v>
      </c>
    </row>
    <row r="1475" spans="1:28" x14ac:dyDescent="0.25">
      <c r="A1475" t="s">
        <v>1479</v>
      </c>
      <c r="B1475">
        <v>0.98018197421672304</v>
      </c>
      <c r="C1475">
        <v>0.83564402663512805</v>
      </c>
      <c r="D1475">
        <v>0.89724081880424</v>
      </c>
      <c r="E1475">
        <v>0.68412849906570095</v>
      </c>
      <c r="F1475">
        <v>0.44644170498555902</v>
      </c>
      <c r="G1475">
        <v>0.338716928635373</v>
      </c>
      <c r="H1475">
        <v>0.132199583848811</v>
      </c>
      <c r="I1475">
        <v>0.16854701588700399</v>
      </c>
      <c r="J1475">
        <v>0.19061691334918199</v>
      </c>
      <c r="K1475">
        <v>0.115449662304967</v>
      </c>
      <c r="L1475">
        <v>677.953102095139</v>
      </c>
      <c r="M1475">
        <v>13.0948733464804</v>
      </c>
      <c r="N1475">
        <v>52.624946224842397</v>
      </c>
      <c r="O1475">
        <v>50.609661227096801</v>
      </c>
      <c r="P1475">
        <v>-5.8513389771787702E-2</v>
      </c>
      <c r="Q1475">
        <v>9.5574495995067704E-2</v>
      </c>
      <c r="R1475">
        <v>0.97618327264203097</v>
      </c>
      <c r="S1475" t="s">
        <v>5104</v>
      </c>
      <c r="T1475" t="s">
        <v>7256</v>
      </c>
      <c r="U1475" t="s">
        <v>7256</v>
      </c>
      <c r="V1475" t="s">
        <v>7256</v>
      </c>
      <c r="W1475">
        <v>1</v>
      </c>
      <c r="X1475" t="s">
        <v>8731</v>
      </c>
      <c r="Y1475">
        <v>0.47542158378594729</v>
      </c>
      <c r="Z1475" t="str">
        <f>HYPERLINK("Melting_Curves/meltCurve_sp_Q13522_PPR1A_HUMAN_.pdf", "Melting_Curves/meltCurve_sp_Q13522_PPR1A_HUMAN_.pdf")</f>
        <v>Melting_Curves/meltCurve_sp_Q13522_PPR1A_HUMAN_.pdf</v>
      </c>
      <c r="AA1475" t="s">
        <v>12334</v>
      </c>
      <c r="AB1475" t="s">
        <v>15900</v>
      </c>
    </row>
    <row r="1476" spans="1:28" x14ac:dyDescent="0.25">
      <c r="A1476" t="s">
        <v>1480</v>
      </c>
      <c r="B1476">
        <v>0.98018197421672304</v>
      </c>
      <c r="C1476">
        <v>0.97290776297597603</v>
      </c>
      <c r="D1476">
        <v>0.94121524118561795</v>
      </c>
      <c r="E1476">
        <v>0.79819533459340397</v>
      </c>
      <c r="F1476">
        <v>0.784391678066232</v>
      </c>
      <c r="G1476">
        <v>0.60031917678005797</v>
      </c>
      <c r="H1476">
        <v>0.40503669992315899</v>
      </c>
      <c r="I1476">
        <v>0.43189085868257698</v>
      </c>
      <c r="J1476">
        <v>0.54043958694602301</v>
      </c>
      <c r="K1476">
        <v>0.51519602768610495</v>
      </c>
      <c r="L1476">
        <v>872.38719799725902</v>
      </c>
      <c r="M1476">
        <v>16.543084516360501</v>
      </c>
      <c r="N1476">
        <v>62.065516122754502</v>
      </c>
      <c r="O1476">
        <v>51.981731125306297</v>
      </c>
      <c r="P1476">
        <v>-4.3091518292269801E-2</v>
      </c>
      <c r="Q1476">
        <v>0.45842779415870899</v>
      </c>
      <c r="R1476">
        <v>0.93769894445846802</v>
      </c>
      <c r="S1476" t="s">
        <v>5105</v>
      </c>
      <c r="T1476" t="s">
        <v>7256</v>
      </c>
      <c r="U1476" t="s">
        <v>7256</v>
      </c>
      <c r="V1476" t="s">
        <v>7256</v>
      </c>
      <c r="W1476">
        <v>5</v>
      </c>
      <c r="X1476" t="s">
        <v>8732</v>
      </c>
      <c r="Y1476">
        <v>0.69849845115255038</v>
      </c>
      <c r="Z1476" t="str">
        <f>HYPERLINK("Melting_Curves/meltCurve_sp_Q13526_PIN1_HUMAN_.pdf", "Melting_Curves/meltCurve_sp_Q13526_PIN1_HUMAN_.pdf")</f>
        <v>Melting_Curves/meltCurve_sp_Q13526_PIN1_HUMAN_.pdf</v>
      </c>
      <c r="AA1476" t="s">
        <v>12335</v>
      </c>
      <c r="AB1476" t="s">
        <v>15901</v>
      </c>
    </row>
    <row r="1477" spans="1:28" x14ac:dyDescent="0.25">
      <c r="A1477" t="s">
        <v>1481</v>
      </c>
      <c r="B1477">
        <v>0.98018197421672304</v>
      </c>
      <c r="C1477">
        <v>1.04035576711016</v>
      </c>
      <c r="D1477">
        <v>0.74918345516013995</v>
      </c>
      <c r="E1477">
        <v>0.79706500073304998</v>
      </c>
      <c r="F1477">
        <v>0.72931252661973101</v>
      </c>
      <c r="G1477">
        <v>0.59192631301842003</v>
      </c>
      <c r="H1477">
        <v>0.55904429986161897</v>
      </c>
      <c r="I1477">
        <v>0.70571666907943098</v>
      </c>
      <c r="J1477">
        <v>0.86404633393110997</v>
      </c>
      <c r="K1477">
        <v>1.29529923577328</v>
      </c>
      <c r="L1477">
        <v>11102.364780349</v>
      </c>
      <c r="M1477">
        <v>250</v>
      </c>
      <c r="O1477">
        <v>44.406627502402898</v>
      </c>
      <c r="P1477">
        <v>-0.30067912406746899</v>
      </c>
      <c r="Q1477">
        <v>0.78636571582058901</v>
      </c>
      <c r="R1477">
        <v>0.178528850439505</v>
      </c>
      <c r="S1477" t="s">
        <v>5106</v>
      </c>
      <c r="T1477" t="s">
        <v>7256</v>
      </c>
      <c r="U1477" t="s">
        <v>7256</v>
      </c>
      <c r="V1477" t="s">
        <v>7256</v>
      </c>
      <c r="W1477">
        <v>2</v>
      </c>
      <c r="X1477" t="s">
        <v>8733</v>
      </c>
      <c r="Y1477">
        <v>0.81778275413071033</v>
      </c>
      <c r="Z1477" t="str">
        <f>HYPERLINK("Melting_Curves/meltCurve_sp_Q13541_4EBP1_HUMAN_.pdf", "Melting_Curves/meltCurve_sp_Q13541_4EBP1_HUMAN_.pdf")</f>
        <v>Melting_Curves/meltCurve_sp_Q13541_4EBP1_HUMAN_.pdf</v>
      </c>
      <c r="AA1477" t="s">
        <v>12336</v>
      </c>
      <c r="AB1477" t="s">
        <v>15902</v>
      </c>
    </row>
    <row r="1478" spans="1:28" x14ac:dyDescent="0.25">
      <c r="A1478" t="s">
        <v>1482</v>
      </c>
      <c r="B1478">
        <v>0.98018197421672304</v>
      </c>
      <c r="C1478">
        <v>0.95046622166880101</v>
      </c>
      <c r="D1478">
        <v>0.84404425481999601</v>
      </c>
      <c r="E1478">
        <v>0.51846612974740902</v>
      </c>
      <c r="F1478">
        <v>0.28041326543933198</v>
      </c>
      <c r="G1478">
        <v>0.16089782959712001</v>
      </c>
      <c r="H1478">
        <v>9.6343033721217594E-2</v>
      </c>
      <c r="I1478">
        <v>8.0532860955465496E-2</v>
      </c>
      <c r="J1478">
        <v>0.10165318670064601</v>
      </c>
      <c r="K1478">
        <v>8.0571961655214006E-2</v>
      </c>
      <c r="L1478">
        <v>967.53773670809198</v>
      </c>
      <c r="M1478">
        <v>19.467656149503402</v>
      </c>
      <c r="N1478">
        <v>50.1474133119114</v>
      </c>
      <c r="O1478">
        <v>49.184237758295701</v>
      </c>
      <c r="P1478">
        <v>-9.1063428399905805E-2</v>
      </c>
      <c r="Q1478">
        <v>7.9760993055296603E-2</v>
      </c>
      <c r="R1478">
        <v>0.99929030281978104</v>
      </c>
      <c r="S1478" t="s">
        <v>5107</v>
      </c>
      <c r="T1478" t="s">
        <v>7256</v>
      </c>
      <c r="U1478" t="s">
        <v>7256</v>
      </c>
      <c r="V1478" t="s">
        <v>7256</v>
      </c>
      <c r="W1478">
        <v>8</v>
      </c>
      <c r="X1478" t="s">
        <v>8734</v>
      </c>
      <c r="Y1478">
        <v>0.39082531376716162</v>
      </c>
      <c r="Z1478" t="str">
        <f>HYPERLINK("Melting_Curves/meltCurve_sp_Q13546_RIPK1_HUMAN_.pdf", "Melting_Curves/meltCurve_sp_Q13546_RIPK1_HUMAN_.pdf")</f>
        <v>Melting_Curves/meltCurve_sp_Q13546_RIPK1_HUMAN_.pdf</v>
      </c>
      <c r="AA1478" t="s">
        <v>12337</v>
      </c>
      <c r="AB1478" t="s">
        <v>15903</v>
      </c>
    </row>
    <row r="1479" spans="1:28" x14ac:dyDescent="0.25">
      <c r="A1479" t="s">
        <v>1483</v>
      </c>
      <c r="B1479">
        <v>0.98018197421672304</v>
      </c>
      <c r="C1479">
        <v>0.84488385602381599</v>
      </c>
      <c r="D1479">
        <v>0.75390682547563204</v>
      </c>
      <c r="E1479">
        <v>0.46431918837344099</v>
      </c>
      <c r="F1479">
        <v>0.26460402811369899</v>
      </c>
      <c r="G1479">
        <v>0.14171066527874901</v>
      </c>
      <c r="H1479">
        <v>7.2818221173533398E-2</v>
      </c>
      <c r="I1479">
        <v>4.9915194882722197E-2</v>
      </c>
      <c r="J1479">
        <v>4.20581375093051E-2</v>
      </c>
      <c r="K1479">
        <v>5.7503459992685198E-2</v>
      </c>
      <c r="L1479">
        <v>700.73887292818597</v>
      </c>
      <c r="M1479">
        <v>14.2592798653955</v>
      </c>
      <c r="N1479">
        <v>49.306166577200599</v>
      </c>
      <c r="O1479">
        <v>48.206432168416598</v>
      </c>
      <c r="P1479">
        <v>-7.2250220539070195E-2</v>
      </c>
      <c r="Q1479">
        <v>2.3093332712046302E-2</v>
      </c>
      <c r="R1479">
        <v>0.99690020912815203</v>
      </c>
      <c r="S1479" t="s">
        <v>5108</v>
      </c>
      <c r="T1479" t="s">
        <v>7256</v>
      </c>
      <c r="U1479" t="s">
        <v>7256</v>
      </c>
      <c r="V1479" t="s">
        <v>7256</v>
      </c>
      <c r="W1479">
        <v>3</v>
      </c>
      <c r="X1479" t="s">
        <v>8735</v>
      </c>
      <c r="Y1479">
        <v>0.34714481061279528</v>
      </c>
      <c r="Z1479" t="str">
        <f>HYPERLINK("Melting_Curves/meltCurve_sp_Q13547_HDAC1_HUMAN_.pdf", "Melting_Curves/meltCurve_sp_Q13547_HDAC1_HUMAN_.pdf")</f>
        <v>Melting_Curves/meltCurve_sp_Q13547_HDAC1_HUMAN_.pdf</v>
      </c>
      <c r="AA1479" t="s">
        <v>12338</v>
      </c>
      <c r="AB1479" t="s">
        <v>15904</v>
      </c>
    </row>
    <row r="1480" spans="1:28" x14ac:dyDescent="0.25">
      <c r="A1480" t="s">
        <v>1484</v>
      </c>
      <c r="B1480">
        <v>0.98018197421672304</v>
      </c>
      <c r="C1480">
        <v>0.92669139362030595</v>
      </c>
      <c r="D1480">
        <v>0.82777724184115697</v>
      </c>
      <c r="E1480">
        <v>0.61644419312934495</v>
      </c>
      <c r="F1480">
        <v>0.47984686099795798</v>
      </c>
      <c r="G1480">
        <v>0.28640459506849802</v>
      </c>
      <c r="H1480">
        <v>0.119378420241134</v>
      </c>
      <c r="I1480">
        <v>8.79439080206188E-2</v>
      </c>
      <c r="J1480">
        <v>9.8096724696896703E-2</v>
      </c>
      <c r="K1480">
        <v>8.4275123650360703E-2</v>
      </c>
      <c r="L1480">
        <v>636.12126696765904</v>
      </c>
      <c r="M1480">
        <v>12.233262450563799</v>
      </c>
      <c r="N1480">
        <v>52.190383807218197</v>
      </c>
      <c r="O1480">
        <v>50.668351325496197</v>
      </c>
      <c r="P1480">
        <v>-5.9050886151592999E-2</v>
      </c>
      <c r="Q1480">
        <v>2.1898926537500699E-2</v>
      </c>
      <c r="R1480">
        <v>0.99660923505804999</v>
      </c>
      <c r="S1480" t="s">
        <v>5109</v>
      </c>
      <c r="T1480" t="s">
        <v>7256</v>
      </c>
      <c r="U1480" t="s">
        <v>7256</v>
      </c>
      <c r="V1480" t="s">
        <v>7256</v>
      </c>
      <c r="W1480">
        <v>8</v>
      </c>
      <c r="X1480" t="s">
        <v>8736</v>
      </c>
      <c r="Y1480">
        <v>0.44231483821293532</v>
      </c>
      <c r="Z1480" t="str">
        <f>HYPERLINK("Melting_Curves/meltCurve_sp_Q13557_8_KCC2D_HUMAN_.pdf", "Melting_Curves/meltCurve_sp_Q13557_8_KCC2D_HUMAN_.pdf")</f>
        <v>Melting_Curves/meltCurve_sp_Q13557_8_KCC2D_HUMAN_.pdf</v>
      </c>
      <c r="AA1480" t="s">
        <v>12339</v>
      </c>
      <c r="AB1480" t="s">
        <v>15905</v>
      </c>
    </row>
    <row r="1481" spans="1:28" x14ac:dyDescent="0.25">
      <c r="A1481" t="s">
        <v>1485</v>
      </c>
      <c r="B1481">
        <v>0.98018197421672304</v>
      </c>
      <c r="C1481">
        <v>1.00981090889948</v>
      </c>
      <c r="D1481">
        <v>0.92053452072645303</v>
      </c>
      <c r="E1481">
        <v>0.72891271539267999</v>
      </c>
      <c r="F1481">
        <v>0.58962725989723097</v>
      </c>
      <c r="G1481">
        <v>0.33208930155090999</v>
      </c>
      <c r="H1481">
        <v>0.301477880748167</v>
      </c>
      <c r="I1481">
        <v>0.27321156797415402</v>
      </c>
      <c r="J1481">
        <v>0.29667087277826998</v>
      </c>
      <c r="K1481">
        <v>0.327744210280905</v>
      </c>
      <c r="L1481">
        <v>1029.16258014615</v>
      </c>
      <c r="M1481">
        <v>19.9747572265405</v>
      </c>
      <c r="N1481">
        <v>53.7598205963412</v>
      </c>
      <c r="O1481">
        <v>51.0150907569368</v>
      </c>
      <c r="P1481">
        <v>-7.0264917842627297E-2</v>
      </c>
      <c r="Q1481">
        <v>0.28220324868688201</v>
      </c>
      <c r="R1481">
        <v>0.99083156069276601</v>
      </c>
      <c r="S1481" t="s">
        <v>5110</v>
      </c>
      <c r="T1481" t="s">
        <v>7256</v>
      </c>
      <c r="U1481" t="s">
        <v>7256</v>
      </c>
      <c r="V1481" t="s">
        <v>7256</v>
      </c>
      <c r="W1481">
        <v>20</v>
      </c>
      <c r="X1481" t="s">
        <v>8737</v>
      </c>
      <c r="Y1481">
        <v>0.5678860130499046</v>
      </c>
      <c r="Z1481" t="str">
        <f>HYPERLINK("Melting_Curves/meltCurve_sp_Q13561_DCTN2_HUMAN_.pdf", "Melting_Curves/meltCurve_sp_Q13561_DCTN2_HUMAN_.pdf")</f>
        <v>Melting_Curves/meltCurve_sp_Q13561_DCTN2_HUMAN_.pdf</v>
      </c>
      <c r="AA1481" t="s">
        <v>12340</v>
      </c>
      <c r="AB1481" t="s">
        <v>15906</v>
      </c>
    </row>
    <row r="1482" spans="1:28" x14ac:dyDescent="0.25">
      <c r="A1482" t="s">
        <v>1486</v>
      </c>
      <c r="B1482">
        <v>0.98018197421672304</v>
      </c>
      <c r="C1482">
        <v>0.93047680221270102</v>
      </c>
      <c r="D1482">
        <v>0.85012252416584499</v>
      </c>
      <c r="E1482">
        <v>0.72374553503434202</v>
      </c>
      <c r="F1482">
        <v>0.53494378378974905</v>
      </c>
      <c r="G1482">
        <v>0.238521873242869</v>
      </c>
      <c r="H1482">
        <v>0.23885069774569401</v>
      </c>
      <c r="I1482">
        <v>0.24749858940719899</v>
      </c>
      <c r="J1482">
        <v>0.27415810255442602</v>
      </c>
      <c r="K1482">
        <v>0.32082223719309</v>
      </c>
      <c r="L1482">
        <v>960.897718939632</v>
      </c>
      <c r="M1482">
        <v>18.865650678544899</v>
      </c>
      <c r="N1482">
        <v>52.806694430475602</v>
      </c>
      <c r="O1482">
        <v>50.371788622226298</v>
      </c>
      <c r="P1482">
        <v>-7.0795760638566393E-2</v>
      </c>
      <c r="Q1482">
        <v>0.243924812826466</v>
      </c>
      <c r="R1482">
        <v>0.96978038530658195</v>
      </c>
      <c r="S1482" t="s">
        <v>5111</v>
      </c>
      <c r="T1482" t="s">
        <v>7256</v>
      </c>
      <c r="U1482" t="s">
        <v>7256</v>
      </c>
      <c r="V1482" t="s">
        <v>7256</v>
      </c>
      <c r="W1482">
        <v>4</v>
      </c>
      <c r="X1482" t="s">
        <v>8738</v>
      </c>
      <c r="Y1482">
        <v>0.53118317089469491</v>
      </c>
      <c r="Z1482" t="str">
        <f>HYPERLINK("Melting_Curves/meltCurve_sp_Q13573_SNW1_HUMAN_.pdf", "Melting_Curves/meltCurve_sp_Q13573_SNW1_HUMAN_.pdf")</f>
        <v>Melting_Curves/meltCurve_sp_Q13573_SNW1_HUMAN_.pdf</v>
      </c>
      <c r="AA1482" t="s">
        <v>12341</v>
      </c>
      <c r="AB1482" t="s">
        <v>15907</v>
      </c>
    </row>
    <row r="1483" spans="1:28" x14ac:dyDescent="0.25">
      <c r="A1483" t="s">
        <v>1487</v>
      </c>
      <c r="B1483">
        <v>0.98018197421672304</v>
      </c>
      <c r="C1483">
        <v>0.69300028011208503</v>
      </c>
      <c r="D1483">
        <v>0.42546731097526402</v>
      </c>
      <c r="E1483">
        <v>0.20771072108410199</v>
      </c>
      <c r="F1483">
        <v>0.115650538332404</v>
      </c>
      <c r="G1483">
        <v>6.0614634113853101E-2</v>
      </c>
      <c r="H1483">
        <v>3.6155839771279799E-2</v>
      </c>
      <c r="I1483">
        <v>2.7917156088458999E-2</v>
      </c>
      <c r="J1483">
        <v>2.8267754485027601E-2</v>
      </c>
      <c r="K1483">
        <v>2.1472153127640701E-2</v>
      </c>
      <c r="L1483">
        <v>793.45714126175096</v>
      </c>
      <c r="M1483">
        <v>17.561615993347601</v>
      </c>
      <c r="N1483">
        <v>45.346905816866801</v>
      </c>
      <c r="O1483">
        <v>44.6076983893579</v>
      </c>
      <c r="P1483">
        <v>-9.5371160090858206E-2</v>
      </c>
      <c r="Q1483">
        <v>3.1055769396358599E-2</v>
      </c>
      <c r="R1483">
        <v>0.99250062585394705</v>
      </c>
      <c r="S1483" t="s">
        <v>5112</v>
      </c>
      <c r="T1483" t="s">
        <v>7256</v>
      </c>
      <c r="U1483" t="s">
        <v>7256</v>
      </c>
      <c r="V1483" t="s">
        <v>7256</v>
      </c>
      <c r="W1483">
        <v>67</v>
      </c>
      <c r="X1483" t="s">
        <v>8739</v>
      </c>
      <c r="Y1483">
        <v>0.22006197402482849</v>
      </c>
      <c r="Z1483" t="str">
        <f>HYPERLINK("Melting_Curves/meltCurve_sp_Q13576_IQGA2_HUMAN_.pdf", "Melting_Curves/meltCurve_sp_Q13576_IQGA2_HUMAN_.pdf")</f>
        <v>Melting_Curves/meltCurve_sp_Q13576_IQGA2_HUMAN_.pdf</v>
      </c>
      <c r="AA1483" t="s">
        <v>12342</v>
      </c>
      <c r="AB1483" t="s">
        <v>15908</v>
      </c>
    </row>
    <row r="1484" spans="1:28" x14ac:dyDescent="0.25">
      <c r="A1484" t="s">
        <v>1488</v>
      </c>
      <c r="B1484">
        <v>0.98018197421672304</v>
      </c>
      <c r="C1484">
        <v>0.97075464227534403</v>
      </c>
      <c r="D1484">
        <v>0.91329152104713995</v>
      </c>
      <c r="E1484">
        <v>0.70365587057761803</v>
      </c>
      <c r="F1484">
        <v>0.34189983883609398</v>
      </c>
      <c r="G1484">
        <v>0.20819784930198301</v>
      </c>
      <c r="H1484">
        <v>0.15415382097486999</v>
      </c>
      <c r="I1484">
        <v>0.14352358040776</v>
      </c>
      <c r="J1484">
        <v>0.154752679081677</v>
      </c>
      <c r="K1484">
        <v>0.16726074013313499</v>
      </c>
      <c r="L1484">
        <v>1380.7117467698899</v>
      </c>
      <c r="M1484">
        <v>27.1313086927019</v>
      </c>
      <c r="N1484">
        <v>51.577383454121502</v>
      </c>
      <c r="O1484">
        <v>50.6159233722598</v>
      </c>
      <c r="P1484">
        <v>-0.11367580550456299</v>
      </c>
      <c r="Q1484">
        <v>0.151718044625412</v>
      </c>
      <c r="R1484">
        <v>0.996288040693318</v>
      </c>
      <c r="S1484" t="s">
        <v>5113</v>
      </c>
      <c r="T1484" t="s">
        <v>7256</v>
      </c>
      <c r="U1484" t="s">
        <v>7256</v>
      </c>
      <c r="V1484" t="s">
        <v>7256</v>
      </c>
      <c r="W1484">
        <v>14</v>
      </c>
      <c r="X1484" t="s">
        <v>8740</v>
      </c>
      <c r="Y1484">
        <v>0.46615218696527783</v>
      </c>
      <c r="Z1484" t="str">
        <f>HYPERLINK("Melting_Curves/meltCurve_sp_Q13596_SNX1_HUMAN_.pdf", "Melting_Curves/meltCurve_sp_Q13596_SNX1_HUMAN_.pdf")</f>
        <v>Melting_Curves/meltCurve_sp_Q13596_SNX1_HUMAN_.pdf</v>
      </c>
      <c r="AA1484" t="s">
        <v>12343</v>
      </c>
      <c r="AB1484" t="s">
        <v>15909</v>
      </c>
    </row>
    <row r="1485" spans="1:28" x14ac:dyDescent="0.25">
      <c r="A1485" t="s">
        <v>1489</v>
      </c>
      <c r="B1485">
        <v>0.98018197421672304</v>
      </c>
      <c r="C1485">
        <v>0.81196007450381602</v>
      </c>
      <c r="D1485">
        <v>0.77989760557409704</v>
      </c>
      <c r="E1485">
        <v>0.763939911025869</v>
      </c>
      <c r="F1485">
        <v>0.56375159830319799</v>
      </c>
      <c r="G1485">
        <v>0.39983525527146602</v>
      </c>
      <c r="H1485">
        <v>0.293623931388937</v>
      </c>
      <c r="I1485">
        <v>0.206106350172713</v>
      </c>
      <c r="J1485">
        <v>0.11103519836145399</v>
      </c>
      <c r="K1485">
        <v>1.90949090095647E-2</v>
      </c>
      <c r="L1485">
        <v>501.76747369034501</v>
      </c>
      <c r="M1485">
        <v>9.2514793289660293</v>
      </c>
      <c r="N1485">
        <v>54.236458263643698</v>
      </c>
      <c r="O1485">
        <v>51.8830001193461</v>
      </c>
      <c r="P1485">
        <v>-4.4607725734383298E-2</v>
      </c>
      <c r="Q1485">
        <v>0</v>
      </c>
      <c r="R1485">
        <v>0.96764672175201805</v>
      </c>
      <c r="S1485" t="s">
        <v>5114</v>
      </c>
      <c r="T1485" t="s">
        <v>7256</v>
      </c>
      <c r="U1485" t="s">
        <v>7256</v>
      </c>
      <c r="V1485" t="s">
        <v>7256</v>
      </c>
      <c r="W1485">
        <v>1</v>
      </c>
      <c r="X1485" t="s">
        <v>8741</v>
      </c>
      <c r="Y1485">
        <v>0.50508223892941628</v>
      </c>
      <c r="Z1485" t="str">
        <f>HYPERLINK("Melting_Curves/meltCurve_sp_Q13608_PEX6_HUMAN_.pdf", "Melting_Curves/meltCurve_sp_Q13608_PEX6_HUMAN_.pdf")</f>
        <v>Melting_Curves/meltCurve_sp_Q13608_PEX6_HUMAN_.pdf</v>
      </c>
      <c r="AA1485" t="s">
        <v>12344</v>
      </c>
      <c r="AB1485" t="s">
        <v>15910</v>
      </c>
    </row>
    <row r="1486" spans="1:28" x14ac:dyDescent="0.25">
      <c r="A1486" t="s">
        <v>1490</v>
      </c>
      <c r="B1486">
        <v>0.98018197421672304</v>
      </c>
      <c r="C1486">
        <v>1.0556222645073201</v>
      </c>
      <c r="D1486">
        <v>0.79953445503861498</v>
      </c>
      <c r="E1486">
        <v>0.608426993061986</v>
      </c>
      <c r="F1486">
        <v>0.67211542036639005</v>
      </c>
      <c r="G1486">
        <v>0.53462455469033998</v>
      </c>
      <c r="H1486">
        <v>0.26823708317581502</v>
      </c>
      <c r="I1486">
        <v>0.193711880404174</v>
      </c>
      <c r="J1486">
        <v>0.35447360332678801</v>
      </c>
      <c r="K1486">
        <v>0.29601382725993902</v>
      </c>
      <c r="L1486">
        <v>581.19970676262801</v>
      </c>
      <c r="M1486">
        <v>11.0938334420747</v>
      </c>
      <c r="N1486">
        <v>55.223961826217497</v>
      </c>
      <c r="O1486">
        <v>50.773563629897197</v>
      </c>
      <c r="P1486">
        <v>-4.2780510885405701E-2</v>
      </c>
      <c r="Q1486">
        <v>0.21707492841707801</v>
      </c>
      <c r="R1486">
        <v>0.91366828120047106</v>
      </c>
      <c r="S1486" t="s">
        <v>5115</v>
      </c>
      <c r="T1486" t="s">
        <v>7256</v>
      </c>
      <c r="U1486" t="s">
        <v>7256</v>
      </c>
      <c r="V1486" t="s">
        <v>7256</v>
      </c>
      <c r="W1486">
        <v>1</v>
      </c>
      <c r="X1486" t="s">
        <v>8742</v>
      </c>
      <c r="Y1486">
        <v>0.56599070532649376</v>
      </c>
      <c r="Z1486" t="str">
        <f>HYPERLINK("Melting_Curves/meltCurve_sp_Q13610_PWP1_HUMAN_.pdf", "Melting_Curves/meltCurve_sp_Q13610_PWP1_HUMAN_.pdf")</f>
        <v>Melting_Curves/meltCurve_sp_Q13610_PWP1_HUMAN_.pdf</v>
      </c>
      <c r="AA1486" t="s">
        <v>12345</v>
      </c>
      <c r="AB1486" t="s">
        <v>15911</v>
      </c>
    </row>
    <row r="1487" spans="1:28" x14ac:dyDescent="0.25">
      <c r="A1487" t="s">
        <v>1491</v>
      </c>
      <c r="B1487">
        <v>0.98018197421672304</v>
      </c>
      <c r="C1487">
        <v>0.953723074241419</v>
      </c>
      <c r="D1487">
        <v>0.86634404115044505</v>
      </c>
      <c r="E1487">
        <v>0.79803297683122099</v>
      </c>
      <c r="F1487">
        <v>0.66111738119399999</v>
      </c>
      <c r="G1487">
        <v>0.50083599673031998</v>
      </c>
      <c r="H1487">
        <v>0.33864789537729501</v>
      </c>
      <c r="I1487">
        <v>9.27906064634344E-2</v>
      </c>
      <c r="J1487">
        <v>7.1825025509094101E-2</v>
      </c>
      <c r="K1487">
        <v>5.0547348954206199E-2</v>
      </c>
      <c r="L1487">
        <v>683.93673064034601</v>
      </c>
      <c r="M1487">
        <v>12.216004337970199</v>
      </c>
      <c r="N1487">
        <v>55.986943928429397</v>
      </c>
      <c r="O1487">
        <v>54.550037435724398</v>
      </c>
      <c r="P1487">
        <v>-5.5997916684422298E-2</v>
      </c>
      <c r="Q1487">
        <v>0</v>
      </c>
      <c r="R1487">
        <v>0.98103851517555096</v>
      </c>
      <c r="S1487" t="s">
        <v>5116</v>
      </c>
      <c r="T1487" t="s">
        <v>7256</v>
      </c>
      <c r="U1487" t="s">
        <v>7256</v>
      </c>
      <c r="V1487" t="s">
        <v>7256</v>
      </c>
      <c r="W1487">
        <v>26</v>
      </c>
      <c r="X1487" t="s">
        <v>8743</v>
      </c>
      <c r="Y1487">
        <v>0.55317572108805602</v>
      </c>
      <c r="Z1487" t="str">
        <f>HYPERLINK("Melting_Curves/meltCurve_sp_Q13616_CUL1_HUMAN_.pdf", "Melting_Curves/meltCurve_sp_Q13616_CUL1_HUMAN_.pdf")</f>
        <v>Melting_Curves/meltCurve_sp_Q13616_CUL1_HUMAN_.pdf</v>
      </c>
      <c r="AA1487" t="s">
        <v>12346</v>
      </c>
      <c r="AB1487" t="s">
        <v>15912</v>
      </c>
    </row>
    <row r="1488" spans="1:28" x14ac:dyDescent="0.25">
      <c r="A1488" t="s">
        <v>1492</v>
      </c>
      <c r="B1488">
        <v>0.98018197421672304</v>
      </c>
      <c r="C1488">
        <v>0.93656607652900503</v>
      </c>
      <c r="D1488">
        <v>0.79685360064210398</v>
      </c>
      <c r="E1488">
        <v>0.65735343602618201</v>
      </c>
      <c r="F1488">
        <v>0.47927025079660601</v>
      </c>
      <c r="G1488">
        <v>0.19829713823162401</v>
      </c>
      <c r="H1488">
        <v>9.7690871462852893E-2</v>
      </c>
      <c r="I1488">
        <v>6.7966700603546898E-2</v>
      </c>
      <c r="J1488">
        <v>6.9263515569758294E-2</v>
      </c>
      <c r="K1488">
        <v>6.0791947212322797E-2</v>
      </c>
      <c r="L1488">
        <v>688.66769538165897</v>
      </c>
      <c r="M1488">
        <v>13.2507392762472</v>
      </c>
      <c r="N1488">
        <v>51.997633073993697</v>
      </c>
      <c r="O1488">
        <v>50.831103294619503</v>
      </c>
      <c r="P1488">
        <v>-6.4969069090509896E-2</v>
      </c>
      <c r="Q1488">
        <v>3.2532141811326401E-3</v>
      </c>
      <c r="R1488">
        <v>0.99323613204026995</v>
      </c>
      <c r="S1488" t="s">
        <v>5117</v>
      </c>
      <c r="T1488" t="s">
        <v>7256</v>
      </c>
      <c r="U1488" t="s">
        <v>7256</v>
      </c>
      <c r="V1488" t="s">
        <v>7256</v>
      </c>
      <c r="W1488">
        <v>14</v>
      </c>
      <c r="X1488" t="s">
        <v>8744</v>
      </c>
      <c r="Y1488">
        <v>0.42777293984027109</v>
      </c>
      <c r="Z1488" t="str">
        <f>HYPERLINK("Melting_Curves/meltCurve_sp_Q13617_CUL2_HUMAN_.pdf", "Melting_Curves/meltCurve_sp_Q13617_CUL2_HUMAN_.pdf")</f>
        <v>Melting_Curves/meltCurve_sp_Q13617_CUL2_HUMAN_.pdf</v>
      </c>
      <c r="AA1488" t="s">
        <v>12347</v>
      </c>
      <c r="AB1488" t="s">
        <v>15913</v>
      </c>
    </row>
    <row r="1489" spans="1:28" x14ac:dyDescent="0.25">
      <c r="A1489" t="s">
        <v>1493</v>
      </c>
      <c r="B1489">
        <v>0.98018197421672304</v>
      </c>
      <c r="C1489">
        <v>0.95260226573939899</v>
      </c>
      <c r="D1489">
        <v>0.93296089354357303</v>
      </c>
      <c r="E1489">
        <v>0.8434761295773</v>
      </c>
      <c r="F1489">
        <v>0.67759058477231304</v>
      </c>
      <c r="G1489">
        <v>0.33751842624212602</v>
      </c>
      <c r="H1489">
        <v>0.10311215699403101</v>
      </c>
      <c r="I1489">
        <v>0.112345176414215</v>
      </c>
      <c r="J1489">
        <v>0.12592069847453399</v>
      </c>
      <c r="K1489">
        <v>0.12741617795415799</v>
      </c>
      <c r="L1489">
        <v>1156.53396601998</v>
      </c>
      <c r="M1489">
        <v>21.346969996870399</v>
      </c>
      <c r="N1489">
        <v>54.681753724011401</v>
      </c>
      <c r="O1489">
        <v>53.709179268135401</v>
      </c>
      <c r="P1489">
        <v>-9.0494908823668604E-2</v>
      </c>
      <c r="Q1489">
        <v>8.9278769343803896E-2</v>
      </c>
      <c r="R1489">
        <v>0.99164274370142402</v>
      </c>
      <c r="S1489" t="s">
        <v>5118</v>
      </c>
      <c r="T1489" t="s">
        <v>7256</v>
      </c>
      <c r="U1489" t="s">
        <v>7256</v>
      </c>
      <c r="V1489" t="s">
        <v>7256</v>
      </c>
      <c r="W1489">
        <v>25</v>
      </c>
      <c r="X1489" t="s">
        <v>8745</v>
      </c>
      <c r="Y1489">
        <v>0.53078157279279992</v>
      </c>
      <c r="Z1489" t="str">
        <f>HYPERLINK("Melting_Curves/meltCurve_sp_Q13618_2_CUL3_HUMAN_.pdf", "Melting_Curves/meltCurve_sp_Q13618_2_CUL3_HUMAN_.pdf")</f>
        <v>Melting_Curves/meltCurve_sp_Q13618_2_CUL3_HUMAN_.pdf</v>
      </c>
      <c r="AA1489" t="s">
        <v>12348</v>
      </c>
      <c r="AB1489" t="s">
        <v>15914</v>
      </c>
    </row>
    <row r="1490" spans="1:28" x14ac:dyDescent="0.25">
      <c r="A1490" t="s">
        <v>1494</v>
      </c>
      <c r="B1490">
        <v>0.98018197421672304</v>
      </c>
      <c r="C1490">
        <v>0.85400316901377504</v>
      </c>
      <c r="D1490">
        <v>0.82864085486054795</v>
      </c>
      <c r="E1490">
        <v>0.60888906004968202</v>
      </c>
      <c r="F1490">
        <v>0.333146686348124</v>
      </c>
      <c r="G1490">
        <v>0.17595128063212301</v>
      </c>
      <c r="H1490">
        <v>0.10474279304706401</v>
      </c>
      <c r="I1490">
        <v>9.0565265926121699E-2</v>
      </c>
      <c r="J1490">
        <v>9.8662494194213399E-2</v>
      </c>
      <c r="K1490">
        <v>6.0697000490624098E-2</v>
      </c>
      <c r="L1490">
        <v>739.60544145773997</v>
      </c>
      <c r="M1490">
        <v>14.647963566167199</v>
      </c>
      <c r="N1490">
        <v>50.827188355209003</v>
      </c>
      <c r="O1490">
        <v>49.578969914818103</v>
      </c>
      <c r="P1490">
        <v>-7.0469321117634501E-2</v>
      </c>
      <c r="Q1490">
        <v>4.6035579242308597E-2</v>
      </c>
      <c r="R1490">
        <v>0.99054703875449301</v>
      </c>
      <c r="S1490" t="s">
        <v>5119</v>
      </c>
      <c r="T1490" t="s">
        <v>7256</v>
      </c>
      <c r="U1490" t="s">
        <v>7256</v>
      </c>
      <c r="V1490" t="s">
        <v>7256</v>
      </c>
      <c r="W1490">
        <v>13</v>
      </c>
      <c r="X1490" t="s">
        <v>8746</v>
      </c>
      <c r="Y1490">
        <v>0.40299040493848393</v>
      </c>
      <c r="Z1490" t="str">
        <f>HYPERLINK("Melting_Curves/meltCurve_sp_Q13619_CUL4A_HUMAN_.pdf", "Melting_Curves/meltCurve_sp_Q13619_CUL4A_HUMAN_.pdf")</f>
        <v>Melting_Curves/meltCurve_sp_Q13619_CUL4A_HUMAN_.pdf</v>
      </c>
      <c r="AA1490" t="s">
        <v>12349</v>
      </c>
      <c r="AB1490" t="s">
        <v>15915</v>
      </c>
    </row>
    <row r="1491" spans="1:28" x14ac:dyDescent="0.25">
      <c r="A1491" t="s">
        <v>1495</v>
      </c>
      <c r="B1491">
        <v>0.98018197421672304</v>
      </c>
      <c r="C1491">
        <v>0.94291855788321999</v>
      </c>
      <c r="D1491">
        <v>0.90268415008711</v>
      </c>
      <c r="E1491">
        <v>0.75497361501367299</v>
      </c>
      <c r="F1491">
        <v>0.56288938206945505</v>
      </c>
      <c r="G1491">
        <v>0.29601497262437199</v>
      </c>
      <c r="H1491">
        <v>0.10618488463497799</v>
      </c>
      <c r="I1491">
        <v>7.3744685301669902E-2</v>
      </c>
      <c r="J1491">
        <v>9.4286153918519897E-2</v>
      </c>
      <c r="K1491">
        <v>6.4088616506357707E-2</v>
      </c>
      <c r="L1491">
        <v>836.12673166034403</v>
      </c>
      <c r="M1491">
        <v>15.6536317543497</v>
      </c>
      <c r="N1491">
        <v>53.595028119612699</v>
      </c>
      <c r="O1491">
        <v>52.5652735732019</v>
      </c>
      <c r="P1491">
        <v>-7.2540160826397304E-2</v>
      </c>
      <c r="Q1491">
        <v>2.5716408986739301E-2</v>
      </c>
      <c r="R1491">
        <v>0.99579742030380403</v>
      </c>
      <c r="S1491" t="s">
        <v>5120</v>
      </c>
      <c r="T1491" t="s">
        <v>7256</v>
      </c>
      <c r="U1491" t="s">
        <v>7256</v>
      </c>
      <c r="V1491" t="s">
        <v>7256</v>
      </c>
      <c r="W1491">
        <v>19</v>
      </c>
      <c r="X1491" t="s">
        <v>8747</v>
      </c>
      <c r="Y1491">
        <v>0.48078443185890102</v>
      </c>
      <c r="Z1491" t="str">
        <f>HYPERLINK("Melting_Curves/meltCurve_sp_Q13620_1_CUL4B_HUMAN_.pdf", "Melting_Curves/meltCurve_sp_Q13620_1_CUL4B_HUMAN_.pdf")</f>
        <v>Melting_Curves/meltCurve_sp_Q13620_1_CUL4B_HUMAN_.pdf</v>
      </c>
      <c r="AA1491" t="s">
        <v>12350</v>
      </c>
      <c r="AB1491" t="s">
        <v>15916</v>
      </c>
    </row>
    <row r="1492" spans="1:28" x14ac:dyDescent="0.25">
      <c r="A1492" t="s">
        <v>1496</v>
      </c>
      <c r="B1492">
        <v>0.98018197421672304</v>
      </c>
      <c r="C1492">
        <v>1.0134207720670101</v>
      </c>
      <c r="D1492">
        <v>0.95026119120246499</v>
      </c>
      <c r="E1492">
        <v>0.79899999056618198</v>
      </c>
      <c r="F1492">
        <v>0.63476030464598798</v>
      </c>
      <c r="G1492">
        <v>0.25565566178827098</v>
      </c>
      <c r="H1492">
        <v>8.6167586722508599E-2</v>
      </c>
      <c r="I1492">
        <v>5.7784499471391297E-2</v>
      </c>
      <c r="J1492">
        <v>6.70391469330468E-2</v>
      </c>
      <c r="K1492">
        <v>3.7894672919867999E-2</v>
      </c>
      <c r="L1492">
        <v>1087.815925958</v>
      </c>
      <c r="M1492">
        <v>20.1794748526675</v>
      </c>
      <c r="N1492">
        <v>54.0423087267027</v>
      </c>
      <c r="O1492">
        <v>53.386024049121801</v>
      </c>
      <c r="P1492">
        <v>-9.2173708606671706E-2</v>
      </c>
      <c r="Q1492">
        <v>2.4625949370160698E-2</v>
      </c>
      <c r="R1492">
        <v>0.996832117072316</v>
      </c>
      <c r="S1492" t="s">
        <v>5121</v>
      </c>
      <c r="T1492" t="s">
        <v>7256</v>
      </c>
      <c r="U1492" t="s">
        <v>7256</v>
      </c>
      <c r="V1492" t="s">
        <v>7256</v>
      </c>
      <c r="W1492">
        <v>10</v>
      </c>
      <c r="X1492" t="s">
        <v>8748</v>
      </c>
      <c r="Y1492">
        <v>0.4898626400948265</v>
      </c>
      <c r="Z1492" t="str">
        <f>HYPERLINK("Melting_Curves/meltCurve_sp_Q13630_FCL_HUMAN_.pdf", "Melting_Curves/meltCurve_sp_Q13630_FCL_HUMAN_.pdf")</f>
        <v>Melting_Curves/meltCurve_sp_Q13630_FCL_HUMAN_.pdf</v>
      </c>
      <c r="AA1492" t="s">
        <v>12351</v>
      </c>
      <c r="AB1492" t="s">
        <v>15917</v>
      </c>
    </row>
    <row r="1493" spans="1:28" x14ac:dyDescent="0.25">
      <c r="A1493" t="s">
        <v>1497</v>
      </c>
      <c r="B1493">
        <v>0.98018197421672304</v>
      </c>
      <c r="C1493">
        <v>0.93281583585884298</v>
      </c>
      <c r="D1493">
        <v>0.911422679434713</v>
      </c>
      <c r="E1493">
        <v>0.68992198586225895</v>
      </c>
      <c r="F1493">
        <v>0.60642114169162298</v>
      </c>
      <c r="G1493">
        <v>0.483337354358292</v>
      </c>
      <c r="H1493">
        <v>0.35334834352644101</v>
      </c>
      <c r="I1493">
        <v>0.38605846040719899</v>
      </c>
      <c r="J1493">
        <v>0.47951908951406802</v>
      </c>
      <c r="K1493">
        <v>0.53894164283245605</v>
      </c>
      <c r="L1493">
        <v>931.34744864573895</v>
      </c>
      <c r="M1493">
        <v>18.737661871194501</v>
      </c>
      <c r="N1493">
        <v>55.890196569992497</v>
      </c>
      <c r="O1493">
        <v>49.1488197020348</v>
      </c>
      <c r="P1493">
        <v>-5.3648407996905699E-2</v>
      </c>
      <c r="Q1493">
        <v>0.43714536123527398</v>
      </c>
      <c r="R1493">
        <v>0.94155069068154695</v>
      </c>
      <c r="S1493" t="s">
        <v>5122</v>
      </c>
      <c r="T1493" t="s">
        <v>7256</v>
      </c>
      <c r="U1493" t="s">
        <v>7256</v>
      </c>
      <c r="V1493" t="s">
        <v>7256</v>
      </c>
      <c r="W1493">
        <v>5</v>
      </c>
      <c r="X1493" t="s">
        <v>8749</v>
      </c>
      <c r="Y1493">
        <v>0.62813681600472626</v>
      </c>
      <c r="Z1493" t="str">
        <f>HYPERLINK("Melting_Curves/meltCurve_sp_Q13642_1_FHL1_HUMAN_.pdf", "Melting_Curves/meltCurve_sp_Q13642_1_FHL1_HUMAN_.pdf")</f>
        <v>Melting_Curves/meltCurve_sp_Q13642_1_FHL1_HUMAN_.pdf</v>
      </c>
      <c r="AA1493" t="s">
        <v>12352</v>
      </c>
      <c r="AB1493" t="s">
        <v>15918</v>
      </c>
    </row>
    <row r="1494" spans="1:28" x14ac:dyDescent="0.25">
      <c r="A1494" t="s">
        <v>1498</v>
      </c>
      <c r="B1494">
        <v>0.98018197421672304</v>
      </c>
      <c r="C1494">
        <v>0.82085549807033698</v>
      </c>
      <c r="D1494">
        <v>0.82907311220777102</v>
      </c>
      <c r="E1494">
        <v>0.64645961446312905</v>
      </c>
      <c r="F1494">
        <v>0.527822953077006</v>
      </c>
      <c r="G1494">
        <v>0.31975327647233298</v>
      </c>
      <c r="H1494">
        <v>0.22169993910740299</v>
      </c>
      <c r="I1494">
        <v>0.19936729237363299</v>
      </c>
      <c r="J1494">
        <v>0.21196177192165899</v>
      </c>
      <c r="K1494">
        <v>0.231781528861292</v>
      </c>
      <c r="L1494">
        <v>563.79545843858705</v>
      </c>
      <c r="M1494">
        <v>11.0182964894123</v>
      </c>
      <c r="N1494">
        <v>52.756049873565303</v>
      </c>
      <c r="O1494">
        <v>49.570195031636899</v>
      </c>
      <c r="P1494">
        <v>-4.7746520947039801E-2</v>
      </c>
      <c r="Q1494">
        <v>0.141061048954362</v>
      </c>
      <c r="R1494">
        <v>0.97991520814036404</v>
      </c>
      <c r="S1494" t="s">
        <v>5123</v>
      </c>
      <c r="T1494" t="s">
        <v>7256</v>
      </c>
      <c r="U1494" t="s">
        <v>7256</v>
      </c>
      <c r="V1494" t="s">
        <v>7256</v>
      </c>
      <c r="W1494">
        <v>6</v>
      </c>
      <c r="X1494" t="s">
        <v>8750</v>
      </c>
      <c r="Y1494">
        <v>0.49198665244594841</v>
      </c>
      <c r="Z1494" t="str">
        <f>HYPERLINK("Melting_Curves/meltCurve_sp_Q13796_SHRM2_HUMAN_.pdf", "Melting_Curves/meltCurve_sp_Q13796_SHRM2_HUMAN_.pdf")</f>
        <v>Melting_Curves/meltCurve_sp_Q13796_SHRM2_HUMAN_.pdf</v>
      </c>
      <c r="AA1494" t="s">
        <v>12353</v>
      </c>
      <c r="AB1494" t="s">
        <v>15919</v>
      </c>
    </row>
    <row r="1495" spans="1:28" x14ac:dyDescent="0.25">
      <c r="A1495" t="s">
        <v>1499</v>
      </c>
      <c r="B1495">
        <v>0.98018197421672304</v>
      </c>
      <c r="C1495">
        <v>0.980653143605832</v>
      </c>
      <c r="D1495">
        <v>0.934755109163252</v>
      </c>
      <c r="E1495">
        <v>0.77608513498332699</v>
      </c>
      <c r="F1495">
        <v>0.66271774498296299</v>
      </c>
      <c r="G1495">
        <v>0.36859484235294898</v>
      </c>
      <c r="H1495">
        <v>8.4382969952859599E-2</v>
      </c>
      <c r="I1495">
        <v>5.2321686557019603E-2</v>
      </c>
      <c r="J1495">
        <v>4.05127074044919E-2</v>
      </c>
      <c r="K1495">
        <v>3.1541167827094901E-2</v>
      </c>
      <c r="L1495">
        <v>926.82429332799995</v>
      </c>
      <c r="M1495">
        <v>16.972616764573502</v>
      </c>
      <c r="N1495">
        <v>54.607035935169897</v>
      </c>
      <c r="O1495">
        <v>53.865881395785301</v>
      </c>
      <c r="P1495">
        <v>-7.8777474350961704E-2</v>
      </c>
      <c r="Q1495">
        <v>0</v>
      </c>
      <c r="R1495">
        <v>0.99313162182394299</v>
      </c>
      <c r="S1495" t="s">
        <v>5124</v>
      </c>
      <c r="T1495" t="s">
        <v>7256</v>
      </c>
      <c r="U1495" t="s">
        <v>7256</v>
      </c>
      <c r="V1495" t="s">
        <v>7256</v>
      </c>
      <c r="W1495">
        <v>125</v>
      </c>
      <c r="X1495" t="s">
        <v>8751</v>
      </c>
      <c r="Y1495">
        <v>0.50391098045343807</v>
      </c>
      <c r="Z1495" t="str">
        <f>HYPERLINK("Melting_Curves/meltCurve_sp_Q13813_2_SPTN1_HUMAN_.pdf", "Melting_Curves/meltCurve_sp_Q13813_2_SPTN1_HUMAN_.pdf")</f>
        <v>Melting_Curves/meltCurve_sp_Q13813_2_SPTN1_HUMAN_.pdf</v>
      </c>
      <c r="AA1495" t="s">
        <v>12354</v>
      </c>
      <c r="AB1495" t="s">
        <v>15920</v>
      </c>
    </row>
    <row r="1496" spans="1:28" x14ac:dyDescent="0.25">
      <c r="A1496" t="s">
        <v>1500</v>
      </c>
      <c r="B1496">
        <v>0.98018197421672304</v>
      </c>
      <c r="C1496">
        <v>0.95671733887106603</v>
      </c>
      <c r="D1496">
        <v>0.88263713783204101</v>
      </c>
      <c r="E1496">
        <v>0.75544582206753097</v>
      </c>
      <c r="F1496">
        <v>0.67685520636091101</v>
      </c>
      <c r="G1496">
        <v>0.42520504151754002</v>
      </c>
      <c r="H1496">
        <v>0.17765316834894901</v>
      </c>
      <c r="I1496">
        <v>0.11917011540113399</v>
      </c>
      <c r="J1496">
        <v>0.105747291516845</v>
      </c>
      <c r="K1496">
        <v>0.105169167769847</v>
      </c>
      <c r="L1496">
        <v>686.96921206610705</v>
      </c>
      <c r="M1496">
        <v>12.459054331653901</v>
      </c>
      <c r="N1496">
        <v>55.138150435998703</v>
      </c>
      <c r="O1496">
        <v>53.775482903499999</v>
      </c>
      <c r="P1496">
        <v>-5.79337097119655E-2</v>
      </c>
      <c r="Q1496">
        <v>0</v>
      </c>
      <c r="R1496">
        <v>0.99056174326912405</v>
      </c>
      <c r="S1496" t="s">
        <v>5125</v>
      </c>
      <c r="T1496" t="s">
        <v>7256</v>
      </c>
      <c r="U1496" t="s">
        <v>7256</v>
      </c>
      <c r="V1496" t="s">
        <v>7256</v>
      </c>
      <c r="W1496">
        <v>125</v>
      </c>
      <c r="X1496" t="s">
        <v>8752</v>
      </c>
      <c r="Y1496">
        <v>0.52707263298776597</v>
      </c>
      <c r="Z1496" t="str">
        <f>HYPERLINK("Melting_Curves/meltCurve_sp_Q13813_SPTN1_HUMAN_.pdf", "Melting_Curves/meltCurve_sp_Q13813_SPTN1_HUMAN_.pdf")</f>
        <v>Melting_Curves/meltCurve_sp_Q13813_SPTN1_HUMAN_.pdf</v>
      </c>
      <c r="AA1496" t="s">
        <v>12354</v>
      </c>
      <c r="AB1496" t="s">
        <v>15921</v>
      </c>
    </row>
    <row r="1497" spans="1:28" x14ac:dyDescent="0.25">
      <c r="A1497" t="s">
        <v>1501</v>
      </c>
      <c r="B1497">
        <v>0.98018197421672304</v>
      </c>
      <c r="C1497">
        <v>1.08258355463607</v>
      </c>
      <c r="D1497">
        <v>0.894747622751775</v>
      </c>
      <c r="E1497">
        <v>0.768904959240721</v>
      </c>
      <c r="F1497">
        <v>0.59164474282866597</v>
      </c>
      <c r="G1497">
        <v>0.50477365378674899</v>
      </c>
      <c r="H1497">
        <v>0.28088793565914</v>
      </c>
      <c r="I1497">
        <v>0.116127868705365</v>
      </c>
      <c r="J1497">
        <v>8.5817737412456602E-2</v>
      </c>
      <c r="K1497">
        <v>6.7719163107263197E-2</v>
      </c>
      <c r="L1497">
        <v>671.17135026300195</v>
      </c>
      <c r="M1497">
        <v>12.0835329348921</v>
      </c>
      <c r="N1497">
        <v>55.544279843364002</v>
      </c>
      <c r="O1497">
        <v>54.088674205824098</v>
      </c>
      <c r="P1497">
        <v>-5.5863675783183499E-2</v>
      </c>
      <c r="Q1497">
        <v>0</v>
      </c>
      <c r="R1497">
        <v>0.97991442877245005</v>
      </c>
      <c r="S1497" t="s">
        <v>5126</v>
      </c>
      <c r="T1497" t="s">
        <v>7256</v>
      </c>
      <c r="U1497" t="s">
        <v>7256</v>
      </c>
      <c r="V1497" t="s">
        <v>7256</v>
      </c>
      <c r="W1497">
        <v>12</v>
      </c>
      <c r="X1497" t="s">
        <v>8753</v>
      </c>
      <c r="Y1497">
        <v>0.53989829045375848</v>
      </c>
      <c r="Z1497" t="str">
        <f>HYPERLINK("Melting_Curves/meltCurve_sp_Q13825_AUHM_HUMAN_.pdf", "Melting_Curves/meltCurve_sp_Q13825_AUHM_HUMAN_.pdf")</f>
        <v>Melting_Curves/meltCurve_sp_Q13825_AUHM_HUMAN_.pdf</v>
      </c>
      <c r="AA1497" t="s">
        <v>12355</v>
      </c>
      <c r="AB1497" t="s">
        <v>15922</v>
      </c>
    </row>
    <row r="1498" spans="1:28" x14ac:dyDescent="0.25">
      <c r="A1498" t="s">
        <v>1502</v>
      </c>
      <c r="B1498">
        <v>0.98018197421672304</v>
      </c>
      <c r="C1498">
        <v>0.71504467779883096</v>
      </c>
      <c r="D1498">
        <v>0.87020597564163504</v>
      </c>
      <c r="E1498">
        <v>0.64953218758178</v>
      </c>
      <c r="F1498">
        <v>0.63215051089174201</v>
      </c>
      <c r="G1498">
        <v>0.11547515428923601</v>
      </c>
      <c r="H1498">
        <v>2.3315226471439399</v>
      </c>
      <c r="I1498">
        <v>0.38887965491183901</v>
      </c>
      <c r="J1498">
        <v>10.0607686581059</v>
      </c>
      <c r="K1498">
        <v>3.2754053188307899</v>
      </c>
      <c r="L1498">
        <v>2240.3376918741401</v>
      </c>
      <c r="M1498">
        <v>38.110772735259303</v>
      </c>
      <c r="O1498">
        <v>58.623737953500303</v>
      </c>
      <c r="P1498">
        <v>8.1261596401382502E-2</v>
      </c>
      <c r="Q1498">
        <v>1.5</v>
      </c>
      <c r="R1498">
        <v>7.2034115100262398E-3</v>
      </c>
      <c r="S1498" t="s">
        <v>5127</v>
      </c>
      <c r="T1498" t="s">
        <v>7256</v>
      </c>
      <c r="U1498" t="s">
        <v>7256</v>
      </c>
      <c r="V1498" t="s">
        <v>7256</v>
      </c>
      <c r="W1498">
        <v>6</v>
      </c>
      <c r="X1498" t="s">
        <v>8754</v>
      </c>
      <c r="Y1498">
        <v>1.1847644688263921</v>
      </c>
      <c r="Z1498" t="str">
        <f>HYPERLINK("Melting_Curves/meltCurve_sp_Q13835_2_PKP1_HUMAN_.pdf", "Melting_Curves/meltCurve_sp_Q13835_2_PKP1_HUMAN_.pdf")</f>
        <v>Melting_Curves/meltCurve_sp_Q13835_2_PKP1_HUMAN_.pdf</v>
      </c>
      <c r="AA1498" t="s">
        <v>12356</v>
      </c>
      <c r="AB1498" t="s">
        <v>15923</v>
      </c>
    </row>
    <row r="1499" spans="1:28" x14ac:dyDescent="0.25">
      <c r="A1499" t="s">
        <v>1503</v>
      </c>
      <c r="B1499">
        <v>0.98018197421672304</v>
      </c>
      <c r="C1499">
        <v>0.97302702896104498</v>
      </c>
      <c r="D1499">
        <v>0.893883868725875</v>
      </c>
      <c r="E1499">
        <v>0.69278203380984904</v>
      </c>
      <c r="F1499">
        <v>0.62239813373130903</v>
      </c>
      <c r="G1499">
        <v>0.19059129127428501</v>
      </c>
      <c r="H1499">
        <v>7.8325264958037294E-2</v>
      </c>
      <c r="I1499">
        <v>5.0420624464973501E-2</v>
      </c>
      <c r="J1499">
        <v>5.0642143602309397E-2</v>
      </c>
      <c r="K1499">
        <v>3.9347910669048303E-2</v>
      </c>
      <c r="L1499">
        <v>882.91868696365498</v>
      </c>
      <c r="M1499">
        <v>16.586463992898999</v>
      </c>
      <c r="N1499">
        <v>53.231281688965197</v>
      </c>
      <c r="O1499">
        <v>52.475564070329597</v>
      </c>
      <c r="P1499">
        <v>-7.9025321578628002E-2</v>
      </c>
      <c r="Q1499">
        <v>0</v>
      </c>
      <c r="R1499">
        <v>0.986552105570074</v>
      </c>
      <c r="S1499" t="s">
        <v>5128</v>
      </c>
      <c r="T1499" t="s">
        <v>7256</v>
      </c>
      <c r="U1499" t="s">
        <v>7256</v>
      </c>
      <c r="V1499" t="s">
        <v>7256</v>
      </c>
      <c r="W1499">
        <v>19</v>
      </c>
      <c r="X1499" t="s">
        <v>8755</v>
      </c>
      <c r="Y1499">
        <v>0.4595120506271147</v>
      </c>
      <c r="Z1499" t="str">
        <f>HYPERLINK("Melting_Curves/meltCurve_sp_Q13838_DX39B_HUMAN_.pdf", "Melting_Curves/meltCurve_sp_Q13838_DX39B_HUMAN_.pdf")</f>
        <v>Melting_Curves/meltCurve_sp_Q13838_DX39B_HUMAN_.pdf</v>
      </c>
      <c r="AA1499" t="s">
        <v>12357</v>
      </c>
      <c r="AB1499" t="s">
        <v>15924</v>
      </c>
    </row>
    <row r="1500" spans="1:28" x14ac:dyDescent="0.25">
      <c r="A1500" t="s">
        <v>1504</v>
      </c>
      <c r="B1500">
        <v>0.98018197421672304</v>
      </c>
      <c r="C1500">
        <v>0.95599306906517001</v>
      </c>
      <c r="D1500">
        <v>0.87637599380380304</v>
      </c>
      <c r="E1500">
        <v>0.73931433406912705</v>
      </c>
      <c r="F1500">
        <v>0.62699184705242905</v>
      </c>
      <c r="G1500">
        <v>0.46775605635383999</v>
      </c>
      <c r="H1500">
        <v>0.34691782483608802</v>
      </c>
      <c r="I1500">
        <v>0.22202367677338999</v>
      </c>
      <c r="J1500">
        <v>0.10940837418558599</v>
      </c>
      <c r="K1500">
        <v>8.2969184543713798E-2</v>
      </c>
      <c r="L1500">
        <v>556.23207019907795</v>
      </c>
      <c r="M1500">
        <v>9.9693722899596899</v>
      </c>
      <c r="N1500">
        <v>55.7940915447059</v>
      </c>
      <c r="O1500">
        <v>53.6884644039501</v>
      </c>
      <c r="P1500">
        <v>-4.64451674837855E-2</v>
      </c>
      <c r="Q1500">
        <v>0</v>
      </c>
      <c r="R1500">
        <v>0.99340671654216595</v>
      </c>
      <c r="S1500" t="s">
        <v>5129</v>
      </c>
      <c r="T1500" t="s">
        <v>7256</v>
      </c>
      <c r="U1500" t="s">
        <v>7256</v>
      </c>
      <c r="V1500" t="s">
        <v>7256</v>
      </c>
      <c r="W1500">
        <v>10</v>
      </c>
      <c r="X1500" t="s">
        <v>8756</v>
      </c>
      <c r="Y1500">
        <v>0.5485963743491179</v>
      </c>
      <c r="Z1500" t="str">
        <f>HYPERLINK("Melting_Curves/meltCurve_sp_Q13867_BLMH_HUMAN_.pdf", "Melting_Curves/meltCurve_sp_Q13867_BLMH_HUMAN_.pdf")</f>
        <v>Melting_Curves/meltCurve_sp_Q13867_BLMH_HUMAN_.pdf</v>
      </c>
      <c r="AA1500" t="s">
        <v>12358</v>
      </c>
      <c r="AB1500" t="s">
        <v>15925</v>
      </c>
    </row>
    <row r="1501" spans="1:28" x14ac:dyDescent="0.25">
      <c r="A1501" t="s">
        <v>1505</v>
      </c>
      <c r="B1501">
        <v>0.98018197421672304</v>
      </c>
      <c r="C1501">
        <v>0.94846389043493495</v>
      </c>
      <c r="D1501">
        <v>0.86013420034773103</v>
      </c>
      <c r="E1501">
        <v>0.43812666436925302</v>
      </c>
      <c r="F1501">
        <v>0.204374662191592</v>
      </c>
      <c r="G1501">
        <v>0.12835237628908</v>
      </c>
      <c r="H1501">
        <v>8.2943219320304601E-2</v>
      </c>
      <c r="I1501">
        <v>6.5369150525295294E-2</v>
      </c>
      <c r="J1501">
        <v>7.7091258715239905E-2</v>
      </c>
      <c r="K1501">
        <v>6.2032030727591801E-2</v>
      </c>
      <c r="L1501">
        <v>1164.0826378050599</v>
      </c>
      <c r="M1501">
        <v>23.6901400262213</v>
      </c>
      <c r="N1501">
        <v>49.460685841023498</v>
      </c>
      <c r="O1501">
        <v>48.791729348792998</v>
      </c>
      <c r="P1501">
        <v>-0.11269085146235799</v>
      </c>
      <c r="Q1501">
        <v>7.1632172244067094E-2</v>
      </c>
      <c r="R1501">
        <v>0.99872203945903004</v>
      </c>
      <c r="S1501" t="s">
        <v>5130</v>
      </c>
      <c r="T1501" t="s">
        <v>7256</v>
      </c>
      <c r="U1501" t="s">
        <v>7256</v>
      </c>
      <c r="V1501" t="s">
        <v>7256</v>
      </c>
      <c r="W1501">
        <v>11</v>
      </c>
      <c r="X1501" t="s">
        <v>8757</v>
      </c>
      <c r="Y1501">
        <v>0.36360440124802612</v>
      </c>
      <c r="Z1501" t="str">
        <f>HYPERLINK("Melting_Curves/meltCurve_sp_Q13884_SNTB1_HUMAN_.pdf", "Melting_Curves/meltCurve_sp_Q13884_SNTB1_HUMAN_.pdf")</f>
        <v>Melting_Curves/meltCurve_sp_Q13884_SNTB1_HUMAN_.pdf</v>
      </c>
      <c r="AA1501" t="s">
        <v>12359</v>
      </c>
      <c r="AB1501" t="s">
        <v>15926</v>
      </c>
    </row>
    <row r="1502" spans="1:28" x14ac:dyDescent="0.25">
      <c r="A1502" t="s">
        <v>1506</v>
      </c>
      <c r="B1502">
        <v>0.98018197421672304</v>
      </c>
      <c r="C1502">
        <v>0.80344954149216297</v>
      </c>
      <c r="D1502">
        <v>0.59529366393534799</v>
      </c>
      <c r="E1502">
        <v>0.31966694475970903</v>
      </c>
      <c r="F1502">
        <v>0.146057398465364</v>
      </c>
      <c r="G1502">
        <v>7.4942981801048497E-2</v>
      </c>
      <c r="H1502">
        <v>6.1079199107359497E-2</v>
      </c>
      <c r="I1502">
        <v>5.7017981178269901E-2</v>
      </c>
      <c r="J1502">
        <v>6.9492651961956697E-2</v>
      </c>
      <c r="K1502">
        <v>6.9263886748432105E-2</v>
      </c>
      <c r="L1502">
        <v>786.07103393320699</v>
      </c>
      <c r="M1502">
        <v>16.7944747526616</v>
      </c>
      <c r="N1502">
        <v>47.099608281516602</v>
      </c>
      <c r="O1502">
        <v>46.156841301338602</v>
      </c>
      <c r="P1502">
        <v>-8.64395241484823E-2</v>
      </c>
      <c r="Q1502">
        <v>4.9802732742019601E-2</v>
      </c>
      <c r="R1502">
        <v>0.996492999373085</v>
      </c>
      <c r="S1502" t="s">
        <v>5131</v>
      </c>
      <c r="T1502" t="s">
        <v>7256</v>
      </c>
      <c r="U1502" t="s">
        <v>7256</v>
      </c>
      <c r="V1502" t="s">
        <v>7256</v>
      </c>
      <c r="W1502">
        <v>17</v>
      </c>
      <c r="X1502" t="s">
        <v>8758</v>
      </c>
      <c r="Y1502">
        <v>0.28593627881042388</v>
      </c>
      <c r="Z1502" t="str">
        <f>HYPERLINK("Melting_Curves/meltCurve_sp_Q13885_TBB2A_HUMAN_.pdf", "Melting_Curves/meltCurve_sp_Q13885_TBB2A_HUMAN_.pdf")</f>
        <v>Melting_Curves/meltCurve_sp_Q13885_TBB2A_HUMAN_.pdf</v>
      </c>
      <c r="AA1502" t="s">
        <v>12360</v>
      </c>
      <c r="AB1502" t="s">
        <v>15927</v>
      </c>
    </row>
    <row r="1503" spans="1:28" x14ac:dyDescent="0.25">
      <c r="A1503" t="s">
        <v>1507</v>
      </c>
      <c r="B1503">
        <v>0.98018197421672304</v>
      </c>
      <c r="C1503">
        <v>0.97840685955698203</v>
      </c>
      <c r="D1503">
        <v>0.947127336919528</v>
      </c>
      <c r="E1503">
        <v>0.78116443786794099</v>
      </c>
      <c r="F1503">
        <v>0.76863661960807395</v>
      </c>
      <c r="G1503">
        <v>0.56083395415669401</v>
      </c>
      <c r="H1503">
        <v>0.30712439424945598</v>
      </c>
      <c r="I1503">
        <v>0.254669952002891</v>
      </c>
      <c r="J1503">
        <v>0.213739233276247</v>
      </c>
      <c r="K1503">
        <v>0.21375956070756</v>
      </c>
      <c r="L1503">
        <v>699.376201850965</v>
      </c>
      <c r="M1503">
        <v>12.419179309015201</v>
      </c>
      <c r="N1503">
        <v>57.458510783601099</v>
      </c>
      <c r="O1503">
        <v>54.913881132809898</v>
      </c>
      <c r="P1503">
        <v>-5.0355552355321902E-2</v>
      </c>
      <c r="Q1503">
        <v>0.109559424282792</v>
      </c>
      <c r="R1503">
        <v>0.98735350486460105</v>
      </c>
      <c r="S1503" t="s">
        <v>5132</v>
      </c>
      <c r="T1503" t="s">
        <v>7256</v>
      </c>
      <c r="U1503" t="s">
        <v>7256</v>
      </c>
      <c r="V1503" t="s">
        <v>7256</v>
      </c>
      <c r="W1503">
        <v>9</v>
      </c>
      <c r="X1503" t="s">
        <v>8759</v>
      </c>
      <c r="Y1503">
        <v>0.61081024445548981</v>
      </c>
      <c r="Z1503" t="str">
        <f>HYPERLINK("Melting_Curves/meltCurve_sp_Q13907_IDI1_HUMAN_.pdf", "Melting_Curves/meltCurve_sp_Q13907_IDI1_HUMAN_.pdf")</f>
        <v>Melting_Curves/meltCurve_sp_Q13907_IDI1_HUMAN_.pdf</v>
      </c>
      <c r="AA1503" t="s">
        <v>12361</v>
      </c>
      <c r="AB1503" t="s">
        <v>15928</v>
      </c>
    </row>
    <row r="1504" spans="1:28" x14ac:dyDescent="0.25">
      <c r="A1504" t="s">
        <v>1508</v>
      </c>
      <c r="B1504">
        <v>0.98018197421672304</v>
      </c>
      <c r="C1504">
        <v>0.73392318601512496</v>
      </c>
      <c r="D1504">
        <v>0.82630967598887195</v>
      </c>
      <c r="E1504">
        <v>0.72846857488170802</v>
      </c>
      <c r="F1504">
        <v>0.50166062555064395</v>
      </c>
      <c r="G1504">
        <v>0.17777185919531899</v>
      </c>
      <c r="H1504">
        <v>8.8766249732998001E-2</v>
      </c>
      <c r="I1504">
        <v>9.1241677145676006E-2</v>
      </c>
      <c r="J1504">
        <v>5.9240113304577E-2</v>
      </c>
      <c r="K1504">
        <v>4.0960116261205597E-2</v>
      </c>
      <c r="L1504">
        <v>655.10628153689197</v>
      </c>
      <c r="M1504">
        <v>12.5585140229916</v>
      </c>
      <c r="N1504">
        <v>52.164294875182399</v>
      </c>
      <c r="O1504">
        <v>50.8946578589008</v>
      </c>
      <c r="P1504">
        <v>-6.17012286596689E-2</v>
      </c>
      <c r="Q1504">
        <v>0</v>
      </c>
      <c r="R1504">
        <v>0.94927836583927205</v>
      </c>
      <c r="S1504" t="s">
        <v>5133</v>
      </c>
      <c r="T1504" t="s">
        <v>7256</v>
      </c>
      <c r="U1504" t="s">
        <v>7256</v>
      </c>
      <c r="V1504" t="s">
        <v>7256</v>
      </c>
      <c r="W1504">
        <v>1</v>
      </c>
      <c r="X1504" t="s">
        <v>8760</v>
      </c>
      <c r="Y1504">
        <v>0.43402488523671651</v>
      </c>
      <c r="Z1504" t="str">
        <f>HYPERLINK("Melting_Curves/meltCurve_sp_Q13951_2_PEBB_HUMAN_.pdf", "Melting_Curves/meltCurve_sp_Q13951_2_PEBB_HUMAN_.pdf")</f>
        <v>Melting_Curves/meltCurve_sp_Q13951_2_PEBB_HUMAN_.pdf</v>
      </c>
      <c r="AA1504" t="s">
        <v>12362</v>
      </c>
      <c r="AB1504" t="s">
        <v>15929</v>
      </c>
    </row>
    <row r="1505" spans="1:28" x14ac:dyDescent="0.25">
      <c r="A1505" t="s">
        <v>1509</v>
      </c>
      <c r="B1505">
        <v>0.98018197421672304</v>
      </c>
      <c r="C1505">
        <v>0.92758620262603497</v>
      </c>
      <c r="D1505">
        <v>0.85845121889609199</v>
      </c>
      <c r="E1505">
        <v>0.56166222601667803</v>
      </c>
      <c r="F1505">
        <v>0.28151265956565202</v>
      </c>
      <c r="G1505">
        <v>0.16249066637999601</v>
      </c>
      <c r="H1505">
        <v>0.100731009323745</v>
      </c>
      <c r="I1505">
        <v>9.0326019995832202E-2</v>
      </c>
      <c r="J1505">
        <v>9.03335613171138E-2</v>
      </c>
      <c r="K1505">
        <v>8.2842355784184293E-2</v>
      </c>
      <c r="L1505">
        <v>971.12777187455504</v>
      </c>
      <c r="M1505">
        <v>19.422357508041099</v>
      </c>
      <c r="N1505">
        <v>50.439086091359599</v>
      </c>
      <c r="O1505">
        <v>49.479521312289599</v>
      </c>
      <c r="P1505">
        <v>-9.0512180242206197E-2</v>
      </c>
      <c r="Q1505">
        <v>7.76950519500446E-2</v>
      </c>
      <c r="R1505">
        <v>0.99780859726275295</v>
      </c>
      <c r="S1505" t="s">
        <v>5134</v>
      </c>
      <c r="T1505" t="s">
        <v>7256</v>
      </c>
      <c r="U1505" t="s">
        <v>7256</v>
      </c>
      <c r="V1505" t="s">
        <v>7256</v>
      </c>
      <c r="W1505">
        <v>7</v>
      </c>
      <c r="X1505" t="s">
        <v>8761</v>
      </c>
      <c r="Y1505">
        <v>0.39873828027950109</v>
      </c>
      <c r="Z1505" t="str">
        <f>HYPERLINK("Melting_Curves/meltCurve_sp_Q14008_2_CKAP5_HUMAN_.pdf", "Melting_Curves/meltCurve_sp_Q14008_2_CKAP5_HUMAN_.pdf")</f>
        <v>Melting_Curves/meltCurve_sp_Q14008_2_CKAP5_HUMAN_.pdf</v>
      </c>
      <c r="AA1505" t="s">
        <v>12363</v>
      </c>
      <c r="AB1505" t="s">
        <v>15930</v>
      </c>
    </row>
    <row r="1506" spans="1:28" x14ac:dyDescent="0.25">
      <c r="A1506" t="s">
        <v>1510</v>
      </c>
      <c r="B1506">
        <v>0.98018197421672304</v>
      </c>
      <c r="C1506">
        <v>1.0018854937275099</v>
      </c>
      <c r="D1506">
        <v>0.90850625752436098</v>
      </c>
      <c r="E1506">
        <v>0.59461238067281397</v>
      </c>
      <c r="F1506">
        <v>0.33224253499162099</v>
      </c>
      <c r="G1506">
        <v>0.175662594523707</v>
      </c>
      <c r="H1506">
        <v>0.13020776771593701</v>
      </c>
      <c r="I1506">
        <v>6.5343802080566907E-2</v>
      </c>
      <c r="J1506">
        <v>0.148713651801203</v>
      </c>
      <c r="K1506">
        <v>0.14013253708035001</v>
      </c>
      <c r="L1506">
        <v>1169.52229676466</v>
      </c>
      <c r="M1506">
        <v>23.216028986443199</v>
      </c>
      <c r="N1506">
        <v>50.955510708927598</v>
      </c>
      <c r="O1506">
        <v>50.006343150495397</v>
      </c>
      <c r="P1506">
        <v>-0.102593613203422</v>
      </c>
      <c r="Q1506">
        <v>0.11608677172659</v>
      </c>
      <c r="R1506">
        <v>0.99604603306946504</v>
      </c>
      <c r="S1506" t="s">
        <v>5135</v>
      </c>
      <c r="T1506" t="s">
        <v>7256</v>
      </c>
      <c r="U1506" t="s">
        <v>7256</v>
      </c>
      <c r="V1506" t="s">
        <v>7256</v>
      </c>
      <c r="W1506">
        <v>4</v>
      </c>
      <c r="X1506" t="s">
        <v>8762</v>
      </c>
      <c r="Y1506">
        <v>0.43097963633200909</v>
      </c>
      <c r="Z1506" t="str">
        <f>HYPERLINK("Melting_Curves/meltCurve_sp_Q14012_KCC1A_HUMAN_.pdf", "Melting_Curves/meltCurve_sp_Q14012_KCC1A_HUMAN_.pdf")</f>
        <v>Melting_Curves/meltCurve_sp_Q14012_KCC1A_HUMAN_.pdf</v>
      </c>
      <c r="AA1506" t="s">
        <v>12364</v>
      </c>
      <c r="AB1506" t="s">
        <v>15931</v>
      </c>
    </row>
    <row r="1507" spans="1:28" x14ac:dyDescent="0.25">
      <c r="A1507" t="s">
        <v>1511</v>
      </c>
      <c r="B1507">
        <v>0.98018197421672304</v>
      </c>
      <c r="C1507">
        <v>0.95482200632605696</v>
      </c>
      <c r="D1507">
        <v>0.94942278748671505</v>
      </c>
      <c r="E1507">
        <v>0.81506265198910499</v>
      </c>
      <c r="F1507">
        <v>0.87293572722366697</v>
      </c>
      <c r="G1507">
        <v>0.75557838851412895</v>
      </c>
      <c r="H1507">
        <v>0.385443740197003</v>
      </c>
      <c r="I1507">
        <v>0.20415372410808</v>
      </c>
      <c r="J1507">
        <v>8.1901804093655398E-2</v>
      </c>
      <c r="K1507">
        <v>5.6770141466332101E-2</v>
      </c>
      <c r="L1507">
        <v>1074.9988055561801</v>
      </c>
      <c r="M1507">
        <v>18.072379615129599</v>
      </c>
      <c r="N1507">
        <v>59.482969593310898</v>
      </c>
      <c r="O1507">
        <v>58.769007755801603</v>
      </c>
      <c r="P1507">
        <v>-7.6882599675136304E-2</v>
      </c>
      <c r="Q1507">
        <v>0</v>
      </c>
      <c r="R1507">
        <v>0.97323660423607306</v>
      </c>
      <c r="S1507" t="s">
        <v>5136</v>
      </c>
      <c r="T1507" t="s">
        <v>7256</v>
      </c>
      <c r="U1507" t="s">
        <v>7256</v>
      </c>
      <c r="V1507" t="s">
        <v>7256</v>
      </c>
      <c r="W1507">
        <v>3</v>
      </c>
      <c r="X1507" t="s">
        <v>8763</v>
      </c>
      <c r="Y1507">
        <v>0.65897178681249202</v>
      </c>
      <c r="Z1507" t="str">
        <f>HYPERLINK("Melting_Curves/meltCurve_sp_Q14019_COTL1_HUMAN_.pdf", "Melting_Curves/meltCurve_sp_Q14019_COTL1_HUMAN_.pdf")</f>
        <v>Melting_Curves/meltCurve_sp_Q14019_COTL1_HUMAN_.pdf</v>
      </c>
      <c r="AA1507" t="s">
        <v>12365</v>
      </c>
      <c r="AB1507" t="s">
        <v>15932</v>
      </c>
    </row>
    <row r="1508" spans="1:28" x14ac:dyDescent="0.25">
      <c r="A1508" t="s">
        <v>1512</v>
      </c>
      <c r="B1508">
        <v>0.98018197421672304</v>
      </c>
      <c r="C1508">
        <v>0.94370668241007305</v>
      </c>
      <c r="D1508">
        <v>0.87390464181310601</v>
      </c>
      <c r="E1508">
        <v>0.59554961994127198</v>
      </c>
      <c r="F1508">
        <v>0.29997407643914498</v>
      </c>
      <c r="G1508">
        <v>0.16851842997446401</v>
      </c>
      <c r="H1508">
        <v>8.3742457416115607E-2</v>
      </c>
      <c r="I1508">
        <v>6.3764726339222894E-2</v>
      </c>
      <c r="J1508">
        <v>4.7320062596522203E-2</v>
      </c>
      <c r="K1508">
        <v>3.3144606921256502E-2</v>
      </c>
      <c r="L1508">
        <v>931.16778646615103</v>
      </c>
      <c r="M1508">
        <v>18.389796367664399</v>
      </c>
      <c r="N1508">
        <v>50.857800244317303</v>
      </c>
      <c r="O1508">
        <v>50.047664843331503</v>
      </c>
      <c r="P1508">
        <v>-8.8310536700614298E-2</v>
      </c>
      <c r="Q1508">
        <v>3.8698273794971802E-2</v>
      </c>
      <c r="R1508">
        <v>0.99806905114482103</v>
      </c>
      <c r="S1508" t="s">
        <v>5137</v>
      </c>
      <c r="T1508" t="s">
        <v>7256</v>
      </c>
      <c r="U1508" t="s">
        <v>7256</v>
      </c>
      <c r="V1508" t="s">
        <v>7256</v>
      </c>
      <c r="W1508">
        <v>14</v>
      </c>
      <c r="X1508" t="s">
        <v>8764</v>
      </c>
      <c r="Y1508">
        <v>0.39511631982929768</v>
      </c>
      <c r="Z1508" t="str">
        <f>HYPERLINK("Melting_Curves/meltCurve_sp_Q14032_BAAT_HUMAN_.pdf", "Melting_Curves/meltCurve_sp_Q14032_BAAT_HUMAN_.pdf")</f>
        <v>Melting_Curves/meltCurve_sp_Q14032_BAAT_HUMAN_.pdf</v>
      </c>
      <c r="AA1508" t="s">
        <v>12366</v>
      </c>
      <c r="AB1508" t="s">
        <v>15933</v>
      </c>
    </row>
    <row r="1509" spans="1:28" x14ac:dyDescent="0.25">
      <c r="A1509" t="s">
        <v>1513</v>
      </c>
      <c r="B1509">
        <v>0.98018197421672304</v>
      </c>
      <c r="C1509">
        <v>0.89159564329444296</v>
      </c>
      <c r="D1509">
        <v>0.93825044160797499</v>
      </c>
      <c r="E1509">
        <v>0.85893056473871798</v>
      </c>
      <c r="F1509">
        <v>0.94676170916962898</v>
      </c>
      <c r="G1509">
        <v>0.85520334745121496</v>
      </c>
      <c r="H1509">
        <v>0.63084734457395697</v>
      </c>
      <c r="I1509">
        <v>0.65966387577807495</v>
      </c>
      <c r="J1509">
        <v>0.65949363178212805</v>
      </c>
      <c r="K1509">
        <v>0.92230622023526798</v>
      </c>
      <c r="L1509">
        <v>485.09007430102798</v>
      </c>
      <c r="M1509">
        <v>9.3298480799188894</v>
      </c>
      <c r="O1509">
        <v>49.772346731670702</v>
      </c>
      <c r="P1509">
        <v>-1.3730997995443601E-2</v>
      </c>
      <c r="Q1509">
        <v>0.70718011005404802</v>
      </c>
      <c r="R1509">
        <v>0.43597177876871102</v>
      </c>
      <c r="S1509" t="s">
        <v>5138</v>
      </c>
      <c r="T1509" t="s">
        <v>7256</v>
      </c>
      <c r="U1509" t="s">
        <v>7256</v>
      </c>
      <c r="V1509" t="s">
        <v>7256</v>
      </c>
      <c r="W1509">
        <v>7</v>
      </c>
      <c r="X1509" t="s">
        <v>8765</v>
      </c>
      <c r="Y1509">
        <v>0.83620564927158303</v>
      </c>
      <c r="Z1509" t="str">
        <f>HYPERLINK("Melting_Curves/meltCurve_sp_Q14061_COX17_HUMAN_.pdf", "Melting_Curves/meltCurve_sp_Q14061_COX17_HUMAN_.pdf")</f>
        <v>Melting_Curves/meltCurve_sp_Q14061_COX17_HUMAN_.pdf</v>
      </c>
      <c r="AA1509" t="s">
        <v>12367</v>
      </c>
      <c r="AB1509" t="s">
        <v>15934</v>
      </c>
    </row>
    <row r="1510" spans="1:28" x14ac:dyDescent="0.25">
      <c r="A1510" t="s">
        <v>1514</v>
      </c>
      <c r="B1510">
        <v>0.98018197421672304</v>
      </c>
      <c r="C1510">
        <v>1.0168809157746199</v>
      </c>
      <c r="D1510">
        <v>0.95224000443824097</v>
      </c>
      <c r="E1510">
        <v>0.82413937876560694</v>
      </c>
      <c r="F1510">
        <v>0.77324400612646305</v>
      </c>
      <c r="G1510">
        <v>0.635475486118526</v>
      </c>
      <c r="H1510">
        <v>0.498125754734418</v>
      </c>
      <c r="I1510">
        <v>0.50020310395415502</v>
      </c>
      <c r="J1510">
        <v>0.57147184966840603</v>
      </c>
      <c r="K1510">
        <v>0.58750876353138803</v>
      </c>
      <c r="L1510">
        <v>935.46975957640598</v>
      </c>
      <c r="M1510">
        <v>17.902641981209801</v>
      </c>
      <c r="O1510">
        <v>51.614279573643003</v>
      </c>
      <c r="P1510">
        <v>-4.06665641080666E-2</v>
      </c>
      <c r="Q1510">
        <v>0.53104807335826698</v>
      </c>
      <c r="R1510">
        <v>0.96142237909117301</v>
      </c>
      <c r="S1510" t="s">
        <v>5139</v>
      </c>
      <c r="T1510" t="s">
        <v>7256</v>
      </c>
      <c r="U1510" t="s">
        <v>7256</v>
      </c>
      <c r="V1510" t="s">
        <v>7256</v>
      </c>
      <c r="W1510">
        <v>10</v>
      </c>
      <c r="X1510" t="s">
        <v>8766</v>
      </c>
      <c r="Y1510">
        <v>0.73043295491872018</v>
      </c>
      <c r="Z1510" t="str">
        <f>HYPERLINK("Melting_Curves/meltCurve_sp_Q14103_3_HNRPD_HUMAN_.pdf", "Melting_Curves/meltCurve_sp_Q14103_3_HNRPD_HUMAN_.pdf")</f>
        <v>Melting_Curves/meltCurve_sp_Q14103_3_HNRPD_HUMAN_.pdf</v>
      </c>
      <c r="AA1510" t="s">
        <v>12368</v>
      </c>
      <c r="AB1510" t="s">
        <v>15935</v>
      </c>
    </row>
    <row r="1511" spans="1:28" x14ac:dyDescent="0.25">
      <c r="A1511" t="s">
        <v>1515</v>
      </c>
      <c r="B1511">
        <v>0.98018197421672304</v>
      </c>
      <c r="C1511">
        <v>0.894700707501905</v>
      </c>
      <c r="D1511">
        <v>0.85997431028974203</v>
      </c>
      <c r="E1511">
        <v>0.68235995290224905</v>
      </c>
      <c r="F1511">
        <v>0.60893619179733804</v>
      </c>
      <c r="G1511">
        <v>0.554486545189945</v>
      </c>
      <c r="H1511">
        <v>0.351778295442365</v>
      </c>
      <c r="I1511">
        <v>0.26829520303736198</v>
      </c>
      <c r="J1511">
        <v>0.22384570089326</v>
      </c>
      <c r="K1511">
        <v>0.107833589043364</v>
      </c>
      <c r="L1511">
        <v>447.58545356978999</v>
      </c>
      <c r="M1511">
        <v>7.9633906879549796</v>
      </c>
      <c r="N1511">
        <v>56.205386762442899</v>
      </c>
      <c r="O1511">
        <v>52.992900785045499</v>
      </c>
      <c r="P1511">
        <v>-3.7611425794529398E-2</v>
      </c>
      <c r="Q1511">
        <v>0</v>
      </c>
      <c r="R1511">
        <v>0.98291817835384998</v>
      </c>
      <c r="S1511" t="s">
        <v>5140</v>
      </c>
      <c r="T1511" t="s">
        <v>7256</v>
      </c>
      <c r="U1511" t="s">
        <v>7256</v>
      </c>
      <c r="V1511" t="s">
        <v>7256</v>
      </c>
      <c r="W1511">
        <v>2</v>
      </c>
      <c r="X1511" t="s">
        <v>8767</v>
      </c>
      <c r="Y1511">
        <v>0.55836443644659506</v>
      </c>
      <c r="Z1511" t="str">
        <f>HYPERLINK("Melting_Curves/meltCurve_sp_Q14116_2_IL18_HUMAN_.pdf", "Melting_Curves/meltCurve_sp_Q14116_2_IL18_HUMAN_.pdf")</f>
        <v>Melting_Curves/meltCurve_sp_Q14116_2_IL18_HUMAN_.pdf</v>
      </c>
      <c r="AA1511" t="s">
        <v>12369</v>
      </c>
      <c r="AB1511" t="s">
        <v>15936</v>
      </c>
    </row>
    <row r="1512" spans="1:28" x14ac:dyDescent="0.25">
      <c r="A1512" t="s">
        <v>1516</v>
      </c>
      <c r="B1512">
        <v>0.98018197421672304</v>
      </c>
      <c r="C1512">
        <v>0.94826918107954605</v>
      </c>
      <c r="D1512">
        <v>0.92310652148504901</v>
      </c>
      <c r="E1512">
        <v>0.84137402357117397</v>
      </c>
      <c r="F1512">
        <v>0.70359401179340098</v>
      </c>
      <c r="G1512">
        <v>0.50009530000256197</v>
      </c>
      <c r="H1512">
        <v>0.13436163782751301</v>
      </c>
      <c r="I1512">
        <v>5.62488152939222E-2</v>
      </c>
      <c r="J1512">
        <v>5.9445245924767E-2</v>
      </c>
      <c r="K1512">
        <v>4.0575356968202601E-2</v>
      </c>
      <c r="L1512">
        <v>937.32760414641302</v>
      </c>
      <c r="M1512">
        <v>16.7863679310388</v>
      </c>
      <c r="N1512">
        <v>55.838634435815599</v>
      </c>
      <c r="O1512">
        <v>55.064249685189502</v>
      </c>
      <c r="P1512">
        <v>-7.6217625398739594E-2</v>
      </c>
      <c r="Q1512">
        <v>0</v>
      </c>
      <c r="R1512">
        <v>0.98701634649877801</v>
      </c>
      <c r="S1512" t="s">
        <v>5141</v>
      </c>
      <c r="T1512" t="s">
        <v>7256</v>
      </c>
      <c r="U1512" t="s">
        <v>7256</v>
      </c>
      <c r="V1512" t="s">
        <v>7256</v>
      </c>
      <c r="W1512">
        <v>26</v>
      </c>
      <c r="X1512" t="s">
        <v>8768</v>
      </c>
      <c r="Y1512">
        <v>0.54406824403872567</v>
      </c>
      <c r="Z1512" t="str">
        <f>HYPERLINK("Melting_Curves/meltCurve_sp_Q14117_DPYS_HUMAN_.pdf", "Melting_Curves/meltCurve_sp_Q14117_DPYS_HUMAN_.pdf")</f>
        <v>Melting_Curves/meltCurve_sp_Q14117_DPYS_HUMAN_.pdf</v>
      </c>
      <c r="AA1512" t="s">
        <v>12370</v>
      </c>
      <c r="AB1512" t="s">
        <v>15937</v>
      </c>
    </row>
    <row r="1513" spans="1:28" x14ac:dyDescent="0.25">
      <c r="A1513" t="s">
        <v>1517</v>
      </c>
      <c r="B1513">
        <v>0.98018197421672304</v>
      </c>
      <c r="C1513">
        <v>0.93433191657458203</v>
      </c>
      <c r="D1513">
        <v>0.88228030515761102</v>
      </c>
      <c r="E1513">
        <v>0.73155166801662497</v>
      </c>
      <c r="F1513">
        <v>0.620740607202103</v>
      </c>
      <c r="G1513">
        <v>0.50868516647886297</v>
      </c>
      <c r="H1513">
        <v>0.37358522704344699</v>
      </c>
      <c r="I1513">
        <v>0.37493093779833903</v>
      </c>
      <c r="J1513">
        <v>0.32020961618620902</v>
      </c>
      <c r="K1513">
        <v>0.42160622990990299</v>
      </c>
      <c r="L1513">
        <v>654.17929364510303</v>
      </c>
      <c r="M1513">
        <v>12.676751906214999</v>
      </c>
      <c r="N1513">
        <v>56.435783053973303</v>
      </c>
      <c r="O1513">
        <v>50.371014174821703</v>
      </c>
      <c r="P1513">
        <v>-4.2094593449638597E-2</v>
      </c>
      <c r="Q1513">
        <v>0.33107965625927699</v>
      </c>
      <c r="R1513">
        <v>0.98372526606564603</v>
      </c>
      <c r="S1513" t="s">
        <v>5142</v>
      </c>
      <c r="T1513" t="s">
        <v>7256</v>
      </c>
      <c r="U1513" t="s">
        <v>7256</v>
      </c>
      <c r="V1513" t="s">
        <v>7256</v>
      </c>
      <c r="W1513">
        <v>5</v>
      </c>
      <c r="X1513" t="s">
        <v>8769</v>
      </c>
      <c r="Y1513">
        <v>0.60931615687041429</v>
      </c>
      <c r="Z1513" t="str">
        <f>HYPERLINK("Melting_Curves/meltCurve_sp_Q14118_DAG1_HUMAN_.pdf", "Melting_Curves/meltCurve_sp_Q14118_DAG1_HUMAN_.pdf")</f>
        <v>Melting_Curves/meltCurve_sp_Q14118_DAG1_HUMAN_.pdf</v>
      </c>
      <c r="AA1513" t="s">
        <v>12371</v>
      </c>
      <c r="AB1513" t="s">
        <v>15938</v>
      </c>
    </row>
    <row r="1514" spans="1:28" x14ac:dyDescent="0.25">
      <c r="A1514" t="s">
        <v>1518</v>
      </c>
      <c r="B1514">
        <v>0.98018197421672304</v>
      </c>
      <c r="C1514">
        <v>0.93788013137170401</v>
      </c>
      <c r="D1514">
        <v>0.91826804402246598</v>
      </c>
      <c r="E1514">
        <v>0.73702328052925303</v>
      </c>
      <c r="F1514">
        <v>0.62857095989838396</v>
      </c>
      <c r="G1514">
        <v>0.42540523028785299</v>
      </c>
      <c r="H1514">
        <v>0.34796862419733698</v>
      </c>
      <c r="I1514">
        <v>0.36268210795950401</v>
      </c>
      <c r="J1514">
        <v>0.46006376126022702</v>
      </c>
      <c r="K1514">
        <v>0.50572803007577805</v>
      </c>
      <c r="L1514">
        <v>1010.05650660266</v>
      </c>
      <c r="M1514">
        <v>19.949884823274001</v>
      </c>
      <c r="N1514">
        <v>55.359282666573201</v>
      </c>
      <c r="O1514">
        <v>50.129209535345197</v>
      </c>
      <c r="P1514">
        <v>-5.8795923427198103E-2</v>
      </c>
      <c r="Q1514">
        <v>0.40905999211539601</v>
      </c>
      <c r="R1514">
        <v>0.95058795711397404</v>
      </c>
      <c r="S1514" t="s">
        <v>5143</v>
      </c>
      <c r="T1514" t="s">
        <v>7256</v>
      </c>
      <c r="U1514" t="s">
        <v>7256</v>
      </c>
      <c r="V1514" t="s">
        <v>7256</v>
      </c>
      <c r="W1514">
        <v>4</v>
      </c>
      <c r="X1514" t="s">
        <v>8770</v>
      </c>
      <c r="Y1514">
        <v>0.6266935891470955</v>
      </c>
      <c r="Z1514" t="str">
        <f>HYPERLINK("Melting_Curves/meltCurve_sp_Q14126_DSG2_HUMAN_.pdf", "Melting_Curves/meltCurve_sp_Q14126_DSG2_HUMAN_.pdf")</f>
        <v>Melting_Curves/meltCurve_sp_Q14126_DSG2_HUMAN_.pdf</v>
      </c>
      <c r="AA1514" t="s">
        <v>12372</v>
      </c>
      <c r="AB1514" t="s">
        <v>15939</v>
      </c>
    </row>
    <row r="1515" spans="1:28" x14ac:dyDescent="0.25">
      <c r="A1515" t="s">
        <v>1519</v>
      </c>
      <c r="B1515">
        <v>0.98018197421672304</v>
      </c>
      <c r="C1515">
        <v>0.94548578426542695</v>
      </c>
      <c r="D1515">
        <v>0.86846365860956098</v>
      </c>
      <c r="E1515">
        <v>0.50998867097120903</v>
      </c>
      <c r="F1515">
        <v>0.13852213504423</v>
      </c>
      <c r="G1515">
        <v>0.106123800562722</v>
      </c>
      <c r="H1515">
        <v>6.6372873380831601E-2</v>
      </c>
      <c r="I1515">
        <v>5.5383163109591897E-2</v>
      </c>
      <c r="J1515">
        <v>2.91007766955583E-2</v>
      </c>
      <c r="K1515">
        <v>4.5876383991999101E-2</v>
      </c>
      <c r="L1515">
        <v>1291.85343284839</v>
      </c>
      <c r="M1515">
        <v>26.051710018137701</v>
      </c>
      <c r="N1515">
        <v>49.771305093055602</v>
      </c>
      <c r="O1515">
        <v>49.2986324102773</v>
      </c>
      <c r="P1515">
        <v>-0.12607136670191099</v>
      </c>
      <c r="Q1515">
        <v>4.5732564106151903E-2</v>
      </c>
      <c r="R1515">
        <v>0.99443465442839496</v>
      </c>
      <c r="S1515" t="s">
        <v>5144</v>
      </c>
      <c r="T1515" t="s">
        <v>7256</v>
      </c>
      <c r="U1515" t="s">
        <v>7256</v>
      </c>
      <c r="V1515" t="s">
        <v>7256</v>
      </c>
      <c r="W1515">
        <v>4</v>
      </c>
      <c r="X1515" t="s">
        <v>8771</v>
      </c>
      <c r="Y1515">
        <v>0.35853094722678869</v>
      </c>
      <c r="Z1515" t="str">
        <f>HYPERLINK("Melting_Curves/meltCurve_sp_Q14139_UBE4A_HUMAN_.pdf", "Melting_Curves/meltCurve_sp_Q14139_UBE4A_HUMAN_.pdf")</f>
        <v>Melting_Curves/meltCurve_sp_Q14139_UBE4A_HUMAN_.pdf</v>
      </c>
      <c r="AA1515" t="s">
        <v>12373</v>
      </c>
      <c r="AB1515" t="s">
        <v>15940</v>
      </c>
    </row>
    <row r="1516" spans="1:28" x14ac:dyDescent="0.25">
      <c r="A1516" t="s">
        <v>1520</v>
      </c>
      <c r="B1516">
        <v>0.98018197421672304</v>
      </c>
      <c r="C1516">
        <v>0.98918198069025598</v>
      </c>
      <c r="D1516">
        <v>0.93210514652071597</v>
      </c>
      <c r="E1516">
        <v>0.81890088170452002</v>
      </c>
      <c r="F1516">
        <v>0.59843184611991596</v>
      </c>
      <c r="G1516">
        <v>0.351689036563607</v>
      </c>
      <c r="H1516">
        <v>0.247904256729299</v>
      </c>
      <c r="I1516">
        <v>0.14591507534363499</v>
      </c>
      <c r="J1516">
        <v>7.1996299192427102E-2</v>
      </c>
      <c r="K1516">
        <v>4.9853266337754901E-2</v>
      </c>
      <c r="L1516">
        <v>754.39204538401304</v>
      </c>
      <c r="M1516">
        <v>13.773593467502399</v>
      </c>
      <c r="N1516">
        <v>54.884463036959303</v>
      </c>
      <c r="O1516">
        <v>53.655079410260797</v>
      </c>
      <c r="P1516">
        <v>-6.32838594250245E-2</v>
      </c>
      <c r="Q1516">
        <v>1.4049104118324799E-2</v>
      </c>
      <c r="R1516">
        <v>0.99686989367040202</v>
      </c>
      <c r="S1516" t="s">
        <v>5145</v>
      </c>
      <c r="T1516" t="s">
        <v>7256</v>
      </c>
      <c r="U1516" t="s">
        <v>7256</v>
      </c>
      <c r="V1516" t="s">
        <v>7256</v>
      </c>
      <c r="W1516">
        <v>10</v>
      </c>
      <c r="X1516" t="s">
        <v>8772</v>
      </c>
      <c r="Y1516">
        <v>0.52059828088194016</v>
      </c>
      <c r="Z1516" t="str">
        <f>HYPERLINK("Melting_Curves/meltCurve_sp_Q14141_2_SEPT6_HUMAN_.pdf", "Melting_Curves/meltCurve_sp_Q14141_2_SEPT6_HUMAN_.pdf")</f>
        <v>Melting_Curves/meltCurve_sp_Q14141_2_SEPT6_HUMAN_.pdf</v>
      </c>
      <c r="AA1516" t="s">
        <v>12374</v>
      </c>
      <c r="AB1516" t="s">
        <v>15941</v>
      </c>
    </row>
    <row r="1517" spans="1:28" x14ac:dyDescent="0.25">
      <c r="A1517" t="s">
        <v>1521</v>
      </c>
      <c r="B1517">
        <v>0.98018197421672304</v>
      </c>
      <c r="C1517">
        <v>1.2236240221772501</v>
      </c>
      <c r="D1517">
        <v>0.92231348753223996</v>
      </c>
      <c r="E1517">
        <v>0.85371483319539898</v>
      </c>
      <c r="F1517">
        <v>0.73763842464020002</v>
      </c>
      <c r="G1517">
        <v>0.61347102630642303</v>
      </c>
      <c r="H1517">
        <v>0.51524154435593095</v>
      </c>
      <c r="I1517">
        <v>0.50147376047227898</v>
      </c>
      <c r="J1517">
        <v>0.66918702344807401</v>
      </c>
      <c r="K1517">
        <v>0.71334260603383404</v>
      </c>
      <c r="L1517">
        <v>1383.80285242274</v>
      </c>
      <c r="M1517">
        <v>27.0381098408103</v>
      </c>
      <c r="O1517">
        <v>50.902215626173003</v>
      </c>
      <c r="P1517">
        <v>-5.32074327971312E-2</v>
      </c>
      <c r="Q1517">
        <v>0.59932857180368304</v>
      </c>
      <c r="R1517">
        <v>0.79984321157507599</v>
      </c>
      <c r="S1517" t="s">
        <v>5146</v>
      </c>
      <c r="T1517" t="s">
        <v>7256</v>
      </c>
      <c r="U1517" t="s">
        <v>7256</v>
      </c>
      <c r="V1517" t="s">
        <v>7256</v>
      </c>
      <c r="W1517">
        <v>5</v>
      </c>
      <c r="X1517" t="s">
        <v>8773</v>
      </c>
      <c r="Y1517">
        <v>0.75174930604130175</v>
      </c>
      <c r="Z1517" t="str">
        <f>HYPERLINK("Melting_Curves/meltCurve_sp_Q14151_SAFB2_HUMAN_.pdf", "Melting_Curves/meltCurve_sp_Q14151_SAFB2_HUMAN_.pdf")</f>
        <v>Melting_Curves/meltCurve_sp_Q14151_SAFB2_HUMAN_.pdf</v>
      </c>
      <c r="AA1517" t="s">
        <v>12375</v>
      </c>
      <c r="AB1517" t="s">
        <v>15942</v>
      </c>
    </row>
    <row r="1518" spans="1:28" x14ac:dyDescent="0.25">
      <c r="A1518" t="s">
        <v>1522</v>
      </c>
      <c r="B1518">
        <v>0.98018197421672304</v>
      </c>
      <c r="C1518">
        <v>0.92018172883937999</v>
      </c>
      <c r="D1518">
        <v>0.8074891357581</v>
      </c>
      <c r="E1518">
        <v>0.34054793151258</v>
      </c>
      <c r="F1518">
        <v>0.23290202431895801</v>
      </c>
      <c r="G1518">
        <v>0.159963593649674</v>
      </c>
      <c r="H1518">
        <v>0.111351329771775</v>
      </c>
      <c r="I1518">
        <v>0.111399139449061</v>
      </c>
      <c r="J1518">
        <v>0.135315318022872</v>
      </c>
      <c r="K1518">
        <v>0.12520636006146499</v>
      </c>
      <c r="L1518">
        <v>1171.4626277907</v>
      </c>
      <c r="M1518">
        <v>24.375813316778899</v>
      </c>
      <c r="N1518">
        <v>48.631393196230398</v>
      </c>
      <c r="O1518">
        <v>47.738459049400497</v>
      </c>
      <c r="P1518">
        <v>-0.111720972669206</v>
      </c>
      <c r="Q1518">
        <v>0.124819738047327</v>
      </c>
      <c r="R1518">
        <v>0.99602041986515399</v>
      </c>
      <c r="S1518" t="s">
        <v>5147</v>
      </c>
      <c r="T1518" t="s">
        <v>7256</v>
      </c>
      <c r="U1518" t="s">
        <v>7256</v>
      </c>
      <c r="V1518" t="s">
        <v>7256</v>
      </c>
      <c r="W1518">
        <v>25</v>
      </c>
      <c r="X1518" t="s">
        <v>8774</v>
      </c>
      <c r="Y1518">
        <v>0.36806546224910541</v>
      </c>
      <c r="Z1518" t="str">
        <f>HYPERLINK("Melting_Curves/meltCurve_sp_Q14152_EIF3A_HUMAN_.pdf", "Melting_Curves/meltCurve_sp_Q14152_EIF3A_HUMAN_.pdf")</f>
        <v>Melting_Curves/meltCurve_sp_Q14152_EIF3A_HUMAN_.pdf</v>
      </c>
      <c r="AA1518" t="s">
        <v>12376</v>
      </c>
      <c r="AB1518" t="s">
        <v>15943</v>
      </c>
    </row>
    <row r="1519" spans="1:28" x14ac:dyDescent="0.25">
      <c r="A1519" t="s">
        <v>1523</v>
      </c>
      <c r="B1519">
        <v>0.98018197421672304</v>
      </c>
      <c r="C1519">
        <v>1.1558128054838099</v>
      </c>
      <c r="D1519">
        <v>1.0715083695229499</v>
      </c>
      <c r="E1519">
        <v>0.90543791906710502</v>
      </c>
      <c r="F1519">
        <v>0.56722820618886605</v>
      </c>
      <c r="G1519">
        <v>0.35207820914035098</v>
      </c>
      <c r="H1519">
        <v>0.52599283592124602</v>
      </c>
      <c r="I1519">
        <v>0.60693687129024598</v>
      </c>
      <c r="J1519">
        <v>0.68084692374878397</v>
      </c>
      <c r="K1519">
        <v>1.0537747525353101</v>
      </c>
      <c r="L1519">
        <v>12553.246945990801</v>
      </c>
      <c r="M1519">
        <v>250</v>
      </c>
      <c r="O1519">
        <v>50.209774868100901</v>
      </c>
      <c r="P1519">
        <v>-0.459145045115954</v>
      </c>
      <c r="Q1519">
        <v>0.63114289368731802</v>
      </c>
      <c r="R1519">
        <v>0.55787536005785898</v>
      </c>
      <c r="S1519" t="s">
        <v>5148</v>
      </c>
      <c r="T1519" t="s">
        <v>7256</v>
      </c>
      <c r="U1519" t="s">
        <v>7256</v>
      </c>
      <c r="V1519" t="s">
        <v>7256</v>
      </c>
      <c r="W1519">
        <v>8</v>
      </c>
      <c r="X1519" t="s">
        <v>8775</v>
      </c>
      <c r="Y1519">
        <v>0.75674650251319897</v>
      </c>
      <c r="Z1519" t="str">
        <f>HYPERLINK("Melting_Curves/meltCurve_sp_Q14157_UBP2L_HUMAN_.pdf", "Melting_Curves/meltCurve_sp_Q14157_UBP2L_HUMAN_.pdf")</f>
        <v>Melting_Curves/meltCurve_sp_Q14157_UBP2L_HUMAN_.pdf</v>
      </c>
      <c r="AA1519" t="s">
        <v>12377</v>
      </c>
      <c r="AB1519" t="s">
        <v>15944</v>
      </c>
    </row>
    <row r="1520" spans="1:28" x14ac:dyDescent="0.25">
      <c r="A1520" t="s">
        <v>1524</v>
      </c>
      <c r="B1520">
        <v>0.98018197421672304</v>
      </c>
      <c r="C1520">
        <v>1.0139136314710999</v>
      </c>
      <c r="D1520">
        <v>0.87725853000920195</v>
      </c>
      <c r="E1520">
        <v>0.54289518354595701</v>
      </c>
      <c r="F1520">
        <v>0.39283730522962601</v>
      </c>
      <c r="G1520">
        <v>0.27921394409203798</v>
      </c>
      <c r="H1520">
        <v>0.24001349621418799</v>
      </c>
      <c r="I1520">
        <v>0.24226215244970301</v>
      </c>
      <c r="J1520">
        <v>0.35327860669550798</v>
      </c>
      <c r="K1520">
        <v>0.314775556566392</v>
      </c>
      <c r="L1520">
        <v>1271.1965561407601</v>
      </c>
      <c r="M1520">
        <v>25.968239889554798</v>
      </c>
      <c r="N1520">
        <v>50.590259539111003</v>
      </c>
      <c r="O1520">
        <v>48.6644515801352</v>
      </c>
      <c r="P1520">
        <v>-9.54723830716218E-2</v>
      </c>
      <c r="Q1520">
        <v>0.28434783172463202</v>
      </c>
      <c r="R1520">
        <v>0.98611302558194902</v>
      </c>
      <c r="S1520" t="s">
        <v>5149</v>
      </c>
      <c r="T1520" t="s">
        <v>7256</v>
      </c>
      <c r="U1520" t="s">
        <v>7256</v>
      </c>
      <c r="V1520" t="s">
        <v>7256</v>
      </c>
      <c r="W1520">
        <v>13</v>
      </c>
      <c r="X1520" t="s">
        <v>8776</v>
      </c>
      <c r="Y1520">
        <v>0.50375959004122139</v>
      </c>
      <c r="Z1520" t="str">
        <f>HYPERLINK("Melting_Curves/meltCurve_sp_Q14160_2_SCRIB_HUMAN_.pdf", "Melting_Curves/meltCurve_sp_Q14160_2_SCRIB_HUMAN_.pdf")</f>
        <v>Melting_Curves/meltCurve_sp_Q14160_2_SCRIB_HUMAN_.pdf</v>
      </c>
      <c r="AA1520" t="s">
        <v>12378</v>
      </c>
      <c r="AB1520" t="s">
        <v>15945</v>
      </c>
    </row>
    <row r="1521" spans="1:28" x14ac:dyDescent="0.25">
      <c r="A1521" t="s">
        <v>1525</v>
      </c>
      <c r="B1521">
        <v>0.98018197421672304</v>
      </c>
      <c r="C1521">
        <v>0.80013320677869804</v>
      </c>
      <c r="D1521">
        <v>0.86275043840711896</v>
      </c>
      <c r="E1521">
        <v>0.64609261688975494</v>
      </c>
      <c r="F1521">
        <v>0.30254309145596398</v>
      </c>
      <c r="G1521">
        <v>0.20347168928645801</v>
      </c>
      <c r="H1521">
        <v>0.16381211258949399</v>
      </c>
      <c r="I1521">
        <v>0.144305459084378</v>
      </c>
      <c r="J1521">
        <v>0.195105052124905</v>
      </c>
      <c r="K1521">
        <v>0.113571396599455</v>
      </c>
      <c r="L1521">
        <v>818.77885812596901</v>
      </c>
      <c r="M1521">
        <v>16.360866740077</v>
      </c>
      <c r="N1521">
        <v>50.921833804209101</v>
      </c>
      <c r="O1521">
        <v>49.315224702872897</v>
      </c>
      <c r="P1521">
        <v>-7.2763479979850595E-2</v>
      </c>
      <c r="Q1521">
        <v>0.122762966495646</v>
      </c>
      <c r="R1521">
        <v>0.96337013356870005</v>
      </c>
      <c r="S1521" t="s">
        <v>5150</v>
      </c>
      <c r="T1521" t="s">
        <v>7256</v>
      </c>
      <c r="U1521" t="s">
        <v>7256</v>
      </c>
      <c r="V1521" t="s">
        <v>7256</v>
      </c>
      <c r="W1521">
        <v>5</v>
      </c>
      <c r="X1521" t="s">
        <v>8777</v>
      </c>
      <c r="Y1521">
        <v>0.43435506001353519</v>
      </c>
      <c r="Z1521" t="str">
        <f>HYPERLINK("Melting_Curves/meltCurve_sp_Q14161_3_GIT2_HUMAN_.pdf", "Melting_Curves/meltCurve_sp_Q14161_3_GIT2_HUMAN_.pdf")</f>
        <v>Melting_Curves/meltCurve_sp_Q14161_3_GIT2_HUMAN_.pdf</v>
      </c>
      <c r="AA1521" t="s">
        <v>12379</v>
      </c>
      <c r="AB1521" t="s">
        <v>15946</v>
      </c>
    </row>
    <row r="1522" spans="1:28" x14ac:dyDescent="0.25">
      <c r="A1522" t="s">
        <v>1526</v>
      </c>
      <c r="B1522">
        <v>0.98018197421672304</v>
      </c>
      <c r="C1522">
        <v>0.896794120145749</v>
      </c>
      <c r="D1522">
        <v>0.49093401542604098</v>
      </c>
      <c r="E1522">
        <v>0.25629608965471401</v>
      </c>
      <c r="F1522">
        <v>0.166103831184746</v>
      </c>
      <c r="G1522">
        <v>0.114431662830631</v>
      </c>
      <c r="H1522">
        <v>7.6735215814609306E-2</v>
      </c>
      <c r="I1522">
        <v>6.0478564439959498E-2</v>
      </c>
      <c r="J1522">
        <v>6.5173380413952695E-2</v>
      </c>
      <c r="K1522">
        <v>3.0056900227538399E-2</v>
      </c>
      <c r="L1522">
        <v>959.64132637884597</v>
      </c>
      <c r="M1522">
        <v>20.7933572947498</v>
      </c>
      <c r="N1522">
        <v>46.495517655909403</v>
      </c>
      <c r="O1522">
        <v>45.730839080670101</v>
      </c>
      <c r="P1522">
        <v>-0.105567335038874</v>
      </c>
      <c r="Q1522">
        <v>7.1328727310668499E-2</v>
      </c>
      <c r="R1522">
        <v>0.98962203933388804</v>
      </c>
      <c r="S1522" t="s">
        <v>5151</v>
      </c>
      <c r="T1522" t="s">
        <v>7256</v>
      </c>
      <c r="U1522" t="s">
        <v>7256</v>
      </c>
      <c r="V1522" t="s">
        <v>7256</v>
      </c>
      <c r="W1522">
        <v>12</v>
      </c>
      <c r="X1522" t="s">
        <v>8778</v>
      </c>
      <c r="Y1522">
        <v>0.27474875863977583</v>
      </c>
      <c r="Z1522" t="str">
        <f>HYPERLINK("Melting_Curves/meltCurve_sp_Q14166_TTL12_HUMAN_.pdf", "Melting_Curves/meltCurve_sp_Q14166_TTL12_HUMAN_.pdf")</f>
        <v>Melting_Curves/meltCurve_sp_Q14166_TTL12_HUMAN_.pdf</v>
      </c>
      <c r="AA1522" t="s">
        <v>12380</v>
      </c>
      <c r="AB1522" t="s">
        <v>15947</v>
      </c>
    </row>
    <row r="1523" spans="1:28" x14ac:dyDescent="0.25">
      <c r="A1523" t="s">
        <v>1527</v>
      </c>
      <c r="B1523">
        <v>0.98018197421672304</v>
      </c>
      <c r="C1523">
        <v>0.82417812728661199</v>
      </c>
      <c r="D1523">
        <v>0.77442572349514605</v>
      </c>
      <c r="E1523">
        <v>0.68447884411505899</v>
      </c>
      <c r="F1523">
        <v>0.479497356325924</v>
      </c>
      <c r="G1523">
        <v>0.31061073127323202</v>
      </c>
      <c r="H1523">
        <v>0.29166501640259401</v>
      </c>
      <c r="I1523">
        <v>0.294631885048737</v>
      </c>
      <c r="J1523">
        <v>0.34325837880493998</v>
      </c>
      <c r="K1523">
        <v>0.42012434910806801</v>
      </c>
      <c r="L1523">
        <v>643.94079492775597</v>
      </c>
      <c r="M1523">
        <v>13.2197807524126</v>
      </c>
      <c r="N1523">
        <v>52.424496782437302</v>
      </c>
      <c r="O1523">
        <v>47.636250421796703</v>
      </c>
      <c r="P1523">
        <v>-4.8294464522429303E-2</v>
      </c>
      <c r="Q1523">
        <v>0.30401674028633302</v>
      </c>
      <c r="R1523">
        <v>0.93600213277175504</v>
      </c>
      <c r="S1523" t="s">
        <v>5152</v>
      </c>
      <c r="T1523" t="s">
        <v>7256</v>
      </c>
      <c r="U1523" t="s">
        <v>7256</v>
      </c>
      <c r="V1523" t="s">
        <v>7256</v>
      </c>
      <c r="W1523">
        <v>3</v>
      </c>
      <c r="X1523" t="s">
        <v>8779</v>
      </c>
      <c r="Y1523">
        <v>0.52805780154987036</v>
      </c>
      <c r="Z1523" t="str">
        <f>HYPERLINK("Melting_Curves/meltCurve_sp_Q14192_FHL2_HUMAN_.pdf", "Melting_Curves/meltCurve_sp_Q14192_FHL2_HUMAN_.pdf")</f>
        <v>Melting_Curves/meltCurve_sp_Q14192_FHL2_HUMAN_.pdf</v>
      </c>
      <c r="AA1523" t="s">
        <v>12381</v>
      </c>
      <c r="AB1523" t="s">
        <v>15948</v>
      </c>
    </row>
    <row r="1524" spans="1:28" x14ac:dyDescent="0.25">
      <c r="A1524" t="s">
        <v>1528</v>
      </c>
      <c r="B1524">
        <v>0.98018197421672304</v>
      </c>
      <c r="C1524">
        <v>0.89399657483467898</v>
      </c>
      <c r="D1524">
        <v>0.72386444874170297</v>
      </c>
      <c r="E1524">
        <v>0.43248247762352499</v>
      </c>
      <c r="F1524">
        <v>0.240061825145408</v>
      </c>
      <c r="G1524">
        <v>0.118980595229946</v>
      </c>
      <c r="H1524">
        <v>8.0812119420752601E-2</v>
      </c>
      <c r="I1524">
        <v>6.1471768517576297E-2</v>
      </c>
      <c r="J1524">
        <v>7.40794191229001E-2</v>
      </c>
      <c r="K1524">
        <v>4.96895534137839E-2</v>
      </c>
      <c r="L1524">
        <v>784.10573781120002</v>
      </c>
      <c r="M1524">
        <v>16.123652218651401</v>
      </c>
      <c r="N1524">
        <v>48.927198082612698</v>
      </c>
      <c r="O1524">
        <v>47.9011695750876</v>
      </c>
      <c r="P1524">
        <v>-8.0241017638431195E-2</v>
      </c>
      <c r="Q1524">
        <v>4.6532119343487499E-2</v>
      </c>
      <c r="R1524">
        <v>0.99940425547220202</v>
      </c>
      <c r="S1524" t="s">
        <v>5153</v>
      </c>
      <c r="T1524" t="s">
        <v>7256</v>
      </c>
      <c r="U1524" t="s">
        <v>7256</v>
      </c>
      <c r="V1524" t="s">
        <v>7256</v>
      </c>
      <c r="W1524">
        <v>31</v>
      </c>
      <c r="X1524" t="s">
        <v>8780</v>
      </c>
      <c r="Y1524">
        <v>0.34157966974225018</v>
      </c>
      <c r="Z1524" t="str">
        <f>HYPERLINK("Melting_Curves/meltCurve_sp_Q14203_3_DCTN1_HUMAN_.pdf", "Melting_Curves/meltCurve_sp_Q14203_3_DCTN1_HUMAN_.pdf")</f>
        <v>Melting_Curves/meltCurve_sp_Q14203_3_DCTN1_HUMAN_.pdf</v>
      </c>
      <c r="AA1524" t="s">
        <v>12382</v>
      </c>
      <c r="AB1524" t="s">
        <v>15949</v>
      </c>
    </row>
    <row r="1525" spans="1:28" x14ac:dyDescent="0.25">
      <c r="A1525" t="s">
        <v>1529</v>
      </c>
      <c r="B1525">
        <v>0.98018197421672304</v>
      </c>
      <c r="C1525">
        <v>0.94154938187002601</v>
      </c>
      <c r="D1525">
        <v>0.82178698500405001</v>
      </c>
      <c r="E1525">
        <v>0.37145294024936298</v>
      </c>
      <c r="F1525">
        <v>0.18466036351103701</v>
      </c>
      <c r="G1525">
        <v>0.123349930114411</v>
      </c>
      <c r="H1525">
        <v>8.8146364542275604E-2</v>
      </c>
      <c r="I1525">
        <v>7.8514260834889701E-2</v>
      </c>
      <c r="J1525">
        <v>8.3283621181151998E-2</v>
      </c>
      <c r="K1525">
        <v>7.1400462122538297E-2</v>
      </c>
      <c r="L1525">
        <v>1180.6764693935299</v>
      </c>
      <c r="M1525">
        <v>24.341592106896101</v>
      </c>
      <c r="N1525">
        <v>48.860358348901002</v>
      </c>
      <c r="O1525">
        <v>48.1806771743829</v>
      </c>
      <c r="P1525">
        <v>-0.116045609797262</v>
      </c>
      <c r="Q1525">
        <v>8.1231440895785101E-2</v>
      </c>
      <c r="R1525">
        <v>0.99890825898403801</v>
      </c>
      <c r="S1525" t="s">
        <v>5154</v>
      </c>
      <c r="T1525" t="s">
        <v>7256</v>
      </c>
      <c r="U1525" t="s">
        <v>7256</v>
      </c>
      <c r="V1525" t="s">
        <v>7256</v>
      </c>
      <c r="W1525">
        <v>103</v>
      </c>
      <c r="X1525" t="s">
        <v>8781</v>
      </c>
      <c r="Y1525">
        <v>0.35027515590600072</v>
      </c>
      <c r="Z1525" t="str">
        <f>HYPERLINK("Melting_Curves/meltCurve_sp_Q14204_DYHC1_HUMAN_.pdf", "Melting_Curves/meltCurve_sp_Q14204_DYHC1_HUMAN_.pdf")</f>
        <v>Melting_Curves/meltCurve_sp_Q14204_DYHC1_HUMAN_.pdf</v>
      </c>
      <c r="AA1525" t="s">
        <v>12383</v>
      </c>
      <c r="AB1525" t="s">
        <v>15950</v>
      </c>
    </row>
    <row r="1526" spans="1:28" x14ac:dyDescent="0.25">
      <c r="A1526" t="s">
        <v>1530</v>
      </c>
      <c r="B1526">
        <v>0.98018197421672304</v>
      </c>
      <c r="C1526">
        <v>0.90131400092339398</v>
      </c>
      <c r="D1526">
        <v>0.88746748257720998</v>
      </c>
      <c r="E1526">
        <v>0.70004146296047098</v>
      </c>
      <c r="F1526">
        <v>0.64171934057181101</v>
      </c>
      <c r="G1526">
        <v>0.392115805187155</v>
      </c>
      <c r="H1526">
        <v>0.125780864456641</v>
      </c>
      <c r="I1526">
        <v>8.6773385955819696E-2</v>
      </c>
      <c r="J1526">
        <v>6.8449042309536301E-2</v>
      </c>
      <c r="K1526">
        <v>7.0070152046072406E-2</v>
      </c>
      <c r="L1526">
        <v>695.09794209452104</v>
      </c>
      <c r="M1526">
        <v>12.8235674476505</v>
      </c>
      <c r="N1526">
        <v>54.2047244671</v>
      </c>
      <c r="O1526">
        <v>52.9372889095714</v>
      </c>
      <c r="P1526">
        <v>-6.0571450680369898E-2</v>
      </c>
      <c r="Q1526">
        <v>0</v>
      </c>
      <c r="R1526">
        <v>0.98449565528383398</v>
      </c>
      <c r="S1526" t="s">
        <v>5155</v>
      </c>
      <c r="T1526" t="s">
        <v>7256</v>
      </c>
      <c r="U1526" t="s">
        <v>7256</v>
      </c>
      <c r="V1526" t="s">
        <v>7256</v>
      </c>
      <c r="W1526">
        <v>8</v>
      </c>
      <c r="X1526" t="s">
        <v>8782</v>
      </c>
      <c r="Y1526">
        <v>0.49756188409985441</v>
      </c>
      <c r="Z1526" t="str">
        <f>HYPERLINK("Melting_Curves/meltCurve_sp_Q14232_EI2BA_HUMAN_.pdf", "Melting_Curves/meltCurve_sp_Q14232_EI2BA_HUMAN_.pdf")</f>
        <v>Melting_Curves/meltCurve_sp_Q14232_EI2BA_HUMAN_.pdf</v>
      </c>
      <c r="AA1526" t="s">
        <v>12384</v>
      </c>
      <c r="AB1526" t="s">
        <v>15951</v>
      </c>
    </row>
    <row r="1527" spans="1:28" x14ac:dyDescent="0.25">
      <c r="A1527" t="s">
        <v>1531</v>
      </c>
      <c r="B1527">
        <v>0.98018197421672304</v>
      </c>
      <c r="C1527">
        <v>0.93252439114227403</v>
      </c>
      <c r="D1527">
        <v>0.90896277626744604</v>
      </c>
      <c r="E1527">
        <v>0.79844933863205403</v>
      </c>
      <c r="F1527">
        <v>0.75915583438228795</v>
      </c>
      <c r="G1527">
        <v>0.42313926181370098</v>
      </c>
      <c r="H1527">
        <v>8.0298364009754999E-2</v>
      </c>
      <c r="I1527">
        <v>4.1140705746386799E-2</v>
      </c>
      <c r="J1527">
        <v>5.3942509324874599E-2</v>
      </c>
      <c r="K1527">
        <v>2.928412852837E-2</v>
      </c>
      <c r="L1527">
        <v>1034.1757984855799</v>
      </c>
      <c r="M1527">
        <v>18.644882450109201</v>
      </c>
      <c r="N1527">
        <v>55.467007678450898</v>
      </c>
      <c r="O1527">
        <v>54.840752232699998</v>
      </c>
      <c r="P1527">
        <v>-8.49992110661342E-2</v>
      </c>
      <c r="Q1527">
        <v>0</v>
      </c>
      <c r="R1527">
        <v>0.98128602314236102</v>
      </c>
      <c r="S1527" t="s">
        <v>5156</v>
      </c>
      <c r="T1527" t="s">
        <v>7256</v>
      </c>
      <c r="U1527" t="s">
        <v>7256</v>
      </c>
      <c r="V1527" t="s">
        <v>7256</v>
      </c>
      <c r="W1527">
        <v>17</v>
      </c>
      <c r="X1527" t="s">
        <v>8783</v>
      </c>
      <c r="Y1527">
        <v>0.53004141994193033</v>
      </c>
      <c r="Z1527" t="str">
        <f>HYPERLINK("Melting_Curves/meltCurve_sp_Q14240_IF4A2_HUMAN_.pdf", "Melting_Curves/meltCurve_sp_Q14240_IF4A2_HUMAN_.pdf")</f>
        <v>Melting_Curves/meltCurve_sp_Q14240_IF4A2_HUMAN_.pdf</v>
      </c>
      <c r="AA1527" t="s">
        <v>12385</v>
      </c>
      <c r="AB1527" t="s">
        <v>15952</v>
      </c>
    </row>
    <row r="1528" spans="1:28" x14ac:dyDescent="0.25">
      <c r="A1528" t="s">
        <v>1532</v>
      </c>
      <c r="B1528">
        <v>0.98018197421672304</v>
      </c>
      <c r="C1528">
        <v>0.96393638077282695</v>
      </c>
      <c r="D1528">
        <v>0.92216481155101504</v>
      </c>
      <c r="E1528">
        <v>0.77563792061502101</v>
      </c>
      <c r="F1528">
        <v>0.784089195662244</v>
      </c>
      <c r="G1528">
        <v>0.58886629878080599</v>
      </c>
      <c r="H1528">
        <v>0.44339872108577999</v>
      </c>
      <c r="I1528">
        <v>0.48795779925705701</v>
      </c>
      <c r="J1528">
        <v>0.48529680942959902</v>
      </c>
      <c r="K1528">
        <v>0.78005070040903801</v>
      </c>
      <c r="L1528">
        <v>901.81708137810301</v>
      </c>
      <c r="M1528">
        <v>17.729035476996099</v>
      </c>
      <c r="O1528">
        <v>50.232770805724897</v>
      </c>
      <c r="P1528">
        <v>-3.9976718309331902E-2</v>
      </c>
      <c r="Q1528">
        <v>0.54694988914350096</v>
      </c>
      <c r="R1528">
        <v>0.76858076702957001</v>
      </c>
      <c r="S1528" t="s">
        <v>5157</v>
      </c>
      <c r="T1528" t="s">
        <v>7256</v>
      </c>
      <c r="U1528" t="s">
        <v>7256</v>
      </c>
      <c r="V1528" t="s">
        <v>7256</v>
      </c>
      <c r="W1528">
        <v>2</v>
      </c>
      <c r="X1528" t="s">
        <v>8784</v>
      </c>
      <c r="Y1528">
        <v>0.71891322996010654</v>
      </c>
      <c r="Z1528" t="str">
        <f>HYPERLINK("Melting_Curves/meltCurve_sp_Q14241_ELOA1_HUMAN_.pdf", "Melting_Curves/meltCurve_sp_Q14241_ELOA1_HUMAN_.pdf")</f>
        <v>Melting_Curves/meltCurve_sp_Q14241_ELOA1_HUMAN_.pdf</v>
      </c>
      <c r="AA1528" t="s">
        <v>12386</v>
      </c>
      <c r="AB1528" t="s">
        <v>15953</v>
      </c>
    </row>
    <row r="1529" spans="1:28" x14ac:dyDescent="0.25">
      <c r="A1529" t="s">
        <v>1533</v>
      </c>
      <c r="B1529">
        <v>0.98018197421672304</v>
      </c>
      <c r="C1529">
        <v>0.939265106250736</v>
      </c>
      <c r="D1529">
        <v>0.88029896875694302</v>
      </c>
      <c r="E1529">
        <v>0.81599953293623095</v>
      </c>
      <c r="F1529">
        <v>0.89928242636554201</v>
      </c>
      <c r="G1529">
        <v>0.78699202362375698</v>
      </c>
      <c r="H1529">
        <v>0.611680634137719</v>
      </c>
      <c r="I1529">
        <v>0.68728187355223402</v>
      </c>
      <c r="J1529">
        <v>0.72184246799285401</v>
      </c>
      <c r="K1529">
        <v>0.92560479802616302</v>
      </c>
      <c r="L1529">
        <v>572.53151825571194</v>
      </c>
      <c r="M1529">
        <v>12.072426655358999</v>
      </c>
      <c r="O1529">
        <v>46.179698996839903</v>
      </c>
      <c r="P1529">
        <v>-1.6604521330074801E-2</v>
      </c>
      <c r="Q1529">
        <v>0.74599597346864099</v>
      </c>
      <c r="R1529">
        <v>0.47737493056281199</v>
      </c>
      <c r="S1529" t="s">
        <v>5158</v>
      </c>
      <c r="T1529" t="s">
        <v>7256</v>
      </c>
      <c r="U1529" t="s">
        <v>7256</v>
      </c>
      <c r="V1529" t="s">
        <v>7256</v>
      </c>
      <c r="W1529">
        <v>8</v>
      </c>
      <c r="X1529" t="s">
        <v>8785</v>
      </c>
      <c r="Y1529">
        <v>0.81908638227111574</v>
      </c>
      <c r="Z1529" t="str">
        <f>HYPERLINK("Melting_Curves/meltCurve_sp_Q14244_3_MAP7_HUMAN_.pdf", "Melting_Curves/meltCurve_sp_Q14244_3_MAP7_HUMAN_.pdf")</f>
        <v>Melting_Curves/meltCurve_sp_Q14244_3_MAP7_HUMAN_.pdf</v>
      </c>
      <c r="AA1529" t="s">
        <v>12387</v>
      </c>
      <c r="AB1529" t="s">
        <v>15954</v>
      </c>
    </row>
    <row r="1530" spans="1:28" x14ac:dyDescent="0.25">
      <c r="A1530" t="s">
        <v>1534</v>
      </c>
      <c r="B1530">
        <v>0.98018197421672304</v>
      </c>
      <c r="C1530">
        <v>1.00380708645494</v>
      </c>
      <c r="D1530">
        <v>0.88820453032017799</v>
      </c>
      <c r="E1530">
        <v>0.74456452287330399</v>
      </c>
      <c r="F1530">
        <v>0.73817515738637096</v>
      </c>
      <c r="G1530">
        <v>0.54321588469226101</v>
      </c>
      <c r="H1530">
        <v>0.43266701162541299</v>
      </c>
      <c r="I1530">
        <v>0.43129995352653999</v>
      </c>
      <c r="J1530">
        <v>0.31445002005877698</v>
      </c>
      <c r="K1530">
        <v>0.68705593302964396</v>
      </c>
      <c r="L1530">
        <v>802.43971353442896</v>
      </c>
      <c r="M1530">
        <v>15.655220493557101</v>
      </c>
      <c r="N1530">
        <v>60.453644084553503</v>
      </c>
      <c r="O1530">
        <v>50.442515317838499</v>
      </c>
      <c r="P1530">
        <v>-4.2383121020161202E-2</v>
      </c>
      <c r="Q1530">
        <v>0.45379790258041602</v>
      </c>
      <c r="R1530">
        <v>0.827641682004991</v>
      </c>
      <c r="S1530" t="s">
        <v>5159</v>
      </c>
      <c r="T1530" t="s">
        <v>7256</v>
      </c>
      <c r="U1530" t="s">
        <v>7256</v>
      </c>
      <c r="V1530" t="s">
        <v>7256</v>
      </c>
      <c r="W1530">
        <v>31</v>
      </c>
      <c r="X1530" t="s">
        <v>8786</v>
      </c>
      <c r="Y1530">
        <v>0.67041966905403783</v>
      </c>
      <c r="Z1530" t="str">
        <f>HYPERLINK("Melting_Curves/meltCurve_sp_Q14247_3_SRC8_HUMAN_.pdf", "Melting_Curves/meltCurve_sp_Q14247_3_SRC8_HUMAN_.pdf")</f>
        <v>Melting_Curves/meltCurve_sp_Q14247_3_SRC8_HUMAN_.pdf</v>
      </c>
      <c r="AA1530" t="s">
        <v>12388</v>
      </c>
      <c r="AB1530" t="s">
        <v>15955</v>
      </c>
    </row>
    <row r="1531" spans="1:28" x14ac:dyDescent="0.25">
      <c r="A1531" t="s">
        <v>1535</v>
      </c>
      <c r="B1531">
        <v>0.98018197421672304</v>
      </c>
      <c r="C1531">
        <v>1.07148454264403</v>
      </c>
      <c r="D1531">
        <v>1.04256601741412</v>
      </c>
      <c r="E1531">
        <v>0.91722039905753405</v>
      </c>
      <c r="F1531">
        <v>0.83399546692975501</v>
      </c>
      <c r="G1531">
        <v>0.63221917639478398</v>
      </c>
      <c r="H1531">
        <v>0.59800451380262198</v>
      </c>
      <c r="I1531">
        <v>0.66014009086633896</v>
      </c>
      <c r="J1531">
        <v>0.69629234404085805</v>
      </c>
      <c r="K1531">
        <v>0.89933927783927303</v>
      </c>
      <c r="L1531">
        <v>2015.74808115377</v>
      </c>
      <c r="M1531">
        <v>38.686714466558897</v>
      </c>
      <c r="O1531">
        <v>51.965762925858201</v>
      </c>
      <c r="P1531">
        <v>-5.6087423151211402E-2</v>
      </c>
      <c r="Q1531">
        <v>0.69864395171855098</v>
      </c>
      <c r="R1531">
        <v>0.756641291251547</v>
      </c>
      <c r="S1531" t="s">
        <v>5160</v>
      </c>
      <c r="T1531" t="s">
        <v>7256</v>
      </c>
      <c r="U1531" t="s">
        <v>7256</v>
      </c>
      <c r="V1531" t="s">
        <v>7256</v>
      </c>
      <c r="W1531">
        <v>33</v>
      </c>
      <c r="X1531" t="s">
        <v>8787</v>
      </c>
      <c r="Y1531">
        <v>0.82139518455931637</v>
      </c>
      <c r="Z1531" t="str">
        <f>HYPERLINK("Melting_Curves/meltCurve_sp_Q14247_SRC8_HUMAN_.pdf", "Melting_Curves/meltCurve_sp_Q14247_SRC8_HUMAN_.pdf")</f>
        <v>Melting_Curves/meltCurve_sp_Q14247_SRC8_HUMAN_.pdf</v>
      </c>
      <c r="AA1531" t="s">
        <v>12388</v>
      </c>
      <c r="AB1531" t="s">
        <v>15956</v>
      </c>
    </row>
    <row r="1532" spans="1:28" x14ac:dyDescent="0.25">
      <c r="A1532" t="s">
        <v>1536</v>
      </c>
      <c r="B1532">
        <v>0.98018197421672304</v>
      </c>
      <c r="C1532">
        <v>0.91072660437249997</v>
      </c>
      <c r="D1532">
        <v>0.86638330804876895</v>
      </c>
      <c r="E1532">
        <v>0.62283318590905401</v>
      </c>
      <c r="F1532">
        <v>0.31064664090031002</v>
      </c>
      <c r="G1532">
        <v>0.150887874750534</v>
      </c>
      <c r="H1532">
        <v>0.100996457428267</v>
      </c>
      <c r="I1532">
        <v>8.4238651963559993E-2</v>
      </c>
      <c r="J1532">
        <v>8.0753776103189401E-2</v>
      </c>
      <c r="K1532">
        <v>7.9070787132381998E-2</v>
      </c>
      <c r="L1532">
        <v>965.72606466146897</v>
      </c>
      <c r="M1532">
        <v>19.104363200560702</v>
      </c>
      <c r="N1532">
        <v>50.929087478625704</v>
      </c>
      <c r="O1532">
        <v>50.005929331426302</v>
      </c>
      <c r="P1532">
        <v>-8.9184227307366706E-2</v>
      </c>
      <c r="Q1532">
        <v>6.6272733295758904E-2</v>
      </c>
      <c r="R1532">
        <v>0.99504325168681695</v>
      </c>
      <c r="S1532" t="s">
        <v>5161</v>
      </c>
      <c r="T1532" t="s">
        <v>7256</v>
      </c>
      <c r="U1532" t="s">
        <v>7256</v>
      </c>
      <c r="V1532" t="s">
        <v>7256</v>
      </c>
      <c r="W1532">
        <v>9</v>
      </c>
      <c r="X1532" t="s">
        <v>8788</v>
      </c>
      <c r="Y1532">
        <v>0.40878755450378362</v>
      </c>
      <c r="Z1532" t="str">
        <f>HYPERLINK("Melting_Curves/meltCurve_sp_Q14258_TRI25_HUMAN_.pdf", "Melting_Curves/meltCurve_sp_Q14258_TRI25_HUMAN_.pdf")</f>
        <v>Melting_Curves/meltCurve_sp_Q14258_TRI25_HUMAN_.pdf</v>
      </c>
      <c r="AA1532" t="s">
        <v>12389</v>
      </c>
      <c r="AB1532" t="s">
        <v>15957</v>
      </c>
    </row>
    <row r="1533" spans="1:28" x14ac:dyDescent="0.25">
      <c r="A1533" t="s">
        <v>1537</v>
      </c>
      <c r="B1533">
        <v>0.98018197421672304</v>
      </c>
      <c r="C1533">
        <v>0.93367407024412097</v>
      </c>
      <c r="D1533">
        <v>0.84424929850430697</v>
      </c>
      <c r="E1533">
        <v>0.542326409073556</v>
      </c>
      <c r="F1533">
        <v>0.32818567383282499</v>
      </c>
      <c r="G1533">
        <v>0.154574761044038</v>
      </c>
      <c r="H1533">
        <v>9.0321617357957296E-2</v>
      </c>
      <c r="I1533">
        <v>6.9302685260062502E-2</v>
      </c>
      <c r="J1533">
        <v>0.104624966709036</v>
      </c>
      <c r="K1533">
        <v>6.3529716489448301E-2</v>
      </c>
      <c r="L1533">
        <v>876.72427732992503</v>
      </c>
      <c r="M1533">
        <v>17.491823056038299</v>
      </c>
      <c r="N1533">
        <v>50.5019284432882</v>
      </c>
      <c r="O1533">
        <v>49.480610464698898</v>
      </c>
      <c r="P1533">
        <v>-8.2932559386022495E-2</v>
      </c>
      <c r="Q1533">
        <v>6.1658205486215499E-2</v>
      </c>
      <c r="R1533">
        <v>0.998545189498523</v>
      </c>
      <c r="S1533" t="s">
        <v>5162</v>
      </c>
      <c r="T1533" t="s">
        <v>7256</v>
      </c>
      <c r="U1533" t="s">
        <v>7256</v>
      </c>
      <c r="V1533" t="s">
        <v>7256</v>
      </c>
      <c r="W1533">
        <v>3</v>
      </c>
      <c r="X1533" t="s">
        <v>8789</v>
      </c>
      <c r="Y1533">
        <v>0.39511324395195663</v>
      </c>
      <c r="Z1533" t="str">
        <f>HYPERLINK("Melting_Curves/meltCurve_sp_Q14318_2_FKBP8_HUMAN_.pdf", "Melting_Curves/meltCurve_sp_Q14318_2_FKBP8_HUMAN_.pdf")</f>
        <v>Melting_Curves/meltCurve_sp_Q14318_2_FKBP8_HUMAN_.pdf</v>
      </c>
      <c r="AA1533" t="s">
        <v>12390</v>
      </c>
      <c r="AB1533" t="s">
        <v>15958</v>
      </c>
    </row>
    <row r="1534" spans="1:28" x14ac:dyDescent="0.25">
      <c r="A1534" t="s">
        <v>1538</v>
      </c>
      <c r="B1534">
        <v>0.98018197421672304</v>
      </c>
      <c r="C1534">
        <v>0.97226544781258695</v>
      </c>
      <c r="D1534">
        <v>0.96578336860689395</v>
      </c>
      <c r="E1534">
        <v>0.80732127315310998</v>
      </c>
      <c r="F1534">
        <v>0.682903810125286</v>
      </c>
      <c r="G1534">
        <v>0.45982626004053101</v>
      </c>
      <c r="H1534">
        <v>0.29050344265761302</v>
      </c>
      <c r="I1534">
        <v>0.22169569811929199</v>
      </c>
      <c r="J1534">
        <v>0.242722686564564</v>
      </c>
      <c r="K1534">
        <v>0.272843356932366</v>
      </c>
      <c r="L1534">
        <v>902.56539227269104</v>
      </c>
      <c r="M1534">
        <v>16.7327997446253</v>
      </c>
      <c r="N1534">
        <v>55.787252640771797</v>
      </c>
      <c r="O1534">
        <v>53.1871412601039</v>
      </c>
      <c r="P1534">
        <v>-6.1925307809291501E-2</v>
      </c>
      <c r="Q1534">
        <v>0.21270470484089701</v>
      </c>
      <c r="R1534">
        <v>0.99336360570402404</v>
      </c>
      <c r="S1534" t="s">
        <v>5163</v>
      </c>
      <c r="T1534" t="s">
        <v>7256</v>
      </c>
      <c r="U1534" t="s">
        <v>7256</v>
      </c>
      <c r="V1534" t="s">
        <v>7256</v>
      </c>
      <c r="W1534">
        <v>4</v>
      </c>
      <c r="X1534" t="s">
        <v>8790</v>
      </c>
      <c r="Y1534">
        <v>0.59255305983400675</v>
      </c>
      <c r="Z1534" t="str">
        <f>HYPERLINK("Melting_Curves/meltCurve_sp_Q14320_FA50A_HUMAN_.pdf", "Melting_Curves/meltCurve_sp_Q14320_FA50A_HUMAN_.pdf")</f>
        <v>Melting_Curves/meltCurve_sp_Q14320_FA50A_HUMAN_.pdf</v>
      </c>
      <c r="AA1534" t="s">
        <v>12391</v>
      </c>
      <c r="AB1534" t="s">
        <v>15959</v>
      </c>
    </row>
    <row r="1535" spans="1:28" x14ac:dyDescent="0.25">
      <c r="A1535" t="s">
        <v>1539</v>
      </c>
      <c r="B1535">
        <v>0.98018197421672304</v>
      </c>
      <c r="C1535">
        <v>1.04751546095151</v>
      </c>
      <c r="D1535">
        <v>0.96227358462403301</v>
      </c>
      <c r="E1535">
        <v>0.75409638531927303</v>
      </c>
      <c r="F1535">
        <v>0.427001532019326</v>
      </c>
      <c r="G1535">
        <v>8.1618740558089695E-2</v>
      </c>
      <c r="H1535">
        <v>5.0265119675830798E-2</v>
      </c>
      <c r="I1535">
        <v>3.6572286769389097E-2</v>
      </c>
      <c r="J1535">
        <v>5.9854484462612101E-2</v>
      </c>
      <c r="K1535">
        <v>2.5494792887300801E-2</v>
      </c>
      <c r="L1535">
        <v>1432.0007126308701</v>
      </c>
      <c r="M1535">
        <v>27.485123069734001</v>
      </c>
      <c r="N1535">
        <v>52.224381516607501</v>
      </c>
      <c r="O1535">
        <v>51.8274759835029</v>
      </c>
      <c r="P1535">
        <v>-0.128411553829299</v>
      </c>
      <c r="Q1535">
        <v>3.1449095178599298E-2</v>
      </c>
      <c r="R1535">
        <v>0.99687607953114798</v>
      </c>
      <c r="S1535" t="s">
        <v>5164</v>
      </c>
      <c r="T1535" t="s">
        <v>7256</v>
      </c>
      <c r="U1535" t="s">
        <v>7256</v>
      </c>
      <c r="V1535" t="s">
        <v>7256</v>
      </c>
      <c r="W1535">
        <v>7</v>
      </c>
      <c r="X1535" t="s">
        <v>8791</v>
      </c>
      <c r="Y1535">
        <v>0.42949274887093503</v>
      </c>
      <c r="Z1535" t="str">
        <f>HYPERLINK("Melting_Curves/meltCurve_sp_Q14353_GAMT_HUMAN_.pdf", "Melting_Curves/meltCurve_sp_Q14353_GAMT_HUMAN_.pdf")</f>
        <v>Melting_Curves/meltCurve_sp_Q14353_GAMT_HUMAN_.pdf</v>
      </c>
      <c r="AA1535" t="s">
        <v>12392</v>
      </c>
      <c r="AB1535" t="s">
        <v>15960</v>
      </c>
    </row>
    <row r="1536" spans="1:28" x14ac:dyDescent="0.25">
      <c r="A1536" t="s">
        <v>1540</v>
      </c>
      <c r="B1536">
        <v>0.98018197421672304</v>
      </c>
      <c r="C1536">
        <v>0.87453190843473605</v>
      </c>
      <c r="D1536">
        <v>0.70197005390387701</v>
      </c>
      <c r="E1536">
        <v>0.47048399459282603</v>
      </c>
      <c r="F1536">
        <v>0.37138859483199499</v>
      </c>
      <c r="G1536">
        <v>0.244070818317729</v>
      </c>
      <c r="H1536">
        <v>0.14519473357229301</v>
      </c>
      <c r="I1536">
        <v>0.11681695169958101</v>
      </c>
      <c r="J1536">
        <v>0.101561603407488</v>
      </c>
      <c r="K1536">
        <v>8.2677464241692297E-2</v>
      </c>
      <c r="L1536">
        <v>580.93625772743906</v>
      </c>
      <c r="M1536">
        <v>11.772377980536699</v>
      </c>
      <c r="N1536">
        <v>49.908020707873199</v>
      </c>
      <c r="O1536">
        <v>47.988049818355798</v>
      </c>
      <c r="P1536">
        <v>-5.75462459748858E-2</v>
      </c>
      <c r="Q1536">
        <v>6.1934554141200103E-2</v>
      </c>
      <c r="R1536">
        <v>0.996624460502466</v>
      </c>
      <c r="S1536" t="s">
        <v>5165</v>
      </c>
      <c r="T1536" t="s">
        <v>7256</v>
      </c>
      <c r="U1536" t="s">
        <v>7256</v>
      </c>
      <c r="V1536" t="s">
        <v>7256</v>
      </c>
      <c r="W1536">
        <v>10</v>
      </c>
      <c r="X1536" t="s">
        <v>8792</v>
      </c>
      <c r="Y1536">
        <v>0.38903509104050787</v>
      </c>
      <c r="Z1536" t="str">
        <f>HYPERLINK("Melting_Curves/meltCurve_sp_Q14376_GALE_HUMAN_.pdf", "Melting_Curves/meltCurve_sp_Q14376_GALE_HUMAN_.pdf")</f>
        <v>Melting_Curves/meltCurve_sp_Q14376_GALE_HUMAN_.pdf</v>
      </c>
      <c r="AA1536" t="s">
        <v>12393</v>
      </c>
      <c r="AB1536" t="s">
        <v>15961</v>
      </c>
    </row>
    <row r="1537" spans="1:28" x14ac:dyDescent="0.25">
      <c r="A1537" t="s">
        <v>1541</v>
      </c>
      <c r="B1537">
        <v>0.98018197421672304</v>
      </c>
      <c r="C1537">
        <v>0.82827970917698301</v>
      </c>
      <c r="D1537">
        <v>0.50113117106428795</v>
      </c>
      <c r="E1537">
        <v>0.24614840827095399</v>
      </c>
      <c r="F1537">
        <v>0.15208693774853899</v>
      </c>
      <c r="G1537">
        <v>0.120847630398532</v>
      </c>
      <c r="H1537">
        <v>8.3233182271619105E-2</v>
      </c>
      <c r="I1537">
        <v>7.3467569186417503E-2</v>
      </c>
      <c r="J1537">
        <v>8.0724168988087305E-2</v>
      </c>
      <c r="K1537">
        <v>5.7000711046725598E-2</v>
      </c>
      <c r="L1537">
        <v>913.12322854173306</v>
      </c>
      <c r="M1537">
        <v>19.901973700672499</v>
      </c>
      <c r="N1537">
        <v>46.286245535371101</v>
      </c>
      <c r="O1537">
        <v>45.4253502365261</v>
      </c>
      <c r="P1537">
        <v>-0.10077799959707801</v>
      </c>
      <c r="Q1537">
        <v>7.9945768320644095E-2</v>
      </c>
      <c r="R1537">
        <v>0.99689510064634201</v>
      </c>
      <c r="S1537" t="s">
        <v>5166</v>
      </c>
      <c r="T1537" t="s">
        <v>7256</v>
      </c>
      <c r="U1537" t="s">
        <v>7256</v>
      </c>
      <c r="V1537" t="s">
        <v>7256</v>
      </c>
      <c r="W1537">
        <v>7</v>
      </c>
      <c r="X1537" t="s">
        <v>8793</v>
      </c>
      <c r="Y1537">
        <v>0.27481780530002858</v>
      </c>
      <c r="Z1537" t="str">
        <f>HYPERLINK("Melting_Curves/meltCurve_sp_Q14397_GCKR_HUMAN_.pdf", "Melting_Curves/meltCurve_sp_Q14397_GCKR_HUMAN_.pdf")</f>
        <v>Melting_Curves/meltCurve_sp_Q14397_GCKR_HUMAN_.pdf</v>
      </c>
      <c r="AA1537" t="s">
        <v>12394</v>
      </c>
      <c r="AB1537" t="s">
        <v>15962</v>
      </c>
    </row>
    <row r="1538" spans="1:28" x14ac:dyDescent="0.25">
      <c r="A1538" t="s">
        <v>1542</v>
      </c>
      <c r="B1538">
        <v>0.98018197421672304</v>
      </c>
      <c r="C1538">
        <v>0.86775840470676802</v>
      </c>
      <c r="D1538">
        <v>0.79813697904088698</v>
      </c>
      <c r="E1538">
        <v>0.65453955663001295</v>
      </c>
      <c r="F1538">
        <v>0.51519965112351596</v>
      </c>
      <c r="G1538">
        <v>0.34710873837862399</v>
      </c>
      <c r="H1538">
        <v>0.17996642114037101</v>
      </c>
      <c r="I1538">
        <v>0.134590961991706</v>
      </c>
      <c r="J1538">
        <v>0.13025615549448</v>
      </c>
      <c r="K1538">
        <v>5.1596524569353E-2</v>
      </c>
      <c r="L1538">
        <v>526.83814561158397</v>
      </c>
      <c r="M1538">
        <v>9.9610068823077693</v>
      </c>
      <c r="N1538">
        <v>52.890047430104303</v>
      </c>
      <c r="O1538">
        <v>50.890869658478998</v>
      </c>
      <c r="P1538">
        <v>-4.8957331380334999E-2</v>
      </c>
      <c r="Q1538">
        <v>0</v>
      </c>
      <c r="R1538">
        <v>0.99439966929924295</v>
      </c>
      <c r="S1538" t="s">
        <v>5167</v>
      </c>
      <c r="T1538" t="s">
        <v>7256</v>
      </c>
      <c r="U1538" t="s">
        <v>7256</v>
      </c>
      <c r="V1538" t="s">
        <v>7256</v>
      </c>
      <c r="W1538">
        <v>3</v>
      </c>
      <c r="X1538" t="s">
        <v>8794</v>
      </c>
      <c r="Y1538">
        <v>0.46442552360405581</v>
      </c>
      <c r="Z1538" t="str">
        <f>HYPERLINK("Melting_Curves/meltCurve_sp_Q14410_GLPK2_HUMAN_.pdf", "Melting_Curves/meltCurve_sp_Q14410_GLPK2_HUMAN_.pdf")</f>
        <v>Melting_Curves/meltCurve_sp_Q14410_GLPK2_HUMAN_.pdf</v>
      </c>
      <c r="AA1538" t="s">
        <v>12395</v>
      </c>
      <c r="AB1538" t="s">
        <v>15963</v>
      </c>
    </row>
    <row r="1539" spans="1:28" x14ac:dyDescent="0.25">
      <c r="A1539" t="s">
        <v>1543</v>
      </c>
      <c r="B1539">
        <v>0.98018197421672304</v>
      </c>
      <c r="C1539">
        <v>0.94811468208024996</v>
      </c>
      <c r="D1539">
        <v>0.91421658365184699</v>
      </c>
      <c r="E1539">
        <v>0.82054622753706896</v>
      </c>
      <c r="F1539">
        <v>0.68206710381800395</v>
      </c>
      <c r="G1539">
        <v>0.56234425532223098</v>
      </c>
      <c r="H1539">
        <v>0.56471312043007504</v>
      </c>
      <c r="I1539">
        <v>0.62800617540609704</v>
      </c>
      <c r="J1539">
        <v>0.60916448097597997</v>
      </c>
      <c r="K1539">
        <v>0.63255610088352199</v>
      </c>
      <c r="L1539">
        <v>1031.66810663349</v>
      </c>
      <c r="M1539">
        <v>20.738628956843598</v>
      </c>
      <c r="O1539">
        <v>49.290613864241898</v>
      </c>
      <c r="P1539">
        <v>-4.2689393179017501E-2</v>
      </c>
      <c r="Q1539">
        <v>0.59416291032777901</v>
      </c>
      <c r="R1539">
        <v>0.95595799266003201</v>
      </c>
      <c r="S1539" t="s">
        <v>5168</v>
      </c>
      <c r="T1539" t="s">
        <v>7256</v>
      </c>
      <c r="U1539" t="s">
        <v>7256</v>
      </c>
      <c r="V1539" t="s">
        <v>7256</v>
      </c>
      <c r="W1539">
        <v>12</v>
      </c>
      <c r="X1539" t="s">
        <v>8795</v>
      </c>
      <c r="Y1539">
        <v>0.73127314110279673</v>
      </c>
      <c r="Z1539" t="str">
        <f>HYPERLINK("Melting_Curves/meltCurve_sp_Q14444_2_CAPR1_HUMAN_.pdf", "Melting_Curves/meltCurve_sp_Q14444_2_CAPR1_HUMAN_.pdf")</f>
        <v>Melting_Curves/meltCurve_sp_Q14444_2_CAPR1_HUMAN_.pdf</v>
      </c>
      <c r="AA1539" t="s">
        <v>12396</v>
      </c>
      <c r="AB1539" t="s">
        <v>15964</v>
      </c>
    </row>
    <row r="1540" spans="1:28" x14ac:dyDescent="0.25">
      <c r="A1540" t="s">
        <v>1544</v>
      </c>
      <c r="B1540">
        <v>0.98018197421672304</v>
      </c>
      <c r="C1540">
        <v>0.82090962482127405</v>
      </c>
      <c r="D1540">
        <v>0.91366310931984596</v>
      </c>
      <c r="E1540">
        <v>0.78941280432637095</v>
      </c>
      <c r="F1540">
        <v>0.58661542512401899</v>
      </c>
      <c r="G1540">
        <v>0.32017094336468199</v>
      </c>
      <c r="H1540">
        <v>0.23165618364305901</v>
      </c>
      <c r="I1540">
        <v>0.13511562515734299</v>
      </c>
      <c r="J1540">
        <v>8.3787185715656895E-2</v>
      </c>
      <c r="K1540">
        <v>7.2278955883206306E-2</v>
      </c>
      <c r="L1540">
        <v>652.56252499992797</v>
      </c>
      <c r="M1540">
        <v>12.005425204484199</v>
      </c>
      <c r="N1540">
        <v>54.355636115099202</v>
      </c>
      <c r="O1540">
        <v>52.913379457286702</v>
      </c>
      <c r="P1540">
        <v>-5.6735718100077201E-2</v>
      </c>
      <c r="Q1540">
        <v>0</v>
      </c>
      <c r="R1540">
        <v>0.97900465563287997</v>
      </c>
      <c r="S1540" t="s">
        <v>5169</v>
      </c>
      <c r="T1540" t="s">
        <v>7256</v>
      </c>
      <c r="U1540" t="s">
        <v>7256</v>
      </c>
      <c r="V1540" t="s">
        <v>7256</v>
      </c>
      <c r="W1540">
        <v>4</v>
      </c>
      <c r="X1540" t="s">
        <v>8796</v>
      </c>
      <c r="Y1540">
        <v>0.50372133297622723</v>
      </c>
      <c r="Z1540" t="str">
        <f>HYPERLINK("Melting_Curves/meltCurve_sp_Q14498_2_RBM39_HUMAN_.pdf", "Melting_Curves/meltCurve_sp_Q14498_2_RBM39_HUMAN_.pdf")</f>
        <v>Melting_Curves/meltCurve_sp_Q14498_2_RBM39_HUMAN_.pdf</v>
      </c>
      <c r="AA1540" t="s">
        <v>12397</v>
      </c>
      <c r="AB1540" t="s">
        <v>15965</v>
      </c>
    </row>
    <row r="1541" spans="1:28" x14ac:dyDescent="0.25">
      <c r="A1541" t="s">
        <v>1545</v>
      </c>
      <c r="B1541">
        <v>0.98018197421672304</v>
      </c>
      <c r="C1541">
        <v>1.00837747816093</v>
      </c>
      <c r="D1541">
        <v>0.91847621830830195</v>
      </c>
      <c r="E1541">
        <v>0.82199545907308502</v>
      </c>
      <c r="F1541">
        <v>0.72958079650503205</v>
      </c>
      <c r="G1541">
        <v>0.41984343831241699</v>
      </c>
      <c r="H1541">
        <v>8.9540932611811702E-2</v>
      </c>
      <c r="I1541">
        <v>7.2028644640654005E-2</v>
      </c>
      <c r="J1541">
        <v>5.5765099802743599E-2</v>
      </c>
      <c r="K1541">
        <v>4.2442544121686701E-2</v>
      </c>
      <c r="L1541">
        <v>996.17399813074996</v>
      </c>
      <c r="M1541">
        <v>17.971069858111601</v>
      </c>
      <c r="N1541">
        <v>55.432092365001999</v>
      </c>
      <c r="O1541">
        <v>54.759392161816898</v>
      </c>
      <c r="P1541">
        <v>-8.2049691986879905E-2</v>
      </c>
      <c r="Q1541">
        <v>0</v>
      </c>
      <c r="R1541">
        <v>0.99021326528104203</v>
      </c>
      <c r="S1541" t="s">
        <v>5170</v>
      </c>
      <c r="T1541" t="s">
        <v>7256</v>
      </c>
      <c r="U1541" t="s">
        <v>7256</v>
      </c>
      <c r="V1541" t="s">
        <v>7256</v>
      </c>
      <c r="W1541">
        <v>1</v>
      </c>
      <c r="X1541" t="s">
        <v>8797</v>
      </c>
      <c r="Y1541">
        <v>0.52961423148058051</v>
      </c>
      <c r="Z1541" t="str">
        <f>HYPERLINK("Melting_Curves/meltCurve_sp_Q14520_2_HABP2_HUMAN_.pdf", "Melting_Curves/meltCurve_sp_Q14520_2_HABP2_HUMAN_.pdf")</f>
        <v>Melting_Curves/meltCurve_sp_Q14520_2_HABP2_HUMAN_.pdf</v>
      </c>
      <c r="AA1541" t="s">
        <v>12398</v>
      </c>
      <c r="AB1541" t="s">
        <v>15966</v>
      </c>
    </row>
    <row r="1542" spans="1:28" x14ac:dyDescent="0.25">
      <c r="A1542" t="s">
        <v>1546</v>
      </c>
      <c r="B1542">
        <v>0.98018197421672304</v>
      </c>
      <c r="C1542">
        <v>0.99705809770061005</v>
      </c>
      <c r="D1542">
        <v>0.96768520537406599</v>
      </c>
      <c r="E1542">
        <v>0.84922469159398595</v>
      </c>
      <c r="F1542">
        <v>0.59821648674166805</v>
      </c>
      <c r="G1542">
        <v>0.17185014781077901</v>
      </c>
      <c r="H1542">
        <v>0.102076608131569</v>
      </c>
      <c r="I1542">
        <v>8.1073558472230994E-2</v>
      </c>
      <c r="J1542">
        <v>8.1454578745472503E-2</v>
      </c>
      <c r="K1542">
        <v>7.4066181902418399E-2</v>
      </c>
      <c r="L1542">
        <v>1495.7152837163701</v>
      </c>
      <c r="M1542">
        <v>28.061287311919699</v>
      </c>
      <c r="N1542">
        <v>53.593617699364898</v>
      </c>
      <c r="O1542">
        <v>53.033257947350798</v>
      </c>
      <c r="P1542">
        <v>-0.122908961959303</v>
      </c>
      <c r="Q1542">
        <v>7.0861509810239698E-2</v>
      </c>
      <c r="R1542">
        <v>0.99812636233284702</v>
      </c>
      <c r="S1542" t="s">
        <v>5171</v>
      </c>
      <c r="T1542" t="s">
        <v>7256</v>
      </c>
      <c r="U1542" t="s">
        <v>7256</v>
      </c>
      <c r="V1542" t="s">
        <v>7256</v>
      </c>
      <c r="W1542">
        <v>7</v>
      </c>
      <c r="X1542" t="s">
        <v>8798</v>
      </c>
      <c r="Y1542">
        <v>0.48971995835162102</v>
      </c>
      <c r="Z1542" t="str">
        <f>HYPERLINK("Melting_Curves/meltCurve_sp_Q14554_PDIA5_HUMAN_.pdf", "Melting_Curves/meltCurve_sp_Q14554_PDIA5_HUMAN_.pdf")</f>
        <v>Melting_Curves/meltCurve_sp_Q14554_PDIA5_HUMAN_.pdf</v>
      </c>
      <c r="AA1542" t="s">
        <v>12399</v>
      </c>
      <c r="AB1542" t="s">
        <v>15967</v>
      </c>
    </row>
    <row r="1543" spans="1:28" x14ac:dyDescent="0.25">
      <c r="A1543" t="s">
        <v>1547</v>
      </c>
      <c r="B1543">
        <v>0.98018197421672304</v>
      </c>
      <c r="C1543">
        <v>0.94634167356709098</v>
      </c>
      <c r="D1543">
        <v>0.91633168440655499</v>
      </c>
      <c r="E1543">
        <v>0.68997105452747598</v>
      </c>
      <c r="F1543">
        <v>0.38225716956070999</v>
      </c>
      <c r="G1543">
        <v>0.128541494049285</v>
      </c>
      <c r="H1543">
        <v>5.6215179367566599E-2</v>
      </c>
      <c r="I1543">
        <v>4.0906755084049402E-2</v>
      </c>
      <c r="J1543">
        <v>3.4541791267962599E-2</v>
      </c>
      <c r="K1543">
        <v>2.4565614112400599E-2</v>
      </c>
      <c r="L1543">
        <v>1081.1628091657799</v>
      </c>
      <c r="M1543">
        <v>20.9233521730334</v>
      </c>
      <c r="N1543">
        <v>51.772744912566601</v>
      </c>
      <c r="O1543">
        <v>51.207483275400797</v>
      </c>
      <c r="P1543">
        <v>-0.10012561529166</v>
      </c>
      <c r="Q1543">
        <v>1.9843261979725201E-2</v>
      </c>
      <c r="R1543">
        <v>0.99834586659166902</v>
      </c>
      <c r="S1543" t="s">
        <v>5172</v>
      </c>
      <c r="T1543" t="s">
        <v>7256</v>
      </c>
      <c r="U1543" t="s">
        <v>7256</v>
      </c>
      <c r="V1543" t="s">
        <v>7256</v>
      </c>
      <c r="W1543">
        <v>8</v>
      </c>
      <c r="X1543" t="s">
        <v>8799</v>
      </c>
      <c r="Y1543">
        <v>0.41370924827853839</v>
      </c>
      <c r="Z1543" t="str">
        <f>HYPERLINK("Melting_Curves/meltCurve_sp_Q14558_KPRA_HUMAN_.pdf", "Melting_Curves/meltCurve_sp_Q14558_KPRA_HUMAN_.pdf")</f>
        <v>Melting_Curves/meltCurve_sp_Q14558_KPRA_HUMAN_.pdf</v>
      </c>
      <c r="AA1543" t="s">
        <v>12400</v>
      </c>
      <c r="AB1543" t="s">
        <v>15968</v>
      </c>
    </row>
    <row r="1544" spans="1:28" x14ac:dyDescent="0.25">
      <c r="A1544" t="s">
        <v>1548</v>
      </c>
      <c r="B1544">
        <v>0.98018197421672304</v>
      </c>
      <c r="C1544">
        <v>0.83958448151376897</v>
      </c>
      <c r="D1544">
        <v>0.76649308236461</v>
      </c>
      <c r="E1544">
        <v>0.41097507736085198</v>
      </c>
      <c r="F1544">
        <v>0.25531051532563398</v>
      </c>
      <c r="G1544">
        <v>0.15814453062974701</v>
      </c>
      <c r="H1544">
        <v>9.5143216580291803E-2</v>
      </c>
      <c r="I1544">
        <v>8.0682437855415998E-2</v>
      </c>
      <c r="J1544">
        <v>0.100999387201577</v>
      </c>
      <c r="K1544">
        <v>0.11388244892424999</v>
      </c>
      <c r="L1544">
        <v>790.28163608399495</v>
      </c>
      <c r="M1544">
        <v>16.338494323105401</v>
      </c>
      <c r="N1544">
        <v>48.908024273202997</v>
      </c>
      <c r="O1544">
        <v>47.662122258231598</v>
      </c>
      <c r="P1544">
        <v>-7.8647792752006507E-2</v>
      </c>
      <c r="Q1544">
        <v>8.2351196934244295E-2</v>
      </c>
      <c r="R1544">
        <v>0.99374732817843603</v>
      </c>
      <c r="S1544" t="s">
        <v>5173</v>
      </c>
      <c r="T1544" t="s">
        <v>7256</v>
      </c>
      <c r="U1544" t="s">
        <v>7256</v>
      </c>
      <c r="V1544" t="s">
        <v>7256</v>
      </c>
      <c r="W1544">
        <v>6</v>
      </c>
      <c r="X1544" t="s">
        <v>8800</v>
      </c>
      <c r="Y1544">
        <v>0.35797121180913971</v>
      </c>
      <c r="Z1544" t="str">
        <f>HYPERLINK("Melting_Curves/meltCurve_sp_Q14566_MCM6_HUMAN_.pdf", "Melting_Curves/meltCurve_sp_Q14566_MCM6_HUMAN_.pdf")</f>
        <v>Melting_Curves/meltCurve_sp_Q14566_MCM6_HUMAN_.pdf</v>
      </c>
      <c r="AA1544" t="s">
        <v>12401</v>
      </c>
      <c r="AB1544" t="s">
        <v>15969</v>
      </c>
    </row>
    <row r="1545" spans="1:28" x14ac:dyDescent="0.25">
      <c r="A1545" t="s">
        <v>1549</v>
      </c>
      <c r="B1545">
        <v>0.98018197421672304</v>
      </c>
      <c r="C1545">
        <v>0.88682959526890703</v>
      </c>
      <c r="D1545">
        <v>0.88893243283049495</v>
      </c>
      <c r="E1545">
        <v>0.777358182827383</v>
      </c>
      <c r="F1545">
        <v>0.59480264056572696</v>
      </c>
      <c r="G1545">
        <v>0.36192712417225398</v>
      </c>
      <c r="H1545">
        <v>0.26688393683568401</v>
      </c>
      <c r="I1545">
        <v>0.21889545388626899</v>
      </c>
      <c r="J1545">
        <v>0.17961903902243001</v>
      </c>
      <c r="K1545">
        <v>0.18214543120019699</v>
      </c>
      <c r="L1545">
        <v>676.89269363383505</v>
      </c>
      <c r="M1545">
        <v>12.678200165321</v>
      </c>
      <c r="N1545">
        <v>54.601257141159898</v>
      </c>
      <c r="O1545">
        <v>52.114244873671403</v>
      </c>
      <c r="P1545">
        <v>-5.3375948602613299E-2</v>
      </c>
      <c r="Q1545">
        <v>0.122555069137251</v>
      </c>
      <c r="R1545">
        <v>0.990760779345085</v>
      </c>
      <c r="S1545" t="s">
        <v>5174</v>
      </c>
      <c r="T1545" t="s">
        <v>7256</v>
      </c>
      <c r="U1545" t="s">
        <v>7256</v>
      </c>
      <c r="V1545" t="s">
        <v>7256</v>
      </c>
      <c r="W1545">
        <v>13</v>
      </c>
      <c r="X1545" t="s">
        <v>8801</v>
      </c>
      <c r="Y1545">
        <v>0.53700372300529697</v>
      </c>
      <c r="Z1545" t="str">
        <f>HYPERLINK("Melting_Curves/meltCurve_sp_Q14624_ITIH4_HUMAN_.pdf", "Melting_Curves/meltCurve_sp_Q14624_ITIH4_HUMAN_.pdf")</f>
        <v>Melting_Curves/meltCurve_sp_Q14624_ITIH4_HUMAN_.pdf</v>
      </c>
      <c r="AA1545" t="s">
        <v>12402</v>
      </c>
      <c r="AB1545" t="s">
        <v>15970</v>
      </c>
    </row>
    <row r="1546" spans="1:28" x14ac:dyDescent="0.25">
      <c r="A1546" t="s">
        <v>1550</v>
      </c>
      <c r="B1546">
        <v>0.98018197421672304</v>
      </c>
      <c r="C1546">
        <v>0.936082153929788</v>
      </c>
      <c r="D1546">
        <v>0.90936406136914905</v>
      </c>
      <c r="E1546">
        <v>0.74231134398088605</v>
      </c>
      <c r="F1546">
        <v>0.38543432155197999</v>
      </c>
      <c r="G1546">
        <v>0.169576613076448</v>
      </c>
      <c r="H1546">
        <v>0.10712232738405</v>
      </c>
      <c r="I1546">
        <v>8.2258404937885707E-2</v>
      </c>
      <c r="J1546">
        <v>0.11431279968616</v>
      </c>
      <c r="K1546">
        <v>7.0497354441522594E-2</v>
      </c>
      <c r="L1546">
        <v>1219.2936972556799</v>
      </c>
      <c r="M1546">
        <v>23.617289767662601</v>
      </c>
      <c r="N1546">
        <v>52.022296184703499</v>
      </c>
      <c r="O1546">
        <v>51.261303010769801</v>
      </c>
      <c r="P1546">
        <v>-0.105724970296564</v>
      </c>
      <c r="Q1546">
        <v>8.21118799574274E-2</v>
      </c>
      <c r="R1546">
        <v>0.994403600333292</v>
      </c>
      <c r="S1546" t="s">
        <v>5175</v>
      </c>
      <c r="T1546" t="s">
        <v>7256</v>
      </c>
      <c r="U1546" t="s">
        <v>7256</v>
      </c>
      <c r="V1546" t="s">
        <v>7256</v>
      </c>
      <c r="W1546">
        <v>13</v>
      </c>
      <c r="X1546" t="s">
        <v>8802</v>
      </c>
      <c r="Y1546">
        <v>0.44717634441833609</v>
      </c>
      <c r="Z1546" t="str">
        <f>HYPERLINK("Melting_Curves/meltCurve_sp_Q14651_PLSI_HUMAN_.pdf", "Melting_Curves/meltCurve_sp_Q14651_PLSI_HUMAN_.pdf")</f>
        <v>Melting_Curves/meltCurve_sp_Q14651_PLSI_HUMAN_.pdf</v>
      </c>
      <c r="AA1546" t="s">
        <v>12403</v>
      </c>
      <c r="AB1546" t="s">
        <v>15971</v>
      </c>
    </row>
    <row r="1547" spans="1:28" x14ac:dyDescent="0.25">
      <c r="A1547" t="s">
        <v>1551</v>
      </c>
      <c r="B1547">
        <v>0.98018197421672304</v>
      </c>
      <c r="C1547">
        <v>0.95596915567354901</v>
      </c>
      <c r="D1547">
        <v>0.91720490256892695</v>
      </c>
      <c r="E1547">
        <v>0.82122203209825995</v>
      </c>
      <c r="F1547">
        <v>0.65741398580429</v>
      </c>
      <c r="G1547">
        <v>0.297704332647173</v>
      </c>
      <c r="H1547">
        <v>0.124864797481319</v>
      </c>
      <c r="I1547">
        <v>8.8988178391732398E-2</v>
      </c>
      <c r="J1547">
        <v>7.2203090355705296E-2</v>
      </c>
      <c r="K1547">
        <v>8.7127166747589593E-2</v>
      </c>
      <c r="L1547">
        <v>1031.74981872528</v>
      </c>
      <c r="M1547">
        <v>19.059590343990301</v>
      </c>
      <c r="N1547">
        <v>54.420807570781001</v>
      </c>
      <c r="O1547">
        <v>53.547483542379801</v>
      </c>
      <c r="P1547">
        <v>-8.4719599795130204E-2</v>
      </c>
      <c r="Q1547">
        <v>4.7966232492259002E-2</v>
      </c>
      <c r="R1547">
        <v>0.99479053318081401</v>
      </c>
      <c r="S1547" t="s">
        <v>5176</v>
      </c>
      <c r="T1547" t="s">
        <v>7256</v>
      </c>
      <c r="U1547" t="s">
        <v>7256</v>
      </c>
      <c r="V1547" t="s">
        <v>7256</v>
      </c>
      <c r="W1547">
        <v>3</v>
      </c>
      <c r="X1547" t="s">
        <v>8803</v>
      </c>
      <c r="Y1547">
        <v>0.51038874700681247</v>
      </c>
      <c r="Z1547" t="str">
        <f>HYPERLINK("Melting_Curves/meltCurve_sp_Q14653_IRF3_HUMAN_.pdf", "Melting_Curves/meltCurve_sp_Q14653_IRF3_HUMAN_.pdf")</f>
        <v>Melting_Curves/meltCurve_sp_Q14653_IRF3_HUMAN_.pdf</v>
      </c>
      <c r="AA1547" t="s">
        <v>12404</v>
      </c>
      <c r="AB1547" t="s">
        <v>15972</v>
      </c>
    </row>
    <row r="1548" spans="1:28" x14ac:dyDescent="0.25">
      <c r="A1548" t="s">
        <v>1552</v>
      </c>
      <c r="B1548">
        <v>0.98018197421672304</v>
      </c>
      <c r="C1548">
        <v>0.74577342542979197</v>
      </c>
      <c r="D1548">
        <v>0.88448528148091998</v>
      </c>
      <c r="E1548">
        <v>0.74307688366917501</v>
      </c>
      <c r="F1548">
        <v>0.72807056157346595</v>
      </c>
      <c r="G1548">
        <v>0.57370276408865795</v>
      </c>
      <c r="H1548">
        <v>0.266197647212498</v>
      </c>
      <c r="I1548">
        <v>0.133346712215059</v>
      </c>
      <c r="J1548">
        <v>0.120634975304253</v>
      </c>
      <c r="K1548">
        <v>9.6564049628159607E-2</v>
      </c>
      <c r="L1548">
        <v>596.42481054054599</v>
      </c>
      <c r="M1548">
        <v>10.6142125502226</v>
      </c>
      <c r="N1548">
        <v>56.191161475367601</v>
      </c>
      <c r="O1548">
        <v>54.306659530652503</v>
      </c>
      <c r="P1548">
        <v>-4.8881301379682003E-2</v>
      </c>
      <c r="Q1548">
        <v>0</v>
      </c>
      <c r="R1548">
        <v>0.92574883507814398</v>
      </c>
      <c r="S1548" t="s">
        <v>5177</v>
      </c>
      <c r="T1548" t="s">
        <v>7256</v>
      </c>
      <c r="U1548" t="s">
        <v>7256</v>
      </c>
      <c r="V1548" t="s">
        <v>7256</v>
      </c>
      <c r="W1548">
        <v>2</v>
      </c>
      <c r="X1548" t="s">
        <v>8804</v>
      </c>
      <c r="Y1548">
        <v>0.55988496874656135</v>
      </c>
      <c r="Z1548" t="str">
        <f>HYPERLINK("Melting_Curves/meltCurve_sp_Q14657_LAGE3_HUMAN_.pdf", "Melting_Curves/meltCurve_sp_Q14657_LAGE3_HUMAN_.pdf")</f>
        <v>Melting_Curves/meltCurve_sp_Q14657_LAGE3_HUMAN_.pdf</v>
      </c>
      <c r="AA1548" t="s">
        <v>12405</v>
      </c>
      <c r="AB1548" t="s">
        <v>15973</v>
      </c>
    </row>
    <row r="1549" spans="1:28" x14ac:dyDescent="0.25">
      <c r="A1549" t="s">
        <v>1553</v>
      </c>
      <c r="B1549">
        <v>0.98018197421672304</v>
      </c>
      <c r="C1549">
        <v>1.3317329555122699</v>
      </c>
      <c r="D1549">
        <v>1.0750424802002301</v>
      </c>
      <c r="E1549">
        <v>1.0204474864906199</v>
      </c>
      <c r="F1549">
        <v>1.02560839688169</v>
      </c>
      <c r="G1549">
        <v>0.853896192694793</v>
      </c>
      <c r="H1549">
        <v>0.55817510840403906</v>
      </c>
      <c r="I1549">
        <v>0.51601701131618705</v>
      </c>
      <c r="J1549">
        <v>0.90327288939892703</v>
      </c>
      <c r="K1549">
        <v>1.3310912147942799</v>
      </c>
      <c r="L1549">
        <v>14153.241513708501</v>
      </c>
      <c r="M1549">
        <v>250</v>
      </c>
      <c r="O1549">
        <v>56.609342143043698</v>
      </c>
      <c r="P1549">
        <v>-0.190848507788866</v>
      </c>
      <c r="Q1549">
        <v>0.82713906137404603</v>
      </c>
      <c r="R1549">
        <v>0.185675437498381</v>
      </c>
      <c r="S1549" t="s">
        <v>5178</v>
      </c>
      <c r="T1549" t="s">
        <v>7256</v>
      </c>
      <c r="U1549" t="s">
        <v>7256</v>
      </c>
      <c r="V1549" t="s">
        <v>7256</v>
      </c>
      <c r="W1549">
        <v>3</v>
      </c>
      <c r="X1549" t="s">
        <v>8805</v>
      </c>
      <c r="Y1549">
        <v>0.9228806661375375</v>
      </c>
      <c r="Z1549" t="str">
        <f>HYPERLINK("Melting_Curves/meltCurve_sp_Q14669_TRIPC_HUMAN_.pdf", "Melting_Curves/meltCurve_sp_Q14669_TRIPC_HUMAN_.pdf")</f>
        <v>Melting_Curves/meltCurve_sp_Q14669_TRIPC_HUMAN_.pdf</v>
      </c>
      <c r="AA1549" t="s">
        <v>12406</v>
      </c>
      <c r="AB1549" t="s">
        <v>15974</v>
      </c>
    </row>
    <row r="1550" spans="1:28" x14ac:dyDescent="0.25">
      <c r="A1550" t="s">
        <v>1554</v>
      </c>
      <c r="B1550">
        <v>0.98018197421672304</v>
      </c>
      <c r="C1550">
        <v>0.71351214356347104</v>
      </c>
      <c r="D1550">
        <v>1.07100994012665</v>
      </c>
      <c r="E1550">
        <v>0.78386201289219604</v>
      </c>
      <c r="F1550">
        <v>0.69505744999528896</v>
      </c>
      <c r="G1550">
        <v>0.47894004727885697</v>
      </c>
      <c r="H1550">
        <v>0.35153785736008503</v>
      </c>
      <c r="I1550">
        <v>0.36979337340927398</v>
      </c>
      <c r="J1550">
        <v>0.44879316446963102</v>
      </c>
      <c r="K1550">
        <v>0.48105718867615199</v>
      </c>
      <c r="L1550">
        <v>1151.5895984273</v>
      </c>
      <c r="M1550">
        <v>22.099539273895498</v>
      </c>
      <c r="N1550">
        <v>56.3961326221538</v>
      </c>
      <c r="O1550">
        <v>51.688164716259003</v>
      </c>
      <c r="P1550">
        <v>-6.3407580616941503E-2</v>
      </c>
      <c r="Q1550">
        <v>0.40680218520454797</v>
      </c>
      <c r="R1550">
        <v>0.81006538390248695</v>
      </c>
      <c r="S1550" t="s">
        <v>5179</v>
      </c>
      <c r="T1550" t="s">
        <v>7256</v>
      </c>
      <c r="U1550" t="s">
        <v>7256</v>
      </c>
      <c r="V1550" t="s">
        <v>7256</v>
      </c>
      <c r="W1550">
        <v>2</v>
      </c>
      <c r="X1550" t="s">
        <v>8806</v>
      </c>
      <c r="Y1550">
        <v>0.65308332710840389</v>
      </c>
      <c r="Z1550" t="str">
        <f>HYPERLINK("Melting_Curves/meltCurve_sp_Q14676_4_MDC1_HUMAN_.pdf", "Melting_Curves/meltCurve_sp_Q14676_4_MDC1_HUMAN_.pdf")</f>
        <v>Melting_Curves/meltCurve_sp_Q14676_4_MDC1_HUMAN_.pdf</v>
      </c>
      <c r="AA1550" t="s">
        <v>12407</v>
      </c>
      <c r="AB1550" t="s">
        <v>15975</v>
      </c>
    </row>
    <row r="1551" spans="1:28" x14ac:dyDescent="0.25">
      <c r="A1551" t="s">
        <v>1555</v>
      </c>
      <c r="B1551">
        <v>0.98018197421672304</v>
      </c>
      <c r="C1551">
        <v>1.0098519216885999</v>
      </c>
      <c r="D1551">
        <v>0.95007755511061898</v>
      </c>
      <c r="E1551">
        <v>0.77478098497195802</v>
      </c>
      <c r="F1551">
        <v>0.44749677599960602</v>
      </c>
      <c r="G1551">
        <v>0.26422599554485099</v>
      </c>
      <c r="H1551">
        <v>0.34684952929927598</v>
      </c>
      <c r="I1551">
        <v>0.35387616179318598</v>
      </c>
      <c r="J1551">
        <v>0.29407173719803698</v>
      </c>
      <c r="K1551">
        <v>0.39427922906583801</v>
      </c>
      <c r="L1551">
        <v>2036.92745606319</v>
      </c>
      <c r="M1551">
        <v>40.0701344047066</v>
      </c>
      <c r="N1551">
        <v>52.242689682623798</v>
      </c>
      <c r="O1551">
        <v>50.707956193508402</v>
      </c>
      <c r="P1551">
        <v>-0.13230711368676901</v>
      </c>
      <c r="Q1551">
        <v>0.33027355080797399</v>
      </c>
      <c r="R1551">
        <v>0.98373844071383398</v>
      </c>
      <c r="S1551" t="s">
        <v>5180</v>
      </c>
      <c r="T1551" t="s">
        <v>7256</v>
      </c>
      <c r="U1551" t="s">
        <v>7256</v>
      </c>
      <c r="V1551" t="s">
        <v>7256</v>
      </c>
      <c r="W1551">
        <v>5</v>
      </c>
      <c r="X1551" t="s">
        <v>8807</v>
      </c>
      <c r="Y1551">
        <v>0.57448033259175268</v>
      </c>
      <c r="Z1551" t="str">
        <f>HYPERLINK("Melting_Curves/meltCurve_sp_Q14677_EPN4_HUMAN_.pdf", "Melting_Curves/meltCurve_sp_Q14677_EPN4_HUMAN_.pdf")</f>
        <v>Melting_Curves/meltCurve_sp_Q14677_EPN4_HUMAN_.pdf</v>
      </c>
      <c r="AA1551" t="s">
        <v>12408</v>
      </c>
      <c r="AB1551" t="s">
        <v>15976</v>
      </c>
    </row>
    <row r="1552" spans="1:28" x14ac:dyDescent="0.25">
      <c r="A1552" t="s">
        <v>1556</v>
      </c>
      <c r="B1552">
        <v>0.98018197421672304</v>
      </c>
      <c r="C1552">
        <v>1.0519951714967799</v>
      </c>
      <c r="D1552">
        <v>0.87957050370516998</v>
      </c>
      <c r="E1552">
        <v>0.64947134162928599</v>
      </c>
      <c r="F1552">
        <v>0.341323597756515</v>
      </c>
      <c r="G1552">
        <v>0.145265746330487</v>
      </c>
      <c r="H1552">
        <v>0.109244721269585</v>
      </c>
      <c r="I1552">
        <v>9.6140870332409895E-2</v>
      </c>
      <c r="J1552">
        <v>0.102678258314885</v>
      </c>
      <c r="K1552">
        <v>0.101566483557485</v>
      </c>
      <c r="L1552">
        <v>1175.47692287976</v>
      </c>
      <c r="M1552">
        <v>23.128830607515599</v>
      </c>
      <c r="N1552">
        <v>51.271522674351402</v>
      </c>
      <c r="O1552">
        <v>50.447639798582998</v>
      </c>
      <c r="P1552">
        <v>-0.10412261779450099</v>
      </c>
      <c r="Q1552">
        <v>9.1584655827710401E-2</v>
      </c>
      <c r="R1552">
        <v>0.99494110010375003</v>
      </c>
      <c r="S1552" t="s">
        <v>5181</v>
      </c>
      <c r="T1552" t="s">
        <v>7256</v>
      </c>
      <c r="U1552" t="s">
        <v>7256</v>
      </c>
      <c r="V1552" t="s">
        <v>7256</v>
      </c>
      <c r="W1552">
        <v>13</v>
      </c>
      <c r="X1552" t="s">
        <v>8808</v>
      </c>
      <c r="Y1552">
        <v>0.42885371942132589</v>
      </c>
      <c r="Z1552" t="str">
        <f>HYPERLINK("Melting_Curves/meltCurve_sp_Q14678_2_KANK1_HUMAN_.pdf", "Melting_Curves/meltCurve_sp_Q14678_2_KANK1_HUMAN_.pdf")</f>
        <v>Melting_Curves/meltCurve_sp_Q14678_2_KANK1_HUMAN_.pdf</v>
      </c>
      <c r="AA1552" t="s">
        <v>12409</v>
      </c>
      <c r="AB1552" t="s">
        <v>15977</v>
      </c>
    </row>
    <row r="1553" spans="1:28" x14ac:dyDescent="0.25">
      <c r="A1553" t="s">
        <v>1557</v>
      </c>
      <c r="B1553">
        <v>0.98018197421672304</v>
      </c>
      <c r="C1553">
        <v>0.87662041698436199</v>
      </c>
      <c r="D1553">
        <v>0.79776346180898505</v>
      </c>
      <c r="E1553">
        <v>0.58658743342106001</v>
      </c>
      <c r="F1553">
        <v>0.27920968112676497</v>
      </c>
      <c r="G1553">
        <v>0.15148351702548399</v>
      </c>
      <c r="H1553">
        <v>0.106992618862687</v>
      </c>
      <c r="I1553">
        <v>8.5449279509283896E-2</v>
      </c>
      <c r="J1553">
        <v>9.2857722225049094E-2</v>
      </c>
      <c r="K1553">
        <v>6.5565108611769202E-2</v>
      </c>
      <c r="L1553">
        <v>783.51862690498001</v>
      </c>
      <c r="M1553">
        <v>15.692193197949701</v>
      </c>
      <c r="N1553">
        <v>50.299597729895403</v>
      </c>
      <c r="O1553">
        <v>49.1407019787978</v>
      </c>
      <c r="P1553">
        <v>-7.5497482339305505E-2</v>
      </c>
      <c r="Q1553">
        <v>5.4387122742996598E-2</v>
      </c>
      <c r="R1553">
        <v>0.99144816067414498</v>
      </c>
      <c r="S1553" t="s">
        <v>5182</v>
      </c>
      <c r="T1553" t="s">
        <v>7256</v>
      </c>
      <c r="U1553" t="s">
        <v>7256</v>
      </c>
      <c r="V1553" t="s">
        <v>7256</v>
      </c>
      <c r="W1553">
        <v>9</v>
      </c>
      <c r="X1553" t="s">
        <v>8809</v>
      </c>
      <c r="Y1553">
        <v>0.38824004615054453</v>
      </c>
      <c r="Z1553" t="str">
        <f>HYPERLINK("Melting_Curves/meltCurve_sp_Q14683_SMC1A_HUMAN_.pdf", "Melting_Curves/meltCurve_sp_Q14683_SMC1A_HUMAN_.pdf")</f>
        <v>Melting_Curves/meltCurve_sp_Q14683_SMC1A_HUMAN_.pdf</v>
      </c>
      <c r="AA1553" t="s">
        <v>12410</v>
      </c>
      <c r="AB1553" t="s">
        <v>15978</v>
      </c>
    </row>
    <row r="1554" spans="1:28" x14ac:dyDescent="0.25">
      <c r="A1554" t="s">
        <v>1558</v>
      </c>
      <c r="B1554">
        <v>0.98018197421672304</v>
      </c>
      <c r="C1554">
        <v>0.94831407193199302</v>
      </c>
      <c r="D1554">
        <v>0.85112562381686097</v>
      </c>
      <c r="E1554">
        <v>0.62040333920728596</v>
      </c>
      <c r="F1554">
        <v>0.39481863534289202</v>
      </c>
      <c r="G1554">
        <v>0.281344061585731</v>
      </c>
      <c r="H1554">
        <v>0.18749186411312199</v>
      </c>
      <c r="I1554">
        <v>0.17771633226860301</v>
      </c>
      <c r="J1554">
        <v>0.22552244136414701</v>
      </c>
      <c r="K1554">
        <v>0.22667190855779801</v>
      </c>
      <c r="L1554">
        <v>903.75558963809101</v>
      </c>
      <c r="M1554">
        <v>18.060983711103699</v>
      </c>
      <c r="N1554">
        <v>51.416489940943499</v>
      </c>
      <c r="O1554">
        <v>49.437761800015103</v>
      </c>
      <c r="P1554">
        <v>-7.38188546796988E-2</v>
      </c>
      <c r="Q1554">
        <v>0.19179123436002701</v>
      </c>
      <c r="R1554">
        <v>0.99510141628759996</v>
      </c>
      <c r="S1554" t="s">
        <v>5183</v>
      </c>
      <c r="T1554" t="s">
        <v>7256</v>
      </c>
      <c r="U1554" t="s">
        <v>7256</v>
      </c>
      <c r="V1554" t="s">
        <v>7256</v>
      </c>
      <c r="W1554">
        <v>5</v>
      </c>
      <c r="X1554" t="s">
        <v>8810</v>
      </c>
      <c r="Y1554">
        <v>0.47593560496839682</v>
      </c>
      <c r="Z1554" t="str">
        <f>HYPERLINK("Melting_Curves/meltCurve_sp_Q14694_UBP10_HUMAN_.pdf", "Melting_Curves/meltCurve_sp_Q14694_UBP10_HUMAN_.pdf")</f>
        <v>Melting_Curves/meltCurve_sp_Q14694_UBP10_HUMAN_.pdf</v>
      </c>
      <c r="AA1554" t="s">
        <v>12411</v>
      </c>
      <c r="AB1554" t="s">
        <v>15979</v>
      </c>
    </row>
    <row r="1555" spans="1:28" x14ac:dyDescent="0.25">
      <c r="A1555" t="s">
        <v>1559</v>
      </c>
      <c r="B1555">
        <v>0.98018197421672304</v>
      </c>
      <c r="C1555">
        <v>0.94124842644483797</v>
      </c>
      <c r="D1555">
        <v>0.92767882235813004</v>
      </c>
      <c r="E1555">
        <v>0.78018590790430997</v>
      </c>
      <c r="F1555">
        <v>0.80263055468178401</v>
      </c>
      <c r="G1555">
        <v>0.63440364752788403</v>
      </c>
      <c r="H1555">
        <v>0.48806352595640401</v>
      </c>
      <c r="I1555">
        <v>0.47118436632778099</v>
      </c>
      <c r="J1555">
        <v>0.46021513625653698</v>
      </c>
      <c r="K1555">
        <v>0.54554028565461599</v>
      </c>
      <c r="L1555">
        <v>629.83902322982601</v>
      </c>
      <c r="M1555">
        <v>11.8016905005135</v>
      </c>
      <c r="N1555">
        <v>64.9136108947678</v>
      </c>
      <c r="O1555">
        <v>51.905386137296297</v>
      </c>
      <c r="P1555">
        <v>-3.1913328425291702E-2</v>
      </c>
      <c r="Q1555">
        <v>0.43870827567894899</v>
      </c>
      <c r="R1555">
        <v>0.95114511022288595</v>
      </c>
      <c r="S1555" t="s">
        <v>5184</v>
      </c>
      <c r="T1555" t="s">
        <v>7256</v>
      </c>
      <c r="U1555" t="s">
        <v>7256</v>
      </c>
      <c r="V1555" t="s">
        <v>7256</v>
      </c>
      <c r="W1555">
        <v>7</v>
      </c>
      <c r="X1555" t="s">
        <v>8811</v>
      </c>
      <c r="Y1555">
        <v>0.70461168160213061</v>
      </c>
      <c r="Z1555" t="str">
        <f>HYPERLINK("Melting_Curves/meltCurve_sp_Q14696_MESD_HUMAN_.pdf", "Melting_Curves/meltCurve_sp_Q14696_MESD_HUMAN_.pdf")</f>
        <v>Melting_Curves/meltCurve_sp_Q14696_MESD_HUMAN_.pdf</v>
      </c>
      <c r="AA1555" t="s">
        <v>12412</v>
      </c>
      <c r="AB1555" t="s">
        <v>15980</v>
      </c>
    </row>
    <row r="1556" spans="1:28" x14ac:dyDescent="0.25">
      <c r="A1556" t="s">
        <v>1560</v>
      </c>
      <c r="B1556">
        <v>0.98018197421672304</v>
      </c>
      <c r="C1556">
        <v>0.99466332242990196</v>
      </c>
      <c r="D1556">
        <v>0.883782327564267</v>
      </c>
      <c r="E1556">
        <v>0.49462623442642001</v>
      </c>
      <c r="F1556">
        <v>0.13597187162517799</v>
      </c>
      <c r="G1556">
        <v>8.6452297754990595E-2</v>
      </c>
      <c r="H1556">
        <v>5.9367087304245003E-2</v>
      </c>
      <c r="I1556">
        <v>3.7722033465367899E-2</v>
      </c>
      <c r="J1556">
        <v>7.2523873955018095E-2</v>
      </c>
      <c r="K1556">
        <v>3.2913405760526503E-2</v>
      </c>
      <c r="L1556">
        <v>1448.23461042339</v>
      </c>
      <c r="M1556">
        <v>29.1983968966505</v>
      </c>
      <c r="N1556">
        <v>49.771703800628899</v>
      </c>
      <c r="O1556">
        <v>49.368888797164203</v>
      </c>
      <c r="P1556">
        <v>-0.14076738705636699</v>
      </c>
      <c r="Q1556">
        <v>4.7964304087866699E-2</v>
      </c>
      <c r="R1556">
        <v>0.99705811302698399</v>
      </c>
      <c r="S1556" t="s">
        <v>5185</v>
      </c>
      <c r="T1556" t="s">
        <v>7256</v>
      </c>
      <c r="U1556" t="s">
        <v>7256</v>
      </c>
      <c r="V1556" t="s">
        <v>7256</v>
      </c>
      <c r="W1556">
        <v>27</v>
      </c>
      <c r="X1556" t="s">
        <v>8812</v>
      </c>
      <c r="Y1556">
        <v>0.35879160456570269</v>
      </c>
      <c r="Z1556" t="str">
        <f>HYPERLINK("Melting_Curves/meltCurve_sp_Q14697_GANAB_HUMAN_.pdf", "Melting_Curves/meltCurve_sp_Q14697_GANAB_HUMAN_.pdf")</f>
        <v>Melting_Curves/meltCurve_sp_Q14697_GANAB_HUMAN_.pdf</v>
      </c>
      <c r="AA1556" t="s">
        <v>12413</v>
      </c>
      <c r="AB1556" t="s">
        <v>15981</v>
      </c>
    </row>
    <row r="1557" spans="1:28" x14ac:dyDescent="0.25">
      <c r="A1557" t="s">
        <v>1561</v>
      </c>
      <c r="B1557">
        <v>0.98018197421672304</v>
      </c>
      <c r="C1557">
        <v>0.96569389007824502</v>
      </c>
      <c r="D1557">
        <v>0.90978615862143097</v>
      </c>
      <c r="E1557">
        <v>0.77748168580643695</v>
      </c>
      <c r="F1557">
        <v>0.58237374993955704</v>
      </c>
      <c r="G1557">
        <v>0.274059130737969</v>
      </c>
      <c r="H1557">
        <v>9.0333072910274606E-2</v>
      </c>
      <c r="I1557">
        <v>7.0875206857566098E-2</v>
      </c>
      <c r="J1557">
        <v>6.6986321605117596E-2</v>
      </c>
      <c r="K1557">
        <v>5.39916206730955E-2</v>
      </c>
      <c r="L1557">
        <v>926.95050794232702</v>
      </c>
      <c r="M1557">
        <v>17.300770642981899</v>
      </c>
      <c r="N1557">
        <v>53.7125590480561</v>
      </c>
      <c r="O1557">
        <v>52.878105106456601</v>
      </c>
      <c r="P1557">
        <v>-8.0072658540307304E-2</v>
      </c>
      <c r="Q1557">
        <v>2.11196142822743E-2</v>
      </c>
      <c r="R1557">
        <v>0.99682943790709799</v>
      </c>
      <c r="S1557" t="s">
        <v>5186</v>
      </c>
      <c r="T1557" t="s">
        <v>7256</v>
      </c>
      <c r="U1557" t="s">
        <v>7256</v>
      </c>
      <c r="V1557" t="s">
        <v>7256</v>
      </c>
      <c r="W1557">
        <v>8</v>
      </c>
      <c r="X1557" t="s">
        <v>8813</v>
      </c>
      <c r="Y1557">
        <v>0.48098871537746501</v>
      </c>
      <c r="Z1557" t="str">
        <f>HYPERLINK("Melting_Curves/meltCurve_sp_Q14749_GNMT_HUMAN_.pdf", "Melting_Curves/meltCurve_sp_Q14749_GNMT_HUMAN_.pdf")</f>
        <v>Melting_Curves/meltCurve_sp_Q14749_GNMT_HUMAN_.pdf</v>
      </c>
      <c r="AA1557" t="s">
        <v>12414</v>
      </c>
      <c r="AB1557" t="s">
        <v>15982</v>
      </c>
    </row>
    <row r="1558" spans="1:28" x14ac:dyDescent="0.25">
      <c r="A1558" t="s">
        <v>1562</v>
      </c>
      <c r="B1558">
        <v>0.98018197421672304</v>
      </c>
      <c r="C1558">
        <v>0.88966318987911797</v>
      </c>
      <c r="D1558">
        <v>0.81007582383830901</v>
      </c>
      <c r="E1558">
        <v>0.65940651238494197</v>
      </c>
      <c r="F1558">
        <v>0.46817690555284702</v>
      </c>
      <c r="G1558">
        <v>0.30097250932255798</v>
      </c>
      <c r="H1558">
        <v>0.242400538264154</v>
      </c>
      <c r="I1558">
        <v>0.22084211039064899</v>
      </c>
      <c r="J1558">
        <v>0.22037171306794501</v>
      </c>
      <c r="K1558">
        <v>0.176874916163412</v>
      </c>
      <c r="L1558">
        <v>630.33650490664104</v>
      </c>
      <c r="M1558">
        <v>12.402455552915001</v>
      </c>
      <c r="N1558">
        <v>52.401618060926403</v>
      </c>
      <c r="O1558">
        <v>49.556460761812602</v>
      </c>
      <c r="P1558">
        <v>-5.2827970693622703E-2</v>
      </c>
      <c r="Q1558">
        <v>0.15584070023468999</v>
      </c>
      <c r="R1558">
        <v>0.99504387052385601</v>
      </c>
      <c r="S1558" t="s">
        <v>5187</v>
      </c>
      <c r="T1558" t="s">
        <v>7256</v>
      </c>
      <c r="U1558" t="s">
        <v>7256</v>
      </c>
      <c r="V1558" t="s">
        <v>7256</v>
      </c>
      <c r="W1558">
        <v>49</v>
      </c>
      <c r="X1558" t="s">
        <v>8814</v>
      </c>
      <c r="Y1558">
        <v>0.48690852174097332</v>
      </c>
      <c r="Z1558" t="str">
        <f>HYPERLINK("Melting_Curves/meltCurve_sp_Q14789_GOGB1_HUMAN_.pdf", "Melting_Curves/meltCurve_sp_Q14789_GOGB1_HUMAN_.pdf")</f>
        <v>Melting_Curves/meltCurve_sp_Q14789_GOGB1_HUMAN_.pdf</v>
      </c>
      <c r="AA1558" t="s">
        <v>12415</v>
      </c>
      <c r="AB1558" t="s">
        <v>15983</v>
      </c>
    </row>
    <row r="1559" spans="1:28" x14ac:dyDescent="0.25">
      <c r="A1559" t="s">
        <v>1563</v>
      </c>
      <c r="B1559">
        <v>0.98018197421672304</v>
      </c>
      <c r="C1559">
        <v>0.89808969413454798</v>
      </c>
      <c r="D1559">
        <v>0.87719662056641401</v>
      </c>
      <c r="E1559">
        <v>0.72348932034497504</v>
      </c>
      <c r="F1559">
        <v>0.43282793148139698</v>
      </c>
      <c r="G1559">
        <v>0.200571705746037</v>
      </c>
      <c r="H1559">
        <v>0.115480027462702</v>
      </c>
      <c r="I1559">
        <v>9.2355777250479207E-2</v>
      </c>
      <c r="J1559">
        <v>9.8498450031654194E-2</v>
      </c>
      <c r="K1559">
        <v>8.5604079518759105E-2</v>
      </c>
      <c r="L1559">
        <v>903.27121977626496</v>
      </c>
      <c r="M1559">
        <v>17.429008908470301</v>
      </c>
      <c r="N1559">
        <v>52.234538215391503</v>
      </c>
      <c r="O1559">
        <v>51.157911447301501</v>
      </c>
      <c r="P1559">
        <v>-7.9746894487516901E-2</v>
      </c>
      <c r="Q1559">
        <v>6.3754905988694793E-2</v>
      </c>
      <c r="R1559">
        <v>0.99183848577185596</v>
      </c>
      <c r="S1559" t="s">
        <v>5188</v>
      </c>
      <c r="T1559" t="s">
        <v>7256</v>
      </c>
      <c r="U1559" t="s">
        <v>7256</v>
      </c>
      <c r="V1559" t="s">
        <v>7256</v>
      </c>
      <c r="W1559">
        <v>2</v>
      </c>
      <c r="X1559" t="s">
        <v>8815</v>
      </c>
      <c r="Y1559">
        <v>0.44931563392037999</v>
      </c>
      <c r="Z1559" t="str">
        <f>HYPERLINK("Melting_Curves/meltCurve_sp_Q14790_8_CASP8_HUMAN_.pdf", "Melting_Curves/meltCurve_sp_Q14790_8_CASP8_HUMAN_.pdf")</f>
        <v>Melting_Curves/meltCurve_sp_Q14790_8_CASP8_HUMAN_.pdf</v>
      </c>
      <c r="AA1559" t="s">
        <v>12416</v>
      </c>
      <c r="AB1559" t="s">
        <v>15984</v>
      </c>
    </row>
    <row r="1560" spans="1:28" x14ac:dyDescent="0.25">
      <c r="A1560" t="s">
        <v>1564</v>
      </c>
      <c r="B1560">
        <v>0.98018197421672304</v>
      </c>
      <c r="C1560">
        <v>0.972098171784057</v>
      </c>
      <c r="D1560">
        <v>0.98517840931150202</v>
      </c>
      <c r="E1560">
        <v>0.87075969115846796</v>
      </c>
      <c r="F1560">
        <v>0.87837116556153105</v>
      </c>
      <c r="G1560">
        <v>0.73127109453527905</v>
      </c>
      <c r="H1560">
        <v>0.61426441712106905</v>
      </c>
      <c r="I1560">
        <v>0.66468995733243197</v>
      </c>
      <c r="J1560">
        <v>0.75139999258670898</v>
      </c>
      <c r="K1560">
        <v>0.87870191721573498</v>
      </c>
      <c r="L1560">
        <v>1190.80094267356</v>
      </c>
      <c r="M1560">
        <v>23.1584668268363</v>
      </c>
      <c r="O1560">
        <v>51.040893938877701</v>
      </c>
      <c r="P1560">
        <v>-3.0946148482138201E-2</v>
      </c>
      <c r="Q1560">
        <v>0.72718578400610701</v>
      </c>
      <c r="R1560">
        <v>0.70320423837526702</v>
      </c>
      <c r="S1560" t="s">
        <v>5189</v>
      </c>
      <c r="T1560" t="s">
        <v>7256</v>
      </c>
      <c r="U1560" t="s">
        <v>7256</v>
      </c>
      <c r="V1560" t="s">
        <v>7256</v>
      </c>
      <c r="W1560">
        <v>18</v>
      </c>
      <c r="X1560" t="s">
        <v>8816</v>
      </c>
      <c r="Y1560">
        <v>0.83390505097692158</v>
      </c>
      <c r="Z1560" t="str">
        <f>HYPERLINK("Melting_Curves/meltCurve_sp_Q14847_LASP1_HUMAN_.pdf", "Melting_Curves/meltCurve_sp_Q14847_LASP1_HUMAN_.pdf")</f>
        <v>Melting_Curves/meltCurve_sp_Q14847_LASP1_HUMAN_.pdf</v>
      </c>
      <c r="AA1560" t="s">
        <v>12417</v>
      </c>
      <c r="AB1560" t="s">
        <v>15985</v>
      </c>
    </row>
    <row r="1561" spans="1:28" x14ac:dyDescent="0.25">
      <c r="A1561" t="s">
        <v>1565</v>
      </c>
      <c r="B1561">
        <v>0.98018197421672304</v>
      </c>
      <c r="C1561">
        <v>1.0030914404940501</v>
      </c>
      <c r="D1561">
        <v>0.90435776097242404</v>
      </c>
      <c r="E1561">
        <v>0.81920107644895401</v>
      </c>
      <c r="F1561">
        <v>0.75413030187774699</v>
      </c>
      <c r="G1561">
        <v>0.63094886349411405</v>
      </c>
      <c r="H1561">
        <v>0.389245402082049</v>
      </c>
      <c r="I1561">
        <v>0.202596051193772</v>
      </c>
      <c r="J1561">
        <v>0.13885874683143601</v>
      </c>
      <c r="K1561">
        <v>7.7956048943782205E-2</v>
      </c>
      <c r="L1561">
        <v>711.95544928460902</v>
      </c>
      <c r="M1561">
        <v>12.2529019301674</v>
      </c>
      <c r="N1561">
        <v>58.105049291890701</v>
      </c>
      <c r="O1561">
        <v>56.622345583658699</v>
      </c>
      <c r="P1561">
        <v>-5.4111241805594797E-2</v>
      </c>
      <c r="Q1561">
        <v>0</v>
      </c>
      <c r="R1561">
        <v>0.98523373452977303</v>
      </c>
      <c r="S1561" t="s">
        <v>5190</v>
      </c>
      <c r="T1561" t="s">
        <v>7256</v>
      </c>
      <c r="U1561" t="s">
        <v>7256</v>
      </c>
      <c r="V1561" t="s">
        <v>7256</v>
      </c>
      <c r="W1561">
        <v>11</v>
      </c>
      <c r="X1561" t="s">
        <v>8817</v>
      </c>
      <c r="Y1561">
        <v>0.61593969447364416</v>
      </c>
      <c r="Z1561" t="str">
        <f>HYPERLINK("Melting_Curves/meltCurve_sp_Q14894_CRYM_HUMAN_.pdf", "Melting_Curves/meltCurve_sp_Q14894_CRYM_HUMAN_.pdf")</f>
        <v>Melting_Curves/meltCurve_sp_Q14894_CRYM_HUMAN_.pdf</v>
      </c>
      <c r="AA1561" t="s">
        <v>12418</v>
      </c>
      <c r="AB1561" t="s">
        <v>15986</v>
      </c>
    </row>
    <row r="1562" spans="1:28" x14ac:dyDescent="0.25">
      <c r="A1562" t="s">
        <v>1566</v>
      </c>
      <c r="B1562">
        <v>0.98018197421672304</v>
      </c>
      <c r="C1562">
        <v>0.76669339907316403</v>
      </c>
      <c r="D1562">
        <v>1.0908654465798999</v>
      </c>
      <c r="E1562">
        <v>0.91041795448863605</v>
      </c>
      <c r="F1562">
        <v>0.50885624736590795</v>
      </c>
      <c r="G1562">
        <v>0.20873102334992399</v>
      </c>
      <c r="H1562">
        <v>0.121068370388598</v>
      </c>
      <c r="I1562">
        <v>0.10207154847963799</v>
      </c>
      <c r="J1562">
        <v>7.5725192635951899E-2</v>
      </c>
      <c r="K1562">
        <v>6.5626259324756797E-2</v>
      </c>
      <c r="L1562">
        <v>1765.50471439183</v>
      </c>
      <c r="M1562">
        <v>33.367711422892697</v>
      </c>
      <c r="N1562">
        <v>53.242816778522403</v>
      </c>
      <c r="O1562">
        <v>52.721607673194001</v>
      </c>
      <c r="P1562">
        <v>-0.143355609767503</v>
      </c>
      <c r="Q1562">
        <v>9.3985531829285193E-2</v>
      </c>
      <c r="R1562">
        <v>0.95658322741398505</v>
      </c>
      <c r="S1562" t="s">
        <v>5191</v>
      </c>
      <c r="T1562" t="s">
        <v>7256</v>
      </c>
      <c r="U1562" t="s">
        <v>7256</v>
      </c>
      <c r="V1562" t="s">
        <v>7256</v>
      </c>
      <c r="W1562">
        <v>15</v>
      </c>
      <c r="X1562" t="s">
        <v>8818</v>
      </c>
      <c r="Y1562">
        <v>0.48864695810515568</v>
      </c>
      <c r="Z1562" t="str">
        <f>HYPERLINK("Melting_Curves/meltCurve_sp_Q14914_2_PTGR1_HUMAN_.pdf", "Melting_Curves/meltCurve_sp_Q14914_2_PTGR1_HUMAN_.pdf")</f>
        <v>Melting_Curves/meltCurve_sp_Q14914_2_PTGR1_HUMAN_.pdf</v>
      </c>
      <c r="AA1562" t="s">
        <v>12419</v>
      </c>
      <c r="AB1562" t="s">
        <v>15987</v>
      </c>
    </row>
    <row r="1563" spans="1:28" x14ac:dyDescent="0.25">
      <c r="A1563" t="s">
        <v>1567</v>
      </c>
      <c r="B1563">
        <v>0.98018197421672304</v>
      </c>
      <c r="C1563">
        <v>0.97234186246083998</v>
      </c>
      <c r="D1563">
        <v>0.898838779554332</v>
      </c>
      <c r="E1563">
        <v>0.78909954784682901</v>
      </c>
      <c r="F1563">
        <v>0.59885761884089905</v>
      </c>
      <c r="G1563">
        <v>0.36034016228646798</v>
      </c>
      <c r="H1563">
        <v>0.32367232744893998</v>
      </c>
      <c r="I1563">
        <v>0.30314319400452</v>
      </c>
      <c r="J1563">
        <v>0.37941491241272601</v>
      </c>
      <c r="K1563">
        <v>0.44152425000290002</v>
      </c>
      <c r="L1563">
        <v>1193.7287205733001</v>
      </c>
      <c r="M1563">
        <v>23.208248976003301</v>
      </c>
      <c r="N1563">
        <v>54.235350533248102</v>
      </c>
      <c r="O1563">
        <v>51.058203559694803</v>
      </c>
      <c r="P1563">
        <v>-7.3965450006899094E-2</v>
      </c>
      <c r="Q1563">
        <v>0.34911488646268302</v>
      </c>
      <c r="R1563">
        <v>0.96900385129317801</v>
      </c>
      <c r="S1563" t="s">
        <v>5192</v>
      </c>
      <c r="T1563" t="s">
        <v>7256</v>
      </c>
      <c r="U1563" t="s">
        <v>7256</v>
      </c>
      <c r="V1563" t="s">
        <v>7256</v>
      </c>
      <c r="W1563">
        <v>10</v>
      </c>
      <c r="X1563" t="s">
        <v>8819</v>
      </c>
      <c r="Y1563">
        <v>0.60404425595941835</v>
      </c>
      <c r="Z1563" t="str">
        <f>HYPERLINK("Melting_Curves/meltCurve_sp_Q14966_ZN638_HUMAN_.pdf", "Melting_Curves/meltCurve_sp_Q14966_ZN638_HUMAN_.pdf")</f>
        <v>Melting_Curves/meltCurve_sp_Q14966_ZN638_HUMAN_.pdf</v>
      </c>
      <c r="AA1563" t="s">
        <v>12420</v>
      </c>
      <c r="AB1563" t="s">
        <v>15988</v>
      </c>
    </row>
    <row r="1564" spans="1:28" x14ac:dyDescent="0.25">
      <c r="A1564" t="s">
        <v>1568</v>
      </c>
      <c r="B1564">
        <v>0.98018197421672304</v>
      </c>
      <c r="C1564">
        <v>0.99835526260713303</v>
      </c>
      <c r="D1564">
        <v>0.87462849938264198</v>
      </c>
      <c r="E1564">
        <v>0.65892850948231296</v>
      </c>
      <c r="F1564">
        <v>0.34018097514717199</v>
      </c>
      <c r="G1564">
        <v>0.20243144013706299</v>
      </c>
      <c r="H1564">
        <v>7.1954591573852006E-2</v>
      </c>
      <c r="I1564">
        <v>5.4456559448339097E-2</v>
      </c>
      <c r="J1564">
        <v>5.1500927190627502E-2</v>
      </c>
      <c r="K1564">
        <v>3.7882858754721901E-2</v>
      </c>
      <c r="L1564">
        <v>944.45706405323494</v>
      </c>
      <c r="M1564">
        <v>18.412258619913299</v>
      </c>
      <c r="N1564">
        <v>51.496266880692602</v>
      </c>
      <c r="O1564">
        <v>50.7014217810421</v>
      </c>
      <c r="P1564">
        <v>-8.7639995739189694E-2</v>
      </c>
      <c r="Q1564">
        <v>3.4714429832161699E-2</v>
      </c>
      <c r="R1564">
        <v>0.99666114217708401</v>
      </c>
      <c r="S1564" t="s">
        <v>5193</v>
      </c>
      <c r="T1564" t="s">
        <v>7256</v>
      </c>
      <c r="U1564" t="s">
        <v>7256</v>
      </c>
      <c r="V1564" t="s">
        <v>7256</v>
      </c>
      <c r="W1564">
        <v>22</v>
      </c>
      <c r="X1564" t="s">
        <v>8820</v>
      </c>
      <c r="Y1564">
        <v>0.41371128715142419</v>
      </c>
      <c r="Z1564" t="str">
        <f>HYPERLINK("Melting_Curves/meltCurve_sp_Q14974_IMB1_HUMAN_.pdf", "Melting_Curves/meltCurve_sp_Q14974_IMB1_HUMAN_.pdf")</f>
        <v>Melting_Curves/meltCurve_sp_Q14974_IMB1_HUMAN_.pdf</v>
      </c>
      <c r="AA1564" t="s">
        <v>12421</v>
      </c>
      <c r="AB1564" t="s">
        <v>15989</v>
      </c>
    </row>
    <row r="1565" spans="1:28" x14ac:dyDescent="0.25">
      <c r="A1565" t="s">
        <v>1569</v>
      </c>
      <c r="B1565">
        <v>0.98018197421672304</v>
      </c>
      <c r="C1565">
        <v>0.95818435452895501</v>
      </c>
      <c r="D1565">
        <v>0.89756931641012405</v>
      </c>
      <c r="E1565">
        <v>0.76294788704111205</v>
      </c>
      <c r="F1565">
        <v>0.68141229266382597</v>
      </c>
      <c r="G1565">
        <v>0.59849019300989803</v>
      </c>
      <c r="H1565">
        <v>0.54687755398790605</v>
      </c>
      <c r="I1565">
        <v>0.59174234399554104</v>
      </c>
      <c r="J1565">
        <v>0.790177960357063</v>
      </c>
      <c r="K1565">
        <v>0.85337342070465505</v>
      </c>
      <c r="L1565">
        <v>1225.3606304067901</v>
      </c>
      <c r="M1565">
        <v>25.8745554139132</v>
      </c>
      <c r="O1565">
        <v>47.077594658487598</v>
      </c>
      <c r="P1565">
        <v>-4.4543484066585697E-2</v>
      </c>
      <c r="Q1565">
        <v>0.67582437404237095</v>
      </c>
      <c r="R1565">
        <v>0.65505145552965205</v>
      </c>
      <c r="S1565" t="s">
        <v>5194</v>
      </c>
      <c r="T1565" t="s">
        <v>7256</v>
      </c>
      <c r="U1565" t="s">
        <v>7256</v>
      </c>
      <c r="V1565" t="s">
        <v>7256</v>
      </c>
      <c r="W1565">
        <v>8</v>
      </c>
      <c r="X1565" t="s">
        <v>8821</v>
      </c>
      <c r="Y1565">
        <v>0.75800213933309135</v>
      </c>
      <c r="Z1565" t="str">
        <f>HYPERLINK("Melting_Curves/meltCurve_sp_Q14978_NOLC1_HUMAN_.pdf", "Melting_Curves/meltCurve_sp_Q14978_NOLC1_HUMAN_.pdf")</f>
        <v>Melting_Curves/meltCurve_sp_Q14978_NOLC1_HUMAN_.pdf</v>
      </c>
      <c r="AA1565" t="s">
        <v>12422</v>
      </c>
      <c r="AB1565" t="s">
        <v>15990</v>
      </c>
    </row>
    <row r="1566" spans="1:28" x14ac:dyDescent="0.25">
      <c r="A1566" t="s">
        <v>1570</v>
      </c>
      <c r="B1566">
        <v>0.98018197421672304</v>
      </c>
      <c r="C1566">
        <v>0.91812267466004804</v>
      </c>
      <c r="D1566">
        <v>0.87581376859525595</v>
      </c>
      <c r="E1566">
        <v>0.76061667511199205</v>
      </c>
      <c r="F1566">
        <v>0.566238873731019</v>
      </c>
      <c r="G1566">
        <v>0.33631112933231</v>
      </c>
      <c r="H1566">
        <v>0.20906021562065399</v>
      </c>
      <c r="I1566">
        <v>0.16834006905203699</v>
      </c>
      <c r="J1566">
        <v>0.17175904371248399</v>
      </c>
      <c r="K1566">
        <v>0.15168120502686999</v>
      </c>
      <c r="L1566">
        <v>734.32919785495199</v>
      </c>
      <c r="M1566">
        <v>13.855649354902599</v>
      </c>
      <c r="N1566">
        <v>53.932614448792499</v>
      </c>
      <c r="O1566">
        <v>51.931159254850201</v>
      </c>
      <c r="P1566">
        <v>-5.9594835933085899E-2</v>
      </c>
      <c r="Q1566">
        <v>0.106674128837146</v>
      </c>
      <c r="R1566">
        <v>0.99445721339017401</v>
      </c>
      <c r="S1566" t="s">
        <v>5195</v>
      </c>
      <c r="T1566" t="s">
        <v>7256</v>
      </c>
      <c r="U1566" t="s">
        <v>7256</v>
      </c>
      <c r="V1566" t="s">
        <v>7256</v>
      </c>
      <c r="W1566">
        <v>26</v>
      </c>
      <c r="X1566" t="s">
        <v>8822</v>
      </c>
      <c r="Y1566">
        <v>0.51512609982882773</v>
      </c>
      <c r="Z1566" t="str">
        <f>HYPERLINK("Melting_Curves/meltCurve_sp_Q14980_2_NUMA1_HUMAN_.pdf", "Melting_Curves/meltCurve_sp_Q14980_2_NUMA1_HUMAN_.pdf")</f>
        <v>Melting_Curves/meltCurve_sp_Q14980_2_NUMA1_HUMAN_.pdf</v>
      </c>
      <c r="AA1566" t="s">
        <v>12423</v>
      </c>
      <c r="AB1566" t="s">
        <v>15991</v>
      </c>
    </row>
    <row r="1567" spans="1:28" x14ac:dyDescent="0.25">
      <c r="A1567" t="s">
        <v>1571</v>
      </c>
      <c r="B1567">
        <v>0.98018197421672304</v>
      </c>
      <c r="C1567">
        <v>0.64744789784784396</v>
      </c>
      <c r="D1567">
        <v>0.76415250098049203</v>
      </c>
      <c r="E1567">
        <v>0.76160276205488697</v>
      </c>
      <c r="F1567">
        <v>0.62677108336905196</v>
      </c>
      <c r="G1567">
        <v>0.355184090788211</v>
      </c>
      <c r="H1567">
        <v>0.117645949206671</v>
      </c>
      <c r="I1567">
        <v>5.5503287592285601E-2</v>
      </c>
      <c r="J1567">
        <v>6.6903567994525695E-2</v>
      </c>
      <c r="K1567">
        <v>7.7073460452579595E-2</v>
      </c>
      <c r="L1567">
        <v>542.57813822750802</v>
      </c>
      <c r="M1567">
        <v>10.2179603170734</v>
      </c>
      <c r="N1567">
        <v>53.100433588607601</v>
      </c>
      <c r="O1567">
        <v>51.187105321927</v>
      </c>
      <c r="P1567">
        <v>-4.9927302698537401E-2</v>
      </c>
      <c r="Q1567">
        <v>0</v>
      </c>
      <c r="R1567">
        <v>0.88781002214634097</v>
      </c>
      <c r="S1567" t="s">
        <v>5196</v>
      </c>
      <c r="T1567" t="s">
        <v>7256</v>
      </c>
      <c r="U1567" t="s">
        <v>7256</v>
      </c>
      <c r="V1567" t="s">
        <v>7256</v>
      </c>
      <c r="W1567">
        <v>5</v>
      </c>
      <c r="X1567" t="s">
        <v>8823</v>
      </c>
      <c r="Y1567">
        <v>0.4698570867950288</v>
      </c>
      <c r="Z1567" t="str">
        <f>HYPERLINK("Melting_Curves/meltCurve_sp_Q14997_PSME4_HUMAN_.pdf", "Melting_Curves/meltCurve_sp_Q14997_PSME4_HUMAN_.pdf")</f>
        <v>Melting_Curves/meltCurve_sp_Q14997_PSME4_HUMAN_.pdf</v>
      </c>
      <c r="AA1567" t="s">
        <v>12424</v>
      </c>
      <c r="AB1567" t="s">
        <v>15992</v>
      </c>
    </row>
    <row r="1568" spans="1:28" x14ac:dyDescent="0.25">
      <c r="A1568" t="s">
        <v>1572</v>
      </c>
      <c r="B1568">
        <v>0.98018197421672304</v>
      </c>
      <c r="C1568">
        <v>0.86936024546950397</v>
      </c>
      <c r="D1568">
        <v>0.72265675632697302</v>
      </c>
      <c r="E1568">
        <v>0.45132265323741499</v>
      </c>
      <c r="F1568">
        <v>0.230611613744057</v>
      </c>
      <c r="G1568">
        <v>0.120586772236722</v>
      </c>
      <c r="H1568">
        <v>6.9605452661068198E-2</v>
      </c>
      <c r="I1568">
        <v>4.79741158491769E-2</v>
      </c>
      <c r="J1568">
        <v>0.10662361478205</v>
      </c>
      <c r="K1568">
        <v>3.8706943374600303E-2</v>
      </c>
      <c r="L1568">
        <v>758.27318919842503</v>
      </c>
      <c r="M1568">
        <v>15.5834655041959</v>
      </c>
      <c r="N1568">
        <v>48.936469509190999</v>
      </c>
      <c r="O1568">
        <v>47.878667768959502</v>
      </c>
      <c r="P1568">
        <v>-7.7933713049915601E-2</v>
      </c>
      <c r="Q1568">
        <v>4.2308391843223901E-2</v>
      </c>
      <c r="R1568">
        <v>0.99559112046044196</v>
      </c>
      <c r="S1568" t="s">
        <v>5197</v>
      </c>
      <c r="T1568" t="s">
        <v>7256</v>
      </c>
      <c r="U1568" t="s">
        <v>7256</v>
      </c>
      <c r="V1568" t="s">
        <v>7256</v>
      </c>
      <c r="W1568">
        <v>15</v>
      </c>
      <c r="X1568" t="s">
        <v>8824</v>
      </c>
      <c r="Y1568">
        <v>0.34097369420923629</v>
      </c>
      <c r="Z1568" t="str">
        <f>HYPERLINK("Melting_Curves/meltCurve_sp_Q15008_PSMD6_HUMAN_.pdf", "Melting_Curves/meltCurve_sp_Q15008_PSMD6_HUMAN_.pdf")</f>
        <v>Melting_Curves/meltCurve_sp_Q15008_PSMD6_HUMAN_.pdf</v>
      </c>
      <c r="AA1568" t="s">
        <v>12425</v>
      </c>
      <c r="AB1568" t="s">
        <v>15993</v>
      </c>
    </row>
    <row r="1569" spans="1:28" x14ac:dyDescent="0.25">
      <c r="A1569" t="s">
        <v>1573</v>
      </c>
      <c r="B1569">
        <v>0.98018197421672304</v>
      </c>
      <c r="C1569">
        <v>0.88531360498952605</v>
      </c>
      <c r="D1569">
        <v>0.73920537019507904</v>
      </c>
      <c r="E1569">
        <v>0.77734407871857503</v>
      </c>
      <c r="F1569">
        <v>0.64464028204014201</v>
      </c>
      <c r="G1569">
        <v>0.49163723972344298</v>
      </c>
      <c r="H1569">
        <v>0.31454285298026602</v>
      </c>
      <c r="I1569">
        <v>0.171998384500854</v>
      </c>
      <c r="J1569">
        <v>7.4186433131530893E-2</v>
      </c>
      <c r="K1569">
        <v>5.2256413641577203E-2</v>
      </c>
      <c r="L1569">
        <v>545.06117290739905</v>
      </c>
      <c r="M1569">
        <v>9.8609179939882203</v>
      </c>
      <c r="N1569">
        <v>55.274891562951602</v>
      </c>
      <c r="O1569">
        <v>53.145623043092797</v>
      </c>
      <c r="P1569">
        <v>-4.6410114480698303E-2</v>
      </c>
      <c r="Q1569">
        <v>0</v>
      </c>
      <c r="R1569">
        <v>0.95995520757076802</v>
      </c>
      <c r="S1569" t="s">
        <v>5198</v>
      </c>
      <c r="T1569" t="s">
        <v>7256</v>
      </c>
      <c r="U1569" t="s">
        <v>7256</v>
      </c>
      <c r="V1569" t="s">
        <v>7256</v>
      </c>
      <c r="W1569">
        <v>8</v>
      </c>
      <c r="X1569" t="s">
        <v>8825</v>
      </c>
      <c r="Y1569">
        <v>0.53386670516393031</v>
      </c>
      <c r="Z1569" t="str">
        <f>HYPERLINK("Melting_Curves/meltCurve_sp_Q15018_F175B_HUMAN_.pdf", "Melting_Curves/meltCurve_sp_Q15018_F175B_HUMAN_.pdf")</f>
        <v>Melting_Curves/meltCurve_sp_Q15018_F175B_HUMAN_.pdf</v>
      </c>
      <c r="AA1569" t="s">
        <v>12426</v>
      </c>
      <c r="AB1569" t="s">
        <v>15994</v>
      </c>
    </row>
    <row r="1570" spans="1:28" x14ac:dyDescent="0.25">
      <c r="A1570" t="s">
        <v>1574</v>
      </c>
      <c r="B1570">
        <v>0.98018197421672304</v>
      </c>
      <c r="C1570">
        <v>0.94070015264354501</v>
      </c>
      <c r="D1570">
        <v>0.88391450757996004</v>
      </c>
      <c r="E1570">
        <v>0.68807395389696202</v>
      </c>
      <c r="F1570">
        <v>0.292061718484254</v>
      </c>
      <c r="G1570">
        <v>0.13622188142041</v>
      </c>
      <c r="H1570">
        <v>8.4594900978073206E-2</v>
      </c>
      <c r="I1570">
        <v>6.3709917292090301E-2</v>
      </c>
      <c r="J1570">
        <v>7.7167537702550207E-2</v>
      </c>
      <c r="K1570">
        <v>5.3731147592481897E-2</v>
      </c>
      <c r="L1570">
        <v>1220.7404355318199</v>
      </c>
      <c r="M1570">
        <v>23.937371835293099</v>
      </c>
      <c r="N1570">
        <v>51.272559348963497</v>
      </c>
      <c r="O1570">
        <v>50.645360519486502</v>
      </c>
      <c r="P1570">
        <v>-0.111037818412053</v>
      </c>
      <c r="Q1570">
        <v>6.0304699536145402E-2</v>
      </c>
      <c r="R1570">
        <v>0.99347575215401496</v>
      </c>
      <c r="S1570" t="s">
        <v>5199</v>
      </c>
      <c r="T1570" t="s">
        <v>7256</v>
      </c>
      <c r="U1570" t="s">
        <v>7256</v>
      </c>
      <c r="V1570" t="s">
        <v>7256</v>
      </c>
      <c r="W1570">
        <v>15</v>
      </c>
      <c r="X1570" t="s">
        <v>8826</v>
      </c>
      <c r="Y1570">
        <v>0.41401755833141318</v>
      </c>
      <c r="Z1570" t="str">
        <f>HYPERLINK("Melting_Curves/meltCurve_sp_Q15020_SART3_HUMAN_.pdf", "Melting_Curves/meltCurve_sp_Q15020_SART3_HUMAN_.pdf")</f>
        <v>Melting_Curves/meltCurve_sp_Q15020_SART3_HUMAN_.pdf</v>
      </c>
      <c r="AA1570" t="s">
        <v>12427</v>
      </c>
      <c r="AB1570" t="s">
        <v>15995</v>
      </c>
    </row>
    <row r="1571" spans="1:28" x14ac:dyDescent="0.25">
      <c r="A1571" t="s">
        <v>1575</v>
      </c>
      <c r="B1571">
        <v>0.98018197421672304</v>
      </c>
      <c r="C1571">
        <v>1.02931838453803</v>
      </c>
      <c r="D1571">
        <v>0.92010097902474397</v>
      </c>
      <c r="E1571">
        <v>0.78033683064793002</v>
      </c>
      <c r="F1571">
        <v>0.658747361424314</v>
      </c>
      <c r="G1571">
        <v>0.43880809512477698</v>
      </c>
      <c r="H1571">
        <v>0.23677601481723201</v>
      </c>
      <c r="I1571">
        <v>7.7805129178790705E-2</v>
      </c>
      <c r="J1571">
        <v>0.12565514902067099</v>
      </c>
      <c r="K1571">
        <v>0</v>
      </c>
      <c r="L1571">
        <v>759.35260774502603</v>
      </c>
      <c r="M1571">
        <v>13.7040789328258</v>
      </c>
      <c r="N1571">
        <v>55.4107147272139</v>
      </c>
      <c r="O1571">
        <v>54.270758372325098</v>
      </c>
      <c r="P1571">
        <v>-6.3137362682861298E-2</v>
      </c>
      <c r="Q1571">
        <v>0</v>
      </c>
      <c r="R1571">
        <v>0.99041992032770498</v>
      </c>
      <c r="S1571" t="s">
        <v>5200</v>
      </c>
      <c r="T1571" t="s">
        <v>7256</v>
      </c>
      <c r="U1571" t="s">
        <v>7256</v>
      </c>
      <c r="V1571" t="s">
        <v>7256</v>
      </c>
      <c r="W1571">
        <v>1</v>
      </c>
      <c r="X1571" t="s">
        <v>8827</v>
      </c>
      <c r="Y1571">
        <v>0.53396499958431032</v>
      </c>
      <c r="Z1571" t="str">
        <f>HYPERLINK("Melting_Curves/meltCurve_sp_Q15024_EXOS7_HUMAN_.pdf", "Melting_Curves/meltCurve_sp_Q15024_EXOS7_HUMAN_.pdf")</f>
        <v>Melting_Curves/meltCurve_sp_Q15024_EXOS7_HUMAN_.pdf</v>
      </c>
      <c r="AA1571" t="s">
        <v>12428</v>
      </c>
      <c r="AB1571" t="s">
        <v>15996</v>
      </c>
    </row>
    <row r="1572" spans="1:28" x14ac:dyDescent="0.25">
      <c r="A1572" t="s">
        <v>1576</v>
      </c>
      <c r="B1572">
        <v>0.98018197421672304</v>
      </c>
      <c r="C1572">
        <v>0.99637445295327598</v>
      </c>
      <c r="D1572">
        <v>0.89608105167239704</v>
      </c>
      <c r="E1572">
        <v>0.68525744129835298</v>
      </c>
      <c r="F1572">
        <v>0.51729465536883401</v>
      </c>
      <c r="G1572">
        <v>0.32053293782341702</v>
      </c>
      <c r="H1572">
        <v>0.125092028719237</v>
      </c>
      <c r="I1572">
        <v>5.7676197795528801E-2</v>
      </c>
      <c r="J1572">
        <v>3.8902085766856699E-2</v>
      </c>
      <c r="K1572">
        <v>3.3231705575446302E-2</v>
      </c>
      <c r="L1572">
        <v>749.19941624963099</v>
      </c>
      <c r="M1572">
        <v>14.0868425461453</v>
      </c>
      <c r="N1572">
        <v>53.184344268748902</v>
      </c>
      <c r="O1572">
        <v>52.146986114635197</v>
      </c>
      <c r="P1572">
        <v>-6.7543061001773194E-2</v>
      </c>
      <c r="Q1572">
        <v>0</v>
      </c>
      <c r="R1572">
        <v>0.99696159954426899</v>
      </c>
      <c r="S1572" t="s">
        <v>5201</v>
      </c>
      <c r="T1572" t="s">
        <v>7256</v>
      </c>
      <c r="U1572" t="s">
        <v>7256</v>
      </c>
      <c r="V1572" t="s">
        <v>7256</v>
      </c>
      <c r="W1572">
        <v>6</v>
      </c>
      <c r="X1572" t="s">
        <v>8828</v>
      </c>
      <c r="Y1572">
        <v>0.46268053157561329</v>
      </c>
      <c r="Z1572" t="str">
        <f>HYPERLINK("Melting_Curves/meltCurve_sp_Q15029_2_U5S1_HUMAN_.pdf", "Melting_Curves/meltCurve_sp_Q15029_2_U5S1_HUMAN_.pdf")</f>
        <v>Melting_Curves/meltCurve_sp_Q15029_2_U5S1_HUMAN_.pdf</v>
      </c>
      <c r="AA1572" t="s">
        <v>12429</v>
      </c>
      <c r="AB1572" t="s">
        <v>15997</v>
      </c>
    </row>
    <row r="1573" spans="1:28" x14ac:dyDescent="0.25">
      <c r="A1573" t="s">
        <v>1577</v>
      </c>
      <c r="B1573">
        <v>0.98018197421672304</v>
      </c>
      <c r="C1573">
        <v>0.84874578621539798</v>
      </c>
      <c r="D1573">
        <v>0.87028047206481796</v>
      </c>
      <c r="E1573">
        <v>0.46037948909166598</v>
      </c>
      <c r="F1573">
        <v>0.16829640390328701</v>
      </c>
      <c r="G1573">
        <v>0.107236991021482</v>
      </c>
      <c r="H1573">
        <v>6.8785804215874796E-2</v>
      </c>
      <c r="I1573">
        <v>4.4255372006971903E-2</v>
      </c>
      <c r="J1573">
        <v>8.2281199914804107E-2</v>
      </c>
      <c r="K1573">
        <v>0.102099023145949</v>
      </c>
      <c r="L1573">
        <v>1149.25647687228</v>
      </c>
      <c r="M1573">
        <v>23.393935416643501</v>
      </c>
      <c r="N1573">
        <v>49.426849216781001</v>
      </c>
      <c r="O1573">
        <v>48.771509768940298</v>
      </c>
      <c r="P1573">
        <v>-0.111966678739851</v>
      </c>
      <c r="Q1573">
        <v>6.6306998689125096E-2</v>
      </c>
      <c r="R1573">
        <v>0.98486021490805198</v>
      </c>
      <c r="S1573" t="s">
        <v>5202</v>
      </c>
      <c r="T1573" t="s">
        <v>7256</v>
      </c>
      <c r="U1573" t="s">
        <v>7256</v>
      </c>
      <c r="V1573" t="s">
        <v>7256</v>
      </c>
      <c r="W1573">
        <v>3</v>
      </c>
      <c r="X1573" t="s">
        <v>8829</v>
      </c>
      <c r="Y1573">
        <v>0.35983440966324959</v>
      </c>
      <c r="Z1573" t="str">
        <f>HYPERLINK("Melting_Curves/meltCurve_sp_Q15036_2_SNX17_HUMAN_.pdf", "Melting_Curves/meltCurve_sp_Q15036_2_SNX17_HUMAN_.pdf")</f>
        <v>Melting_Curves/meltCurve_sp_Q15036_2_SNX17_HUMAN_.pdf</v>
      </c>
      <c r="AA1573" t="s">
        <v>12430</v>
      </c>
      <c r="AB1573" t="s">
        <v>15998</v>
      </c>
    </row>
    <row r="1574" spans="1:28" x14ac:dyDescent="0.25">
      <c r="A1574" t="s">
        <v>1578</v>
      </c>
      <c r="B1574">
        <v>0.98018197421672304</v>
      </c>
      <c r="C1574">
        <v>0.90698659725723696</v>
      </c>
      <c r="D1574">
        <v>0.70045123877126003</v>
      </c>
      <c r="E1574">
        <v>0.35601404752529803</v>
      </c>
      <c r="F1574">
        <v>0.17018244776272701</v>
      </c>
      <c r="G1574">
        <v>0.10150846210112099</v>
      </c>
      <c r="H1574">
        <v>6.5789100234345393E-2</v>
      </c>
      <c r="I1574">
        <v>5.08295761279067E-2</v>
      </c>
      <c r="J1574">
        <v>5.93240598346777E-2</v>
      </c>
      <c r="K1574">
        <v>4.1872834633372602E-2</v>
      </c>
      <c r="L1574">
        <v>902.15482382535197</v>
      </c>
      <c r="M1574">
        <v>18.815539778659399</v>
      </c>
      <c r="N1574">
        <v>48.199836002815097</v>
      </c>
      <c r="O1574">
        <v>47.415588434634799</v>
      </c>
      <c r="P1574">
        <v>-9.4553099119154105E-2</v>
      </c>
      <c r="Q1574">
        <v>4.6935981004778103E-2</v>
      </c>
      <c r="R1574">
        <v>0.999634800420928</v>
      </c>
      <c r="S1574" t="s">
        <v>5203</v>
      </c>
      <c r="T1574" t="s">
        <v>7256</v>
      </c>
      <c r="U1574" t="s">
        <v>7256</v>
      </c>
      <c r="V1574" t="s">
        <v>7256</v>
      </c>
      <c r="W1574">
        <v>17</v>
      </c>
      <c r="X1574" t="s">
        <v>8830</v>
      </c>
      <c r="Y1574">
        <v>0.31484402652976368</v>
      </c>
      <c r="Z1574" t="str">
        <f>HYPERLINK("Melting_Curves/meltCurve_sp_Q15046_SYK_HUMAN_.pdf", "Melting_Curves/meltCurve_sp_Q15046_SYK_HUMAN_.pdf")</f>
        <v>Melting_Curves/meltCurve_sp_Q15046_SYK_HUMAN_.pdf</v>
      </c>
      <c r="AA1574" t="s">
        <v>12431</v>
      </c>
      <c r="AB1574" t="s">
        <v>15999</v>
      </c>
    </row>
    <row r="1575" spans="1:28" x14ac:dyDescent="0.25">
      <c r="A1575" t="s">
        <v>1579</v>
      </c>
      <c r="B1575">
        <v>0.98018197421672304</v>
      </c>
      <c r="C1575">
        <v>0.91513124662501599</v>
      </c>
      <c r="D1575">
        <v>0.96746980336741994</v>
      </c>
      <c r="E1575">
        <v>0.82946422759442495</v>
      </c>
      <c r="F1575">
        <v>0.75587894562861702</v>
      </c>
      <c r="G1575">
        <v>0.53985467916994101</v>
      </c>
      <c r="H1575">
        <v>0.45343464906175102</v>
      </c>
      <c r="I1575">
        <v>0.53237920189149202</v>
      </c>
      <c r="J1575">
        <v>0.59838382375033505</v>
      </c>
      <c r="K1575">
        <v>0.90540461446523501</v>
      </c>
      <c r="L1575">
        <v>1437.4545905793</v>
      </c>
      <c r="M1575">
        <v>28.324809630114999</v>
      </c>
      <c r="O1575">
        <v>50.498002314111197</v>
      </c>
      <c r="P1575">
        <v>-5.4730851455623099E-2</v>
      </c>
      <c r="Q1575">
        <v>0.609702285081548</v>
      </c>
      <c r="R1575">
        <v>0.61887240848646696</v>
      </c>
      <c r="S1575" t="s">
        <v>5204</v>
      </c>
      <c r="T1575" t="s">
        <v>7256</v>
      </c>
      <c r="U1575" t="s">
        <v>7256</v>
      </c>
      <c r="V1575" t="s">
        <v>7256</v>
      </c>
      <c r="W1575">
        <v>11</v>
      </c>
      <c r="X1575" t="s">
        <v>8831</v>
      </c>
      <c r="Y1575">
        <v>0.7522876878380399</v>
      </c>
      <c r="Z1575" t="str">
        <f>HYPERLINK("Melting_Curves/meltCurve_sp_Q15056_2_IF4H_HUMAN_.pdf", "Melting_Curves/meltCurve_sp_Q15056_2_IF4H_HUMAN_.pdf")</f>
        <v>Melting_Curves/meltCurve_sp_Q15056_2_IF4H_HUMAN_.pdf</v>
      </c>
      <c r="AA1575" t="s">
        <v>12432</v>
      </c>
      <c r="AB1575" t="s">
        <v>16000</v>
      </c>
    </row>
    <row r="1576" spans="1:28" x14ac:dyDescent="0.25">
      <c r="A1576" t="s">
        <v>1580</v>
      </c>
      <c r="B1576">
        <v>0.98018197421672304</v>
      </c>
      <c r="C1576">
        <v>0.94961449135371201</v>
      </c>
      <c r="D1576">
        <v>0.90482382643886405</v>
      </c>
      <c r="E1576">
        <v>0.693428497813395</v>
      </c>
      <c r="F1576">
        <v>0.41192873695303101</v>
      </c>
      <c r="G1576">
        <v>0.248259517015467</v>
      </c>
      <c r="H1576">
        <v>0.159306187940192</v>
      </c>
      <c r="I1576">
        <v>0.159704390237285</v>
      </c>
      <c r="J1576">
        <v>0.19136294115441499</v>
      </c>
      <c r="K1576">
        <v>0.112096126723481</v>
      </c>
      <c r="L1576">
        <v>1003.27073089767</v>
      </c>
      <c r="M1576">
        <v>19.5949103853218</v>
      </c>
      <c r="N1576">
        <v>52.0686905758593</v>
      </c>
      <c r="O1576">
        <v>50.676262727214201</v>
      </c>
      <c r="P1576">
        <v>-8.3199776284112306E-2</v>
      </c>
      <c r="Q1576">
        <v>0.139346923570973</v>
      </c>
      <c r="R1576">
        <v>0.99530810205875098</v>
      </c>
      <c r="S1576" t="s">
        <v>5205</v>
      </c>
      <c r="T1576" t="s">
        <v>7256</v>
      </c>
      <c r="U1576" t="s">
        <v>7256</v>
      </c>
      <c r="V1576" t="s">
        <v>7256</v>
      </c>
      <c r="W1576">
        <v>2</v>
      </c>
      <c r="X1576" t="s">
        <v>8832</v>
      </c>
      <c r="Y1576">
        <v>0.47307579402332223</v>
      </c>
      <c r="Z1576" t="str">
        <f>HYPERLINK("Melting_Curves/meltCurve_sp_Q15057_ACAP2_HUMAN_.pdf", "Melting_Curves/meltCurve_sp_Q15057_ACAP2_HUMAN_.pdf")</f>
        <v>Melting_Curves/meltCurve_sp_Q15057_ACAP2_HUMAN_.pdf</v>
      </c>
      <c r="AA1576" t="s">
        <v>12433</v>
      </c>
      <c r="AB1576" t="s">
        <v>16001</v>
      </c>
    </row>
    <row r="1577" spans="1:28" x14ac:dyDescent="0.25">
      <c r="A1577" t="s">
        <v>1581</v>
      </c>
      <c r="B1577">
        <v>0.98018197421672304</v>
      </c>
      <c r="C1577">
        <v>0.90576535360211796</v>
      </c>
      <c r="D1577">
        <v>0.83804577797283797</v>
      </c>
      <c r="E1577">
        <v>0.69255135341581298</v>
      </c>
      <c r="F1577">
        <v>0.462250099898318</v>
      </c>
      <c r="G1577">
        <v>0.26654685502455799</v>
      </c>
      <c r="H1577">
        <v>0.16536583312156999</v>
      </c>
      <c r="I1577">
        <v>0.13889604022444901</v>
      </c>
      <c r="J1577">
        <v>0.119718845106736</v>
      </c>
      <c r="K1577">
        <v>8.9671032152644894E-2</v>
      </c>
      <c r="L1577">
        <v>676.06151169512702</v>
      </c>
      <c r="M1577">
        <v>13.000133995974901</v>
      </c>
      <c r="N1577">
        <v>52.494013637638503</v>
      </c>
      <c r="O1577">
        <v>50.819801074749101</v>
      </c>
      <c r="P1577">
        <v>-6.0309986124225001E-2</v>
      </c>
      <c r="Q1577">
        <v>5.71173665134459E-2</v>
      </c>
      <c r="R1577">
        <v>0.99610711257746698</v>
      </c>
      <c r="S1577" t="s">
        <v>5206</v>
      </c>
      <c r="T1577" t="s">
        <v>7256</v>
      </c>
      <c r="U1577" t="s">
        <v>7256</v>
      </c>
      <c r="V1577" t="s">
        <v>7256</v>
      </c>
      <c r="W1577">
        <v>36</v>
      </c>
      <c r="X1577" t="s">
        <v>8833</v>
      </c>
      <c r="Y1577">
        <v>0.46034090667324168</v>
      </c>
      <c r="Z1577" t="str">
        <f>HYPERLINK("Melting_Curves/meltCurve_sp_Q15067_2_ACOX1_HUMAN_.pdf", "Melting_Curves/meltCurve_sp_Q15067_2_ACOX1_HUMAN_.pdf")</f>
        <v>Melting_Curves/meltCurve_sp_Q15067_2_ACOX1_HUMAN_.pdf</v>
      </c>
      <c r="AA1577" t="s">
        <v>12434</v>
      </c>
      <c r="AB1577" t="s">
        <v>16002</v>
      </c>
    </row>
    <row r="1578" spans="1:28" x14ac:dyDescent="0.25">
      <c r="A1578" t="s">
        <v>1582</v>
      </c>
      <c r="B1578">
        <v>0.98018197421672304</v>
      </c>
      <c r="C1578">
        <v>0.92484072521287297</v>
      </c>
      <c r="D1578">
        <v>0.88504689986201002</v>
      </c>
      <c r="E1578">
        <v>0.80156140779698504</v>
      </c>
      <c r="F1578">
        <v>0.69155898060699195</v>
      </c>
      <c r="G1578">
        <v>0.53074344016157204</v>
      </c>
      <c r="H1578">
        <v>0.48688963148863401</v>
      </c>
      <c r="I1578">
        <v>0.51327475840223402</v>
      </c>
      <c r="J1578">
        <v>0.54128528715982305</v>
      </c>
      <c r="K1578">
        <v>0.50224383272383</v>
      </c>
      <c r="L1578">
        <v>707.53369440775396</v>
      </c>
      <c r="M1578">
        <v>13.936183270448799</v>
      </c>
      <c r="N1578">
        <v>67.000604607762597</v>
      </c>
      <c r="O1578">
        <v>49.7584584443794</v>
      </c>
      <c r="P1578">
        <v>-3.6211138363278397E-2</v>
      </c>
      <c r="Q1578">
        <v>0.48290935841690902</v>
      </c>
      <c r="R1578">
        <v>0.97419465678168304</v>
      </c>
      <c r="S1578" t="s">
        <v>5207</v>
      </c>
      <c r="T1578" t="s">
        <v>7256</v>
      </c>
      <c r="U1578" t="s">
        <v>7256</v>
      </c>
      <c r="V1578" t="s">
        <v>7256</v>
      </c>
      <c r="W1578">
        <v>74</v>
      </c>
      <c r="X1578" t="s">
        <v>8834</v>
      </c>
      <c r="Y1578">
        <v>0.68212206257918606</v>
      </c>
      <c r="Z1578" t="str">
        <f>HYPERLINK("Melting_Curves/meltCurve_sp_Q15075_EEA1_HUMAN_.pdf", "Melting_Curves/meltCurve_sp_Q15075_EEA1_HUMAN_.pdf")</f>
        <v>Melting_Curves/meltCurve_sp_Q15075_EEA1_HUMAN_.pdf</v>
      </c>
      <c r="AA1578" t="s">
        <v>12435</v>
      </c>
      <c r="AB1578" t="s">
        <v>16003</v>
      </c>
    </row>
    <row r="1579" spans="1:28" x14ac:dyDescent="0.25">
      <c r="A1579" t="s">
        <v>1583</v>
      </c>
      <c r="B1579">
        <v>0.98018197421672304</v>
      </c>
      <c r="C1579">
        <v>0.93269255733258005</v>
      </c>
      <c r="D1579">
        <v>0.756441779242089</v>
      </c>
      <c r="E1579">
        <v>0.46026678754919897</v>
      </c>
      <c r="F1579">
        <v>0.32207358320511797</v>
      </c>
      <c r="G1579">
        <v>5.5093882365735203E-2</v>
      </c>
      <c r="H1579">
        <v>6.5664651127153598E-2</v>
      </c>
      <c r="I1579">
        <v>7.5526485258975304E-2</v>
      </c>
      <c r="J1579">
        <v>0</v>
      </c>
      <c r="K1579">
        <v>5.4503087752736497E-2</v>
      </c>
      <c r="L1579">
        <v>788.50836824651003</v>
      </c>
      <c r="M1579">
        <v>15.937444837905799</v>
      </c>
      <c r="N1579">
        <v>49.584721191318103</v>
      </c>
      <c r="O1579">
        <v>48.715926785246197</v>
      </c>
      <c r="P1579">
        <v>-8.0379624405527705E-2</v>
      </c>
      <c r="Q1579">
        <v>1.7293921442690499E-2</v>
      </c>
      <c r="R1579">
        <v>0.99206347625074698</v>
      </c>
      <c r="S1579" t="s">
        <v>5208</v>
      </c>
      <c r="T1579" t="s">
        <v>7256</v>
      </c>
      <c r="U1579" t="s">
        <v>7256</v>
      </c>
      <c r="V1579" t="s">
        <v>7256</v>
      </c>
      <c r="W1579">
        <v>2</v>
      </c>
      <c r="X1579" t="s">
        <v>8835</v>
      </c>
      <c r="Y1579">
        <v>0.34898402406218298</v>
      </c>
      <c r="Z1579" t="str">
        <f>HYPERLINK("Melting_Curves/meltCurve_sp_Q15102_PA1B3_HUMAN_.pdf", "Melting_Curves/meltCurve_sp_Q15102_PA1B3_HUMAN_.pdf")</f>
        <v>Melting_Curves/meltCurve_sp_Q15102_PA1B3_HUMAN_.pdf</v>
      </c>
      <c r="AA1579" t="s">
        <v>12436</v>
      </c>
      <c r="AB1579" t="s">
        <v>16004</v>
      </c>
    </row>
    <row r="1580" spans="1:28" x14ac:dyDescent="0.25">
      <c r="A1580" t="s">
        <v>1584</v>
      </c>
      <c r="B1580">
        <v>0.98018197421672304</v>
      </c>
      <c r="C1580">
        <v>1.08832208499101</v>
      </c>
      <c r="D1580">
        <v>0.69570969800110705</v>
      </c>
      <c r="E1580">
        <v>0.31133807311992301</v>
      </c>
      <c r="F1580">
        <v>0.172279382148984</v>
      </c>
      <c r="G1580">
        <v>0.105063404953888</v>
      </c>
      <c r="H1580">
        <v>6.8847090106687894E-2</v>
      </c>
      <c r="I1580">
        <v>4.5031744605331901E-2</v>
      </c>
      <c r="J1580">
        <v>5.3126304958900403E-2</v>
      </c>
      <c r="K1580">
        <v>3.0501284017714701E-2</v>
      </c>
      <c r="L1580">
        <v>1182.6757131100101</v>
      </c>
      <c r="M1580">
        <v>24.689864308272998</v>
      </c>
      <c r="N1580">
        <v>48.152279185743801</v>
      </c>
      <c r="O1580">
        <v>47.590340710732001</v>
      </c>
      <c r="P1580">
        <v>-0.121870324802563</v>
      </c>
      <c r="Q1580">
        <v>6.0380687362025502E-2</v>
      </c>
      <c r="R1580">
        <v>0.98324202920869697</v>
      </c>
      <c r="S1580" t="s">
        <v>5209</v>
      </c>
      <c r="T1580" t="s">
        <v>7256</v>
      </c>
      <c r="U1580" t="s">
        <v>7256</v>
      </c>
      <c r="V1580" t="s">
        <v>7256</v>
      </c>
      <c r="W1580">
        <v>4</v>
      </c>
      <c r="X1580" t="s">
        <v>8836</v>
      </c>
      <c r="Y1580">
        <v>0.31638473928950073</v>
      </c>
      <c r="Z1580" t="str">
        <f>HYPERLINK("Melting_Curves/meltCurve_sp_Q15119_PDK2_HUMAN_.pdf", "Melting_Curves/meltCurve_sp_Q15119_PDK2_HUMAN_.pdf")</f>
        <v>Melting_Curves/meltCurve_sp_Q15119_PDK2_HUMAN_.pdf</v>
      </c>
      <c r="AA1580" t="s">
        <v>12437</v>
      </c>
      <c r="AB1580" t="s">
        <v>16005</v>
      </c>
    </row>
    <row r="1581" spans="1:28" x14ac:dyDescent="0.25">
      <c r="A1581" t="s">
        <v>1585</v>
      </c>
      <c r="B1581">
        <v>0.98018197421672304</v>
      </c>
      <c r="C1581">
        <v>0.89052651734150001</v>
      </c>
      <c r="D1581">
        <v>0.80673438063958303</v>
      </c>
      <c r="E1581">
        <v>0.318644579010472</v>
      </c>
      <c r="F1581">
        <v>6.5763057660055704E-2</v>
      </c>
      <c r="G1581">
        <v>0.107705498679715</v>
      </c>
      <c r="H1581">
        <v>6.5075545016205799E-2</v>
      </c>
      <c r="I1581">
        <v>0</v>
      </c>
      <c r="J1581">
        <v>0</v>
      </c>
      <c r="K1581">
        <v>0</v>
      </c>
      <c r="L1581">
        <v>1200.9121964332601</v>
      </c>
      <c r="M1581">
        <v>24.869825079410699</v>
      </c>
      <c r="N1581">
        <v>48.368473191016498</v>
      </c>
      <c r="O1581">
        <v>47.978960184755501</v>
      </c>
      <c r="P1581">
        <v>-0.12696014697608099</v>
      </c>
      <c r="Q1581">
        <v>2.028545259789E-2</v>
      </c>
      <c r="R1581">
        <v>0.98950584122306195</v>
      </c>
      <c r="S1581" t="s">
        <v>5210</v>
      </c>
      <c r="T1581" t="s">
        <v>7256</v>
      </c>
      <c r="U1581" t="s">
        <v>7256</v>
      </c>
      <c r="V1581" t="s">
        <v>7256</v>
      </c>
      <c r="W1581">
        <v>1</v>
      </c>
      <c r="X1581" t="s">
        <v>8837</v>
      </c>
      <c r="Y1581">
        <v>0.29969866126166078</v>
      </c>
      <c r="Z1581" t="str">
        <f>HYPERLINK("Melting_Curves/meltCurve_sp_Q15120_PDK3_HUMAN_.pdf", "Melting_Curves/meltCurve_sp_Q15120_PDK3_HUMAN_.pdf")</f>
        <v>Melting_Curves/meltCurve_sp_Q15120_PDK3_HUMAN_.pdf</v>
      </c>
      <c r="AA1581" t="s">
        <v>12438</v>
      </c>
      <c r="AB1581" t="s">
        <v>16006</v>
      </c>
    </row>
    <row r="1582" spans="1:28" x14ac:dyDescent="0.25">
      <c r="A1582" t="s">
        <v>1586</v>
      </c>
      <c r="B1582">
        <v>0.98018197421672304</v>
      </c>
      <c r="C1582">
        <v>1.0006902012822001</v>
      </c>
      <c r="D1582">
        <v>0.75603023390949098</v>
      </c>
      <c r="E1582">
        <v>0.26731674645744602</v>
      </c>
      <c r="F1582">
        <v>0.154178165950591</v>
      </c>
      <c r="G1582">
        <v>0.105718903028707</v>
      </c>
      <c r="H1582">
        <v>6.4157193493429104E-2</v>
      </c>
      <c r="I1582">
        <v>5.3760566972268699E-2</v>
      </c>
      <c r="J1582">
        <v>7.0173575341546904E-2</v>
      </c>
      <c r="K1582">
        <v>4.6286832690239199E-2</v>
      </c>
      <c r="L1582">
        <v>1325.41485868205</v>
      </c>
      <c r="M1582">
        <v>27.739608551015301</v>
      </c>
      <c r="N1582">
        <v>48.036462497989703</v>
      </c>
      <c r="O1582">
        <v>47.534343767258399</v>
      </c>
      <c r="P1582">
        <v>-0.13587415741417</v>
      </c>
      <c r="Q1582">
        <v>6.8677347698289606E-2</v>
      </c>
      <c r="R1582">
        <v>0.99702087399588801</v>
      </c>
      <c r="S1582" t="s">
        <v>5211</v>
      </c>
      <c r="T1582" t="s">
        <v>7256</v>
      </c>
      <c r="U1582" t="s">
        <v>7256</v>
      </c>
      <c r="V1582" t="s">
        <v>7256</v>
      </c>
      <c r="W1582">
        <v>7</v>
      </c>
      <c r="X1582" t="s">
        <v>8838</v>
      </c>
      <c r="Y1582">
        <v>0.31682006679616481</v>
      </c>
      <c r="Z1582" t="str">
        <f>HYPERLINK("Melting_Curves/meltCurve_sp_Q15126_PMVK_HUMAN_.pdf", "Melting_Curves/meltCurve_sp_Q15126_PMVK_HUMAN_.pdf")</f>
        <v>Melting_Curves/meltCurve_sp_Q15126_PMVK_HUMAN_.pdf</v>
      </c>
      <c r="AA1582" t="s">
        <v>12439</v>
      </c>
      <c r="AB1582" t="s">
        <v>16007</v>
      </c>
    </row>
    <row r="1583" spans="1:28" x14ac:dyDescent="0.25">
      <c r="A1583" t="s">
        <v>1587</v>
      </c>
      <c r="B1583">
        <v>0.98018197421672304</v>
      </c>
      <c r="C1583">
        <v>0.95967386246251896</v>
      </c>
      <c r="D1583">
        <v>0.88668908859014794</v>
      </c>
      <c r="E1583">
        <v>0.72673926338588801</v>
      </c>
      <c r="F1583">
        <v>0.45801051387605102</v>
      </c>
      <c r="G1583">
        <v>0.18360946061268399</v>
      </c>
      <c r="H1583">
        <v>0.104764366333577</v>
      </c>
      <c r="I1583">
        <v>8.3464077434306005E-2</v>
      </c>
      <c r="J1583">
        <v>0.11146148690365799</v>
      </c>
      <c r="K1583">
        <v>8.0249995248050501E-2</v>
      </c>
      <c r="L1583">
        <v>1012.59053523276</v>
      </c>
      <c r="M1583">
        <v>19.486571253221101</v>
      </c>
      <c r="N1583">
        <v>52.364780790161703</v>
      </c>
      <c r="O1583">
        <v>51.425535279618998</v>
      </c>
      <c r="P1583">
        <v>-8.8164893218444701E-2</v>
      </c>
      <c r="Q1583">
        <v>6.9356189774273602E-2</v>
      </c>
      <c r="R1583">
        <v>0.99604512659112399</v>
      </c>
      <c r="S1583" t="s">
        <v>5212</v>
      </c>
      <c r="T1583" t="s">
        <v>7256</v>
      </c>
      <c r="U1583" t="s">
        <v>7256</v>
      </c>
      <c r="V1583" t="s">
        <v>7256</v>
      </c>
      <c r="W1583">
        <v>127</v>
      </c>
      <c r="X1583" t="s">
        <v>8839</v>
      </c>
      <c r="Y1583">
        <v>0.45397459236155469</v>
      </c>
      <c r="Z1583" t="str">
        <f>HYPERLINK("Melting_Curves/meltCurve_sp_Q15149_8_PLEC_HUMAN_.pdf", "Melting_Curves/meltCurve_sp_Q15149_8_PLEC_HUMAN_.pdf")</f>
        <v>Melting_Curves/meltCurve_sp_Q15149_8_PLEC_HUMAN_.pdf</v>
      </c>
      <c r="AA1583" t="s">
        <v>12440</v>
      </c>
      <c r="AB1583" t="s">
        <v>16008</v>
      </c>
    </row>
    <row r="1584" spans="1:28" x14ac:dyDescent="0.25">
      <c r="A1584" t="s">
        <v>1588</v>
      </c>
      <c r="B1584">
        <v>0.98018197421672304</v>
      </c>
      <c r="C1584">
        <v>1.0337544859282799</v>
      </c>
      <c r="D1584">
        <v>0.77951657218833403</v>
      </c>
      <c r="E1584">
        <v>0.32043250892048097</v>
      </c>
      <c r="F1584">
        <v>0.15424861688750499</v>
      </c>
      <c r="G1584">
        <v>9.0635427432897903E-2</v>
      </c>
      <c r="H1584">
        <v>5.4878591836572101E-2</v>
      </c>
      <c r="I1584">
        <v>4.51225001214033E-2</v>
      </c>
      <c r="J1584">
        <v>4.5383047599159197E-2</v>
      </c>
      <c r="K1584">
        <v>3.58149332926457E-2</v>
      </c>
      <c r="L1584">
        <v>1262.421630564</v>
      </c>
      <c r="M1584">
        <v>26.145315125934701</v>
      </c>
      <c r="N1584">
        <v>48.487459804244203</v>
      </c>
      <c r="O1584">
        <v>48.004995322922497</v>
      </c>
      <c r="P1584">
        <v>-0.12911368445860499</v>
      </c>
      <c r="Q1584">
        <v>5.1756382141178899E-2</v>
      </c>
      <c r="R1584">
        <v>0.99581306751666698</v>
      </c>
      <c r="S1584" t="s">
        <v>5213</v>
      </c>
      <c r="T1584" t="s">
        <v>7256</v>
      </c>
      <c r="U1584" t="s">
        <v>7256</v>
      </c>
      <c r="V1584" t="s">
        <v>7256</v>
      </c>
      <c r="W1584">
        <v>7</v>
      </c>
      <c r="X1584" t="s">
        <v>8840</v>
      </c>
      <c r="Y1584">
        <v>0.32125043250958779</v>
      </c>
      <c r="Z1584" t="str">
        <f>HYPERLINK("Melting_Curves/meltCurve_sp_Q15172_2A5A_HUMAN_.pdf", "Melting_Curves/meltCurve_sp_Q15172_2A5A_HUMAN_.pdf")</f>
        <v>Melting_Curves/meltCurve_sp_Q15172_2A5A_HUMAN_.pdf</v>
      </c>
      <c r="AA1584" t="s">
        <v>12441</v>
      </c>
      <c r="AB1584" t="s">
        <v>16009</v>
      </c>
    </row>
    <row r="1585" spans="1:28" x14ac:dyDescent="0.25">
      <c r="A1585" t="s">
        <v>1589</v>
      </c>
      <c r="B1585">
        <v>0.98018197421672304</v>
      </c>
      <c r="C1585">
        <v>0.997386715577401</v>
      </c>
      <c r="D1585">
        <v>0.97626204913468495</v>
      </c>
      <c r="E1585">
        <v>0.80332757086669704</v>
      </c>
      <c r="F1585">
        <v>0.55001365708779504</v>
      </c>
      <c r="G1585">
        <v>0.199244720820627</v>
      </c>
      <c r="H1585">
        <v>8.1478650345794199E-2</v>
      </c>
      <c r="I1585">
        <v>6.8675318608042504E-2</v>
      </c>
      <c r="J1585">
        <v>7.0325632483146397E-2</v>
      </c>
      <c r="K1585">
        <v>5.6662121646256398E-2</v>
      </c>
      <c r="L1585">
        <v>1245.09583734394</v>
      </c>
      <c r="M1585">
        <v>23.458312612309101</v>
      </c>
      <c r="N1585">
        <v>53.322077379055102</v>
      </c>
      <c r="O1585">
        <v>52.695760359528499</v>
      </c>
      <c r="P1585">
        <v>-0.105604642045103</v>
      </c>
      <c r="Q1585">
        <v>5.1113295268034098E-2</v>
      </c>
      <c r="R1585">
        <v>0.99921178351644402</v>
      </c>
      <c r="S1585" t="s">
        <v>5214</v>
      </c>
      <c r="T1585" t="s">
        <v>7256</v>
      </c>
      <c r="U1585" t="s">
        <v>7256</v>
      </c>
      <c r="V1585" t="s">
        <v>7256</v>
      </c>
      <c r="W1585">
        <v>13</v>
      </c>
      <c r="X1585" t="s">
        <v>8841</v>
      </c>
      <c r="Y1585">
        <v>0.47456730143477938</v>
      </c>
      <c r="Z1585" t="str">
        <f>HYPERLINK("Melting_Curves/meltCurve_sp_Q15181_IPYR_HUMAN_.pdf", "Melting_Curves/meltCurve_sp_Q15181_IPYR_HUMAN_.pdf")</f>
        <v>Melting_Curves/meltCurve_sp_Q15181_IPYR_HUMAN_.pdf</v>
      </c>
      <c r="AA1585" t="s">
        <v>12442</v>
      </c>
      <c r="AB1585" t="s">
        <v>16010</v>
      </c>
    </row>
    <row r="1586" spans="1:28" x14ac:dyDescent="0.25">
      <c r="A1586" t="s">
        <v>1590</v>
      </c>
      <c r="B1586">
        <v>0.98018197421672304</v>
      </c>
      <c r="C1586">
        <v>0.98802945856235302</v>
      </c>
      <c r="D1586">
        <v>0.84586695688773095</v>
      </c>
      <c r="E1586">
        <v>0.494727073232266</v>
      </c>
      <c r="F1586">
        <v>0.321881706972174</v>
      </c>
      <c r="G1586">
        <v>0.23993468503599699</v>
      </c>
      <c r="H1586">
        <v>0.19235263640221001</v>
      </c>
      <c r="I1586">
        <v>0.20207071455175499</v>
      </c>
      <c r="J1586">
        <v>0.22350838251951799</v>
      </c>
      <c r="K1586">
        <v>0.30459934010492801</v>
      </c>
      <c r="L1586">
        <v>1215.92150092462</v>
      </c>
      <c r="M1586">
        <v>24.979601397895198</v>
      </c>
      <c r="N1586">
        <v>49.893817271559399</v>
      </c>
      <c r="O1586">
        <v>48.367817995002</v>
      </c>
      <c r="P1586">
        <v>-9.9654864566582804E-2</v>
      </c>
      <c r="Q1586">
        <v>0.228166276470048</v>
      </c>
      <c r="R1586">
        <v>0.99095109506962797</v>
      </c>
      <c r="S1586" t="s">
        <v>5215</v>
      </c>
      <c r="T1586" t="s">
        <v>7256</v>
      </c>
      <c r="U1586" t="s">
        <v>7256</v>
      </c>
      <c r="V1586" t="s">
        <v>7256</v>
      </c>
      <c r="W1586">
        <v>13</v>
      </c>
      <c r="X1586" t="s">
        <v>8842</v>
      </c>
      <c r="Y1586">
        <v>0.4582346917018022</v>
      </c>
      <c r="Z1586" t="str">
        <f>HYPERLINK("Melting_Curves/meltCurve_sp_Q15233_2_NONO_HUMAN_.pdf", "Melting_Curves/meltCurve_sp_Q15233_2_NONO_HUMAN_.pdf")</f>
        <v>Melting_Curves/meltCurve_sp_Q15233_2_NONO_HUMAN_.pdf</v>
      </c>
      <c r="AA1586" t="s">
        <v>12443</v>
      </c>
      <c r="AB1586" t="s">
        <v>16011</v>
      </c>
    </row>
    <row r="1587" spans="1:28" x14ac:dyDescent="0.25">
      <c r="A1587" t="s">
        <v>1591</v>
      </c>
      <c r="B1587">
        <v>0.98018197421672304</v>
      </c>
      <c r="C1587">
        <v>1.02134554079169</v>
      </c>
      <c r="D1587">
        <v>0.92454322700536795</v>
      </c>
      <c r="E1587">
        <v>0.80716518939804704</v>
      </c>
      <c r="F1587">
        <v>0.79436228200943104</v>
      </c>
      <c r="G1587">
        <v>0.41047455338551397</v>
      </c>
      <c r="H1587">
        <v>8.6016419970171301E-2</v>
      </c>
      <c r="I1587">
        <v>6.6358620443630403E-2</v>
      </c>
      <c r="J1587">
        <v>7.0300192728335195E-2</v>
      </c>
      <c r="K1587">
        <v>4.7611324763654997E-2</v>
      </c>
      <c r="L1587">
        <v>1107.7625860437099</v>
      </c>
      <c r="M1587">
        <v>19.9108112975978</v>
      </c>
      <c r="N1587">
        <v>55.687247424364401</v>
      </c>
      <c r="O1587">
        <v>55.084138956754003</v>
      </c>
      <c r="P1587">
        <v>-8.9552033461957198E-2</v>
      </c>
      <c r="Q1587">
        <v>9.0342164834303108E-3</v>
      </c>
      <c r="R1587">
        <v>0.98460984203052604</v>
      </c>
      <c r="S1587" t="s">
        <v>5216</v>
      </c>
      <c r="T1587" t="s">
        <v>7256</v>
      </c>
      <c r="U1587" t="s">
        <v>7256</v>
      </c>
      <c r="V1587" t="s">
        <v>7256</v>
      </c>
      <c r="W1587">
        <v>8</v>
      </c>
      <c r="X1587" t="s">
        <v>8843</v>
      </c>
      <c r="Y1587">
        <v>0.53855728416862858</v>
      </c>
      <c r="Z1587" t="str">
        <f>HYPERLINK("Melting_Curves/meltCurve_sp_Q15257_2_PTPA_HUMAN_.pdf", "Melting_Curves/meltCurve_sp_Q15257_2_PTPA_HUMAN_.pdf")</f>
        <v>Melting_Curves/meltCurve_sp_Q15257_2_PTPA_HUMAN_.pdf</v>
      </c>
      <c r="AA1587" t="s">
        <v>12444</v>
      </c>
      <c r="AB1587" t="s">
        <v>16012</v>
      </c>
    </row>
    <row r="1588" spans="1:28" x14ac:dyDescent="0.25">
      <c r="A1588" t="s">
        <v>1592</v>
      </c>
      <c r="B1588">
        <v>0.98018197421672304</v>
      </c>
      <c r="C1588">
        <v>1.0321213963200999</v>
      </c>
      <c r="D1588">
        <v>0.97532935623448203</v>
      </c>
      <c r="E1588">
        <v>0.89215876882141498</v>
      </c>
      <c r="F1588">
        <v>0.78839942816739295</v>
      </c>
      <c r="G1588">
        <v>0.71870726453850098</v>
      </c>
      <c r="H1588">
        <v>0.60207308900219902</v>
      </c>
      <c r="I1588">
        <v>0.67248097197353396</v>
      </c>
      <c r="J1588">
        <v>0.75194105164745095</v>
      </c>
      <c r="K1588">
        <v>0.56409991234607504</v>
      </c>
      <c r="L1588">
        <v>1072.7938688680299</v>
      </c>
      <c r="M1588">
        <v>20.590342445788199</v>
      </c>
      <c r="O1588">
        <v>51.617820189749096</v>
      </c>
      <c r="P1588">
        <v>-3.5427296203041199E-2</v>
      </c>
      <c r="Q1588">
        <v>0.64476030163006204</v>
      </c>
      <c r="R1588">
        <v>0.90359901916634799</v>
      </c>
      <c r="S1588" t="s">
        <v>5217</v>
      </c>
      <c r="T1588" t="s">
        <v>7256</v>
      </c>
      <c r="U1588" t="s">
        <v>7256</v>
      </c>
      <c r="V1588" t="s">
        <v>7256</v>
      </c>
      <c r="W1588">
        <v>10</v>
      </c>
      <c r="X1588" t="s">
        <v>8844</v>
      </c>
      <c r="Y1588">
        <v>0.79272554017990016</v>
      </c>
      <c r="Z1588" t="str">
        <f>HYPERLINK("Melting_Curves/meltCurve_sp_Q15274_NADC_HUMAN_.pdf", "Melting_Curves/meltCurve_sp_Q15274_NADC_HUMAN_.pdf")</f>
        <v>Melting_Curves/meltCurve_sp_Q15274_NADC_HUMAN_.pdf</v>
      </c>
      <c r="AA1588" t="s">
        <v>12445</v>
      </c>
      <c r="AB1588" t="s">
        <v>16013</v>
      </c>
    </row>
    <row r="1589" spans="1:28" x14ac:dyDescent="0.25">
      <c r="A1589" t="s">
        <v>1593</v>
      </c>
      <c r="B1589">
        <v>0.98018197421672304</v>
      </c>
      <c r="C1589">
        <v>0.89821460056059399</v>
      </c>
      <c r="D1589">
        <v>0.85414181355824503</v>
      </c>
      <c r="E1589">
        <v>0.76414529134688902</v>
      </c>
      <c r="F1589">
        <v>0.62717788268963803</v>
      </c>
      <c r="G1589">
        <v>0.41750521580563499</v>
      </c>
      <c r="H1589">
        <v>0.33172767693486799</v>
      </c>
      <c r="I1589">
        <v>0.33585086643738998</v>
      </c>
      <c r="J1589">
        <v>0.42209503150209099</v>
      </c>
      <c r="K1589">
        <v>0.36741592365807801</v>
      </c>
      <c r="L1589">
        <v>702.61745599608798</v>
      </c>
      <c r="M1589">
        <v>13.704938964240901</v>
      </c>
      <c r="N1589">
        <v>55.560822367635303</v>
      </c>
      <c r="O1589">
        <v>50.212907145216697</v>
      </c>
      <c r="P1589">
        <v>-4.5955252174049901E-2</v>
      </c>
      <c r="Q1589">
        <v>0.32660362234363</v>
      </c>
      <c r="R1589">
        <v>0.96588488019554397</v>
      </c>
      <c r="S1589" t="s">
        <v>5218</v>
      </c>
      <c r="T1589" t="s">
        <v>7256</v>
      </c>
      <c r="U1589" t="s">
        <v>7256</v>
      </c>
      <c r="V1589" t="s">
        <v>7256</v>
      </c>
      <c r="W1589">
        <v>17</v>
      </c>
      <c r="X1589" t="s">
        <v>8845</v>
      </c>
      <c r="Y1589">
        <v>0.59730683957345321</v>
      </c>
      <c r="Z1589" t="str">
        <f>HYPERLINK("Melting_Curves/meltCurve_sp_Q15276_RABE1_HUMAN_.pdf", "Melting_Curves/meltCurve_sp_Q15276_RABE1_HUMAN_.pdf")</f>
        <v>Melting_Curves/meltCurve_sp_Q15276_RABE1_HUMAN_.pdf</v>
      </c>
      <c r="AA1589" t="s">
        <v>12446</v>
      </c>
      <c r="AB1589" t="s">
        <v>16014</v>
      </c>
    </row>
    <row r="1590" spans="1:28" x14ac:dyDescent="0.25">
      <c r="A1590" t="s">
        <v>1594</v>
      </c>
      <c r="B1590">
        <v>0.98018197421672304</v>
      </c>
      <c r="C1590">
        <v>1.02788228803339</v>
      </c>
      <c r="D1590">
        <v>0.85105443741680498</v>
      </c>
      <c r="E1590">
        <v>0.76103370239854395</v>
      </c>
      <c r="F1590">
        <v>0.66855476027511995</v>
      </c>
      <c r="G1590">
        <v>0.46121906734519402</v>
      </c>
      <c r="H1590">
        <v>0.33004095863854499</v>
      </c>
      <c r="I1590">
        <v>0.249211835160702</v>
      </c>
      <c r="J1590">
        <v>0.17257779616404501</v>
      </c>
      <c r="K1590">
        <v>6.9203755134820299E-2</v>
      </c>
      <c r="L1590">
        <v>565.44585541893605</v>
      </c>
      <c r="M1590">
        <v>10.0503784164938</v>
      </c>
      <c r="N1590">
        <v>56.261170049206903</v>
      </c>
      <c r="O1590">
        <v>54.1699114413194</v>
      </c>
      <c r="P1590">
        <v>-4.6405714146651497E-2</v>
      </c>
      <c r="Q1590">
        <v>0</v>
      </c>
      <c r="R1590">
        <v>0.98901969873238305</v>
      </c>
      <c r="S1590" t="s">
        <v>5219</v>
      </c>
      <c r="T1590" t="s">
        <v>7256</v>
      </c>
      <c r="U1590" t="s">
        <v>7256</v>
      </c>
      <c r="V1590" t="s">
        <v>7256</v>
      </c>
      <c r="W1590">
        <v>2</v>
      </c>
      <c r="X1590" t="s">
        <v>8846</v>
      </c>
      <c r="Y1590">
        <v>0.56182348204400523</v>
      </c>
      <c r="Z1590" t="str">
        <f>HYPERLINK("Melting_Curves/meltCurve_sp_Q15291_RBBP5_HUMAN_.pdf", "Melting_Curves/meltCurve_sp_Q15291_RBBP5_HUMAN_.pdf")</f>
        <v>Melting_Curves/meltCurve_sp_Q15291_RBBP5_HUMAN_.pdf</v>
      </c>
      <c r="AA1590" t="s">
        <v>12447</v>
      </c>
      <c r="AB1590" t="s">
        <v>16015</v>
      </c>
    </row>
    <row r="1591" spans="1:28" x14ac:dyDescent="0.25">
      <c r="A1591" t="s">
        <v>1595</v>
      </c>
      <c r="B1591">
        <v>0.98018197421672304</v>
      </c>
      <c r="C1591">
        <v>0.92960873398171195</v>
      </c>
      <c r="D1591">
        <v>0.89748052052396599</v>
      </c>
      <c r="E1591">
        <v>0.792422112734258</v>
      </c>
      <c r="F1591">
        <v>0.64265087193845305</v>
      </c>
      <c r="G1591">
        <v>0.45419371004500297</v>
      </c>
      <c r="H1591">
        <v>0.36860385380993299</v>
      </c>
      <c r="I1591">
        <v>0.40576587763354499</v>
      </c>
      <c r="J1591">
        <v>0.49302218994692298</v>
      </c>
      <c r="K1591">
        <v>0.53773403887349402</v>
      </c>
      <c r="L1591">
        <v>1028.75958478658</v>
      </c>
      <c r="M1591">
        <v>20.223905668965099</v>
      </c>
      <c r="N1591">
        <v>56.831946721239802</v>
      </c>
      <c r="O1591">
        <v>50.378971809140303</v>
      </c>
      <c r="P1591">
        <v>-5.61915322814905E-2</v>
      </c>
      <c r="Q1591">
        <v>0.44011146523525602</v>
      </c>
      <c r="R1591">
        <v>0.93718875465071005</v>
      </c>
      <c r="S1591" t="s">
        <v>5220</v>
      </c>
      <c r="T1591" t="s">
        <v>7256</v>
      </c>
      <c r="U1591" t="s">
        <v>7256</v>
      </c>
      <c r="V1591" t="s">
        <v>7256</v>
      </c>
      <c r="W1591">
        <v>9</v>
      </c>
      <c r="X1591" t="s">
        <v>8847</v>
      </c>
      <c r="Y1591">
        <v>0.65056275523200169</v>
      </c>
      <c r="Z1591" t="str">
        <f>HYPERLINK("Melting_Curves/meltCurve_sp_Q15293_RCN1_HUMAN_.pdf", "Melting_Curves/meltCurve_sp_Q15293_RCN1_HUMAN_.pdf")</f>
        <v>Melting_Curves/meltCurve_sp_Q15293_RCN1_HUMAN_.pdf</v>
      </c>
      <c r="AA1591" t="s">
        <v>12448</v>
      </c>
      <c r="AB1591" t="s">
        <v>16016</v>
      </c>
    </row>
    <row r="1592" spans="1:28" x14ac:dyDescent="0.25">
      <c r="A1592" t="s">
        <v>1596</v>
      </c>
      <c r="B1592">
        <v>0.98018197421672304</v>
      </c>
      <c r="C1592">
        <v>0.93393551496280003</v>
      </c>
      <c r="D1592">
        <v>0.87954739267603799</v>
      </c>
      <c r="E1592">
        <v>0.42180640644487699</v>
      </c>
      <c r="F1592">
        <v>0.21216363457031101</v>
      </c>
      <c r="G1592">
        <v>0.13013308301169699</v>
      </c>
      <c r="H1592">
        <v>8.54672755169225E-2</v>
      </c>
      <c r="I1592">
        <v>8.0048308150872494E-2</v>
      </c>
      <c r="J1592">
        <v>8.7561174083598203E-2</v>
      </c>
      <c r="K1592">
        <v>6.8256690822571603E-2</v>
      </c>
      <c r="L1592">
        <v>1225.7054565083899</v>
      </c>
      <c r="M1592">
        <v>24.978758897740999</v>
      </c>
      <c r="N1592">
        <v>49.425105255465503</v>
      </c>
      <c r="O1592">
        <v>48.758627891209997</v>
      </c>
      <c r="P1592">
        <v>-0.117552557345389</v>
      </c>
      <c r="Q1592">
        <v>8.2159916858066798E-2</v>
      </c>
      <c r="R1592">
        <v>0.99739799724225597</v>
      </c>
      <c r="S1592" t="s">
        <v>5221</v>
      </c>
      <c r="T1592" t="s">
        <v>7256</v>
      </c>
      <c r="U1592" t="s">
        <v>7256</v>
      </c>
      <c r="V1592" t="s">
        <v>7256</v>
      </c>
      <c r="W1592">
        <v>5</v>
      </c>
      <c r="X1592" t="s">
        <v>8848</v>
      </c>
      <c r="Y1592">
        <v>0.36780217858138298</v>
      </c>
      <c r="Z1592" t="str">
        <f>HYPERLINK("Melting_Curves/meltCurve_sp_Q15311_RBP1_HUMAN_.pdf", "Melting_Curves/meltCurve_sp_Q15311_RBP1_HUMAN_.pdf")</f>
        <v>Melting_Curves/meltCurve_sp_Q15311_RBP1_HUMAN_.pdf</v>
      </c>
      <c r="AA1592" t="s">
        <v>12449</v>
      </c>
      <c r="AB1592" t="s">
        <v>16017</v>
      </c>
    </row>
    <row r="1593" spans="1:28" x14ac:dyDescent="0.25">
      <c r="A1593" t="s">
        <v>1597</v>
      </c>
      <c r="B1593">
        <v>0.98018197421672304</v>
      </c>
      <c r="C1593">
        <v>0.88030696115867102</v>
      </c>
      <c r="D1593">
        <v>0.71315450138101999</v>
      </c>
      <c r="E1593">
        <v>0.416020998147203</v>
      </c>
      <c r="F1593">
        <v>0.27752233254113601</v>
      </c>
      <c r="G1593">
        <v>0.19407505988156901</v>
      </c>
      <c r="H1593">
        <v>0.13157958259309099</v>
      </c>
      <c r="I1593">
        <v>6.1988049230101497E-2</v>
      </c>
      <c r="J1593">
        <v>9.4142492957005497E-2</v>
      </c>
      <c r="K1593">
        <v>4.6536777954047398E-2</v>
      </c>
      <c r="L1593">
        <v>695.50338340160499</v>
      </c>
      <c r="M1593">
        <v>14.3159776196641</v>
      </c>
      <c r="N1593">
        <v>49.0282720197253</v>
      </c>
      <c r="O1593">
        <v>47.663856100007301</v>
      </c>
      <c r="P1593">
        <v>-7.0512856671212695E-2</v>
      </c>
      <c r="Q1593">
        <v>6.1047070047733097E-2</v>
      </c>
      <c r="R1593">
        <v>0.996330950681103</v>
      </c>
      <c r="S1593" t="s">
        <v>5222</v>
      </c>
      <c r="T1593" t="s">
        <v>7256</v>
      </c>
      <c r="U1593" t="s">
        <v>7256</v>
      </c>
      <c r="V1593" t="s">
        <v>7256</v>
      </c>
      <c r="W1593">
        <v>3</v>
      </c>
      <c r="X1593" t="s">
        <v>8849</v>
      </c>
      <c r="Y1593">
        <v>0.35540439324271622</v>
      </c>
      <c r="Z1593" t="str">
        <f>HYPERLINK("Melting_Curves/meltCurve_sp_Q15345_LRC41_HUMAN_.pdf", "Melting_Curves/meltCurve_sp_Q15345_LRC41_HUMAN_.pdf")</f>
        <v>Melting_Curves/meltCurve_sp_Q15345_LRC41_HUMAN_.pdf</v>
      </c>
      <c r="AA1593" t="s">
        <v>12450</v>
      </c>
      <c r="AB1593" t="s">
        <v>16018</v>
      </c>
    </row>
    <row r="1594" spans="1:28" x14ac:dyDescent="0.25">
      <c r="A1594" t="s">
        <v>1598</v>
      </c>
      <c r="B1594">
        <v>0.98018197421672304</v>
      </c>
      <c r="C1594">
        <v>0.98141709790811504</v>
      </c>
      <c r="D1594">
        <v>0.93742280348621299</v>
      </c>
      <c r="E1594">
        <v>0.77335562934468005</v>
      </c>
      <c r="F1594">
        <v>0.62758395025924696</v>
      </c>
      <c r="G1594">
        <v>0.43576920482625903</v>
      </c>
      <c r="H1594">
        <v>0.38610920178306002</v>
      </c>
      <c r="I1594">
        <v>0.35865711003755202</v>
      </c>
      <c r="J1594">
        <v>0.34403317752957302</v>
      </c>
      <c r="K1594">
        <v>0.369437799536179</v>
      </c>
      <c r="L1594">
        <v>935.15111404343702</v>
      </c>
      <c r="M1594">
        <v>18.020433123303601</v>
      </c>
      <c r="N1594">
        <v>55.460177146161598</v>
      </c>
      <c r="O1594">
        <v>51.2675256325034</v>
      </c>
      <c r="P1594">
        <v>-5.7730766746526802E-2</v>
      </c>
      <c r="Q1594">
        <v>0.34306376699566898</v>
      </c>
      <c r="R1594">
        <v>0.99787605219547604</v>
      </c>
      <c r="S1594" t="s">
        <v>5223</v>
      </c>
      <c r="T1594" t="s">
        <v>7256</v>
      </c>
      <c r="U1594" t="s">
        <v>7256</v>
      </c>
      <c r="V1594" t="s">
        <v>7256</v>
      </c>
      <c r="W1594">
        <v>13</v>
      </c>
      <c r="X1594" t="s">
        <v>8850</v>
      </c>
      <c r="Y1594">
        <v>0.61444203721137791</v>
      </c>
      <c r="Z1594" t="str">
        <f>HYPERLINK("Melting_Curves/meltCurve_sp_Q15365_PCBP1_HUMAN_.pdf", "Melting_Curves/meltCurve_sp_Q15365_PCBP1_HUMAN_.pdf")</f>
        <v>Melting_Curves/meltCurve_sp_Q15365_PCBP1_HUMAN_.pdf</v>
      </c>
      <c r="AA1594" t="s">
        <v>12451</v>
      </c>
      <c r="AB1594" t="s">
        <v>16019</v>
      </c>
    </row>
    <row r="1595" spans="1:28" x14ac:dyDescent="0.25">
      <c r="A1595" t="s">
        <v>1599</v>
      </c>
      <c r="B1595">
        <v>0.98018197421672304</v>
      </c>
      <c r="C1595">
        <v>1.0812356656837601</v>
      </c>
      <c r="D1595">
        <v>0.74583103154604502</v>
      </c>
      <c r="E1595">
        <v>0.39300920637282</v>
      </c>
      <c r="F1595">
        <v>0.24730045676073101</v>
      </c>
      <c r="G1595">
        <v>0.12657712644815899</v>
      </c>
      <c r="H1595">
        <v>9.4147005589157506E-2</v>
      </c>
      <c r="I1595">
        <v>6.2208441487939498E-2</v>
      </c>
      <c r="J1595">
        <v>7.1136604535989606E-2</v>
      </c>
      <c r="K1595">
        <v>4.9095230154788602E-2</v>
      </c>
      <c r="L1595">
        <v>1043.4318776606401</v>
      </c>
      <c r="M1595">
        <v>21.4338062985811</v>
      </c>
      <c r="N1595">
        <v>49.037700507460897</v>
      </c>
      <c r="O1595">
        <v>48.263789184675801</v>
      </c>
      <c r="P1595">
        <v>-0.10302526392256001</v>
      </c>
      <c r="Q1595">
        <v>7.2070419521822401E-2</v>
      </c>
      <c r="R1595">
        <v>0.98479195559530397</v>
      </c>
      <c r="S1595" t="s">
        <v>5224</v>
      </c>
      <c r="T1595" t="s">
        <v>7256</v>
      </c>
      <c r="U1595" t="s">
        <v>7256</v>
      </c>
      <c r="V1595" t="s">
        <v>7256</v>
      </c>
      <c r="W1595">
        <v>2</v>
      </c>
      <c r="X1595" t="s">
        <v>8851</v>
      </c>
      <c r="Y1595">
        <v>0.35190386771326099</v>
      </c>
      <c r="Z1595" t="str">
        <f>HYPERLINK("Melting_Curves/meltCurve_sp_Q15382_RHEB_HUMAN_.pdf", "Melting_Curves/meltCurve_sp_Q15382_RHEB_HUMAN_.pdf")</f>
        <v>Melting_Curves/meltCurve_sp_Q15382_RHEB_HUMAN_.pdf</v>
      </c>
      <c r="AA1595" t="s">
        <v>12452</v>
      </c>
      <c r="AB1595" t="s">
        <v>16020</v>
      </c>
    </row>
    <row r="1596" spans="1:28" x14ac:dyDescent="0.25">
      <c r="A1596" t="s">
        <v>1600</v>
      </c>
      <c r="B1596">
        <v>0.98018197421672304</v>
      </c>
      <c r="C1596">
        <v>0.92181467493645897</v>
      </c>
      <c r="D1596">
        <v>0.85675927847469702</v>
      </c>
      <c r="E1596">
        <v>0.60940967681320801</v>
      </c>
      <c r="F1596">
        <v>0.45112977731289799</v>
      </c>
      <c r="G1596">
        <v>0.18969343605064401</v>
      </c>
      <c r="H1596">
        <v>7.5966209660091294E-2</v>
      </c>
      <c r="I1596">
        <v>4.78492661909019E-2</v>
      </c>
      <c r="J1596">
        <v>5.0640447451650701E-2</v>
      </c>
      <c r="K1596">
        <v>3.3117499682298698E-2</v>
      </c>
      <c r="L1596">
        <v>742.139091317262</v>
      </c>
      <c r="M1596">
        <v>14.352759324411901</v>
      </c>
      <c r="N1596">
        <v>51.707067246312</v>
      </c>
      <c r="O1596">
        <v>50.7343795115871</v>
      </c>
      <c r="P1596">
        <v>-7.0733505038599806E-2</v>
      </c>
      <c r="Q1596">
        <v>0</v>
      </c>
      <c r="R1596">
        <v>0.99726390374110496</v>
      </c>
      <c r="S1596" t="s">
        <v>5225</v>
      </c>
      <c r="T1596" t="s">
        <v>7256</v>
      </c>
      <c r="U1596" t="s">
        <v>7256</v>
      </c>
      <c r="V1596" t="s">
        <v>7256</v>
      </c>
      <c r="W1596">
        <v>12</v>
      </c>
      <c r="X1596" t="s">
        <v>8852</v>
      </c>
      <c r="Y1596">
        <v>0.41440793918153501</v>
      </c>
      <c r="Z1596" t="str">
        <f>HYPERLINK("Melting_Curves/meltCurve_sp_Q15393_SF3B3_HUMAN_.pdf", "Melting_Curves/meltCurve_sp_Q15393_SF3B3_HUMAN_.pdf")</f>
        <v>Melting_Curves/meltCurve_sp_Q15393_SF3B3_HUMAN_.pdf</v>
      </c>
      <c r="AA1596" t="s">
        <v>12453</v>
      </c>
      <c r="AB1596" t="s">
        <v>16021</v>
      </c>
    </row>
    <row r="1597" spans="1:28" x14ac:dyDescent="0.25">
      <c r="A1597" t="s">
        <v>1601</v>
      </c>
      <c r="B1597">
        <v>0.98018197421672304</v>
      </c>
      <c r="C1597">
        <v>0.95280885593308295</v>
      </c>
      <c r="D1597">
        <v>0.88860237866562997</v>
      </c>
      <c r="E1597">
        <v>0.74755603554685401</v>
      </c>
      <c r="F1597">
        <v>0.74994667934980896</v>
      </c>
      <c r="G1597">
        <v>0.44702907837681399</v>
      </c>
      <c r="H1597">
        <v>0.20066936097683</v>
      </c>
      <c r="I1597">
        <v>0.112431588436534</v>
      </c>
      <c r="J1597">
        <v>8.3871913984454802E-2</v>
      </c>
      <c r="K1597">
        <v>4.7532655262905399E-2</v>
      </c>
      <c r="L1597">
        <v>757.93485715785096</v>
      </c>
      <c r="M1597">
        <v>13.6172756208795</v>
      </c>
      <c r="N1597">
        <v>55.659803352092901</v>
      </c>
      <c r="O1597">
        <v>54.500592912966503</v>
      </c>
      <c r="P1597">
        <v>-6.2473098036833402E-2</v>
      </c>
      <c r="Q1597">
        <v>0</v>
      </c>
      <c r="R1597">
        <v>0.98458605268792199</v>
      </c>
      <c r="S1597" t="s">
        <v>5226</v>
      </c>
      <c r="T1597" t="s">
        <v>7256</v>
      </c>
      <c r="U1597" t="s">
        <v>7256</v>
      </c>
      <c r="V1597" t="s">
        <v>7256</v>
      </c>
      <c r="W1597">
        <v>9</v>
      </c>
      <c r="X1597" t="s">
        <v>8853</v>
      </c>
      <c r="Y1597">
        <v>0.54184143441098576</v>
      </c>
      <c r="Z1597" t="str">
        <f>HYPERLINK("Melting_Curves/meltCurve_sp_Q15404_RSU1_HUMAN_.pdf", "Melting_Curves/meltCurve_sp_Q15404_RSU1_HUMAN_.pdf")</f>
        <v>Melting_Curves/meltCurve_sp_Q15404_RSU1_HUMAN_.pdf</v>
      </c>
      <c r="AA1597" t="s">
        <v>12454</v>
      </c>
      <c r="AB1597" t="s">
        <v>16022</v>
      </c>
    </row>
    <row r="1598" spans="1:28" x14ac:dyDescent="0.25">
      <c r="A1598" t="s">
        <v>1602</v>
      </c>
      <c r="B1598">
        <v>0.98018197421672304</v>
      </c>
      <c r="C1598">
        <v>1.21346472315218</v>
      </c>
      <c r="D1598">
        <v>1.10193349630779</v>
      </c>
      <c r="E1598">
        <v>0.87773233533772599</v>
      </c>
      <c r="F1598">
        <v>0.72187380163593196</v>
      </c>
      <c r="G1598">
        <v>0.36232149486416898</v>
      </c>
      <c r="H1598">
        <v>0.28114121898087702</v>
      </c>
      <c r="I1598">
        <v>0.26911431074770298</v>
      </c>
      <c r="J1598">
        <v>0.30306599073137702</v>
      </c>
      <c r="K1598">
        <v>0.40650794862717998</v>
      </c>
      <c r="L1598">
        <v>1806.8001568217501</v>
      </c>
      <c r="M1598">
        <v>33.859329908987398</v>
      </c>
      <c r="N1598">
        <v>54.927218106796303</v>
      </c>
      <c r="O1598">
        <v>53.176837560016402</v>
      </c>
      <c r="P1598">
        <v>-0.109918110130883</v>
      </c>
      <c r="Q1598">
        <v>0.30948714142706502</v>
      </c>
      <c r="R1598">
        <v>0.93971729160678097</v>
      </c>
      <c r="S1598" t="s">
        <v>5227</v>
      </c>
      <c r="T1598" t="s">
        <v>7256</v>
      </c>
      <c r="U1598" t="s">
        <v>7256</v>
      </c>
      <c r="V1598" t="s">
        <v>7256</v>
      </c>
      <c r="W1598">
        <v>8</v>
      </c>
      <c r="X1598" t="s">
        <v>8854</v>
      </c>
      <c r="Y1598">
        <v>0.62058738433771288</v>
      </c>
      <c r="Z1598" t="str">
        <f>HYPERLINK("Melting_Curves/meltCurve_sp_Q15417_CNN3_HUMAN_.pdf", "Melting_Curves/meltCurve_sp_Q15417_CNN3_HUMAN_.pdf")</f>
        <v>Melting_Curves/meltCurve_sp_Q15417_CNN3_HUMAN_.pdf</v>
      </c>
      <c r="AA1598" t="s">
        <v>12455</v>
      </c>
      <c r="AB1598" t="s">
        <v>16023</v>
      </c>
    </row>
    <row r="1599" spans="1:28" x14ac:dyDescent="0.25">
      <c r="A1599" t="s">
        <v>1603</v>
      </c>
      <c r="B1599">
        <v>0.98018197421672304</v>
      </c>
      <c r="C1599">
        <v>0.97734965432916199</v>
      </c>
      <c r="D1599">
        <v>0.87924730219398695</v>
      </c>
      <c r="E1599">
        <v>0.75245265854725996</v>
      </c>
      <c r="F1599">
        <v>0.65285777935767397</v>
      </c>
      <c r="G1599">
        <v>0.49262653857127098</v>
      </c>
      <c r="H1599">
        <v>0.39669792757669398</v>
      </c>
      <c r="I1599">
        <v>0.41355118092700899</v>
      </c>
      <c r="J1599">
        <v>0.48349790355616301</v>
      </c>
      <c r="K1599">
        <v>0.53583333335704197</v>
      </c>
      <c r="L1599">
        <v>872.21670505326904</v>
      </c>
      <c r="M1599">
        <v>17.294665548730599</v>
      </c>
      <c r="N1599">
        <v>57.9635704952087</v>
      </c>
      <c r="O1599">
        <v>49.772917132401403</v>
      </c>
      <c r="P1599">
        <v>-4.8028369252377197E-2</v>
      </c>
      <c r="Q1599">
        <v>0.44714196576100201</v>
      </c>
      <c r="R1599">
        <v>0.95830944662810902</v>
      </c>
      <c r="S1599" t="s">
        <v>5228</v>
      </c>
      <c r="T1599" t="s">
        <v>7256</v>
      </c>
      <c r="U1599" t="s">
        <v>7256</v>
      </c>
      <c r="V1599" t="s">
        <v>7256</v>
      </c>
      <c r="W1599">
        <v>7</v>
      </c>
      <c r="X1599" t="s">
        <v>8855</v>
      </c>
      <c r="Y1599">
        <v>0.64949720224095586</v>
      </c>
      <c r="Z1599" t="str">
        <f>HYPERLINK("Melting_Curves/meltCurve_sp_Q15424_SAFB1_HUMAN_.pdf", "Melting_Curves/meltCurve_sp_Q15424_SAFB1_HUMAN_.pdf")</f>
        <v>Melting_Curves/meltCurve_sp_Q15424_SAFB1_HUMAN_.pdf</v>
      </c>
      <c r="AA1599" t="s">
        <v>12456</v>
      </c>
      <c r="AB1599" t="s">
        <v>16024</v>
      </c>
    </row>
    <row r="1600" spans="1:28" x14ac:dyDescent="0.25">
      <c r="A1600" t="s">
        <v>1604</v>
      </c>
      <c r="B1600">
        <v>0.98018197421672304</v>
      </c>
      <c r="C1600">
        <v>0.87938127587098303</v>
      </c>
      <c r="D1600">
        <v>0.85727829026743796</v>
      </c>
      <c r="E1600">
        <v>0.69656251084728105</v>
      </c>
      <c r="F1600">
        <v>0.56598512541851898</v>
      </c>
      <c r="G1600">
        <v>0.33435079689040198</v>
      </c>
      <c r="H1600">
        <v>0.26899977680521298</v>
      </c>
      <c r="I1600">
        <v>0.21762804438887401</v>
      </c>
      <c r="J1600">
        <v>0.15985726701252601</v>
      </c>
      <c r="K1600">
        <v>0.116149539633363</v>
      </c>
      <c r="L1600">
        <v>533.72150190924799</v>
      </c>
      <c r="M1600">
        <v>9.9667546908772007</v>
      </c>
      <c r="N1600">
        <v>54.021704276779197</v>
      </c>
      <c r="O1600">
        <v>51.528236954381399</v>
      </c>
      <c r="P1600">
        <v>-4.6364167937318998E-2</v>
      </c>
      <c r="Q1600">
        <v>4.1658949514102497E-2</v>
      </c>
      <c r="R1600">
        <v>0.99411643631208002</v>
      </c>
      <c r="S1600" t="s">
        <v>5229</v>
      </c>
      <c r="T1600" t="s">
        <v>7256</v>
      </c>
      <c r="U1600" t="s">
        <v>7256</v>
      </c>
      <c r="V1600" t="s">
        <v>7256</v>
      </c>
      <c r="W1600">
        <v>1</v>
      </c>
      <c r="X1600" t="s">
        <v>8856</v>
      </c>
      <c r="Y1600">
        <v>0.50530647020478692</v>
      </c>
      <c r="Z1600" t="str">
        <f>HYPERLINK("Melting_Curves/meltCurve_sp_Q15427_SF3B4_HUMAN_.pdf", "Melting_Curves/meltCurve_sp_Q15427_SF3B4_HUMAN_.pdf")</f>
        <v>Melting_Curves/meltCurve_sp_Q15427_SF3B4_HUMAN_.pdf</v>
      </c>
      <c r="AA1600" t="s">
        <v>12457</v>
      </c>
      <c r="AB1600" t="s">
        <v>16025</v>
      </c>
    </row>
    <row r="1601" spans="1:28" x14ac:dyDescent="0.25">
      <c r="A1601" t="s">
        <v>1605</v>
      </c>
      <c r="B1601">
        <v>0.98018197421672304</v>
      </c>
      <c r="C1601">
        <v>0.854147763502352</v>
      </c>
      <c r="D1601">
        <v>0.99580705788343804</v>
      </c>
      <c r="E1601">
        <v>0.545667094730936</v>
      </c>
      <c r="F1601">
        <v>0.30319311587466702</v>
      </c>
      <c r="G1601">
        <v>0.22518363158324001</v>
      </c>
      <c r="H1601">
        <v>0.17504498654428499</v>
      </c>
      <c r="I1601">
        <v>0.14932989949108699</v>
      </c>
      <c r="J1601">
        <v>0.194287441102754</v>
      </c>
      <c r="K1601">
        <v>0.18669129254306799</v>
      </c>
      <c r="L1601">
        <v>1578.8607750926999</v>
      </c>
      <c r="M1601">
        <v>31.7137983390617</v>
      </c>
      <c r="N1601">
        <v>50.5141261815142</v>
      </c>
      <c r="O1601">
        <v>49.587968667505002</v>
      </c>
      <c r="P1601">
        <v>-0.130513325583658</v>
      </c>
      <c r="Q1601">
        <v>0.183717215958692</v>
      </c>
      <c r="R1601">
        <v>0.97714176183027601</v>
      </c>
      <c r="S1601" t="s">
        <v>5230</v>
      </c>
      <c r="T1601" t="s">
        <v>7256</v>
      </c>
      <c r="U1601" t="s">
        <v>7256</v>
      </c>
      <c r="V1601" t="s">
        <v>7256</v>
      </c>
      <c r="W1601">
        <v>1</v>
      </c>
      <c r="X1601" t="s">
        <v>8857</v>
      </c>
      <c r="Y1601">
        <v>0.45444754075479371</v>
      </c>
      <c r="Z1601" t="str">
        <f>HYPERLINK("Melting_Curves/meltCurve_sp_Q15428_SF3A2_HUMAN_.pdf", "Melting_Curves/meltCurve_sp_Q15428_SF3A2_HUMAN_.pdf")</f>
        <v>Melting_Curves/meltCurve_sp_Q15428_SF3A2_HUMAN_.pdf</v>
      </c>
      <c r="AA1601" t="s">
        <v>12458</v>
      </c>
      <c r="AB1601" t="s">
        <v>16026</v>
      </c>
    </row>
    <row r="1602" spans="1:28" x14ac:dyDescent="0.25">
      <c r="A1602" t="s">
        <v>1606</v>
      </c>
      <c r="B1602">
        <v>0.98018197421672304</v>
      </c>
      <c r="C1602">
        <v>1.0234092520842599</v>
      </c>
      <c r="D1602">
        <v>0.98126949590800305</v>
      </c>
      <c r="E1602">
        <v>0.70804955057087804</v>
      </c>
      <c r="F1602">
        <v>0.33788106896541598</v>
      </c>
      <c r="G1602">
        <v>0.18372135818073801</v>
      </c>
      <c r="H1602">
        <v>9.2587324449594097E-2</v>
      </c>
      <c r="I1602">
        <v>4.5753124947744001E-2</v>
      </c>
      <c r="J1602">
        <v>4.0724762459002598E-2</v>
      </c>
      <c r="K1602">
        <v>3.0286969996314399E-2</v>
      </c>
      <c r="L1602">
        <v>1290.91823951526</v>
      </c>
      <c r="M1602">
        <v>25.043493532387899</v>
      </c>
      <c r="N1602">
        <v>51.775238157841002</v>
      </c>
      <c r="O1602">
        <v>51.221752389033099</v>
      </c>
      <c r="P1602">
        <v>-0.115845896167767</v>
      </c>
      <c r="Q1602">
        <v>5.2248848108295401E-2</v>
      </c>
      <c r="R1602">
        <v>0.995791771509143</v>
      </c>
      <c r="S1602" t="s">
        <v>5231</v>
      </c>
      <c r="T1602" t="s">
        <v>7256</v>
      </c>
      <c r="U1602" t="s">
        <v>7256</v>
      </c>
      <c r="V1602" t="s">
        <v>7256</v>
      </c>
      <c r="W1602">
        <v>14</v>
      </c>
      <c r="X1602" t="s">
        <v>8858</v>
      </c>
      <c r="Y1602">
        <v>0.42562318895995072</v>
      </c>
      <c r="Z1602" t="str">
        <f>HYPERLINK("Melting_Curves/meltCurve_sp_Q15435_PP1R7_HUMAN_.pdf", "Melting_Curves/meltCurve_sp_Q15435_PP1R7_HUMAN_.pdf")</f>
        <v>Melting_Curves/meltCurve_sp_Q15435_PP1R7_HUMAN_.pdf</v>
      </c>
      <c r="AA1602" t="s">
        <v>12459</v>
      </c>
      <c r="AB1602" t="s">
        <v>16027</v>
      </c>
    </row>
    <row r="1603" spans="1:28" x14ac:dyDescent="0.25">
      <c r="A1603" t="s">
        <v>1607</v>
      </c>
      <c r="B1603">
        <v>0.98018197421672304</v>
      </c>
      <c r="C1603">
        <v>0.935920797537663</v>
      </c>
      <c r="D1603">
        <v>0.85769219298967703</v>
      </c>
      <c r="E1603">
        <v>0.61297356861952701</v>
      </c>
      <c r="F1603">
        <v>0.33153074517739201</v>
      </c>
      <c r="G1603">
        <v>0.22573030540883801</v>
      </c>
      <c r="H1603">
        <v>7.3593469119710306E-2</v>
      </c>
      <c r="I1603">
        <v>5.1744853654472102E-2</v>
      </c>
      <c r="J1603">
        <v>4.3957990558953802E-2</v>
      </c>
      <c r="K1603">
        <v>3.6636815458961101E-2</v>
      </c>
      <c r="L1603">
        <v>795.14938246649297</v>
      </c>
      <c r="M1603">
        <v>15.565708076174801</v>
      </c>
      <c r="N1603">
        <v>51.208903145417601</v>
      </c>
      <c r="O1603">
        <v>50.262560204766601</v>
      </c>
      <c r="P1603">
        <v>-7.5979734435253105E-2</v>
      </c>
      <c r="Q1603">
        <v>1.8714141610028101E-2</v>
      </c>
      <c r="R1603">
        <v>0.99639705986978</v>
      </c>
      <c r="S1603" t="s">
        <v>5232</v>
      </c>
      <c r="T1603" t="s">
        <v>7256</v>
      </c>
      <c r="U1603" t="s">
        <v>7256</v>
      </c>
      <c r="V1603" t="s">
        <v>7256</v>
      </c>
      <c r="W1603">
        <v>10</v>
      </c>
      <c r="X1603" t="s">
        <v>8859</v>
      </c>
      <c r="Y1603">
        <v>0.40251163105695947</v>
      </c>
      <c r="Z1603" t="str">
        <f>HYPERLINK("Melting_Curves/meltCurve_sp_Q15437_SC23B_HUMAN_.pdf", "Melting_Curves/meltCurve_sp_Q15437_SC23B_HUMAN_.pdf")</f>
        <v>Melting_Curves/meltCurve_sp_Q15437_SC23B_HUMAN_.pdf</v>
      </c>
      <c r="AA1603" t="s">
        <v>12460</v>
      </c>
      <c r="AB1603" t="s">
        <v>16028</v>
      </c>
    </row>
    <row r="1604" spans="1:28" x14ac:dyDescent="0.25">
      <c r="A1604" t="s">
        <v>1608</v>
      </c>
      <c r="B1604">
        <v>0.98018197421672304</v>
      </c>
      <c r="C1604">
        <v>1.06878383050405</v>
      </c>
      <c r="D1604">
        <v>0.97143734645283697</v>
      </c>
      <c r="E1604">
        <v>0.62940367986950596</v>
      </c>
      <c r="F1604">
        <v>0.32314479258643197</v>
      </c>
      <c r="G1604">
        <v>0.15952318785328001</v>
      </c>
      <c r="H1604">
        <v>0.124930669379562</v>
      </c>
      <c r="I1604">
        <v>9.7818802322574006E-2</v>
      </c>
      <c r="J1604">
        <v>0.112494782769909</v>
      </c>
      <c r="K1604">
        <v>0.102451309748741</v>
      </c>
      <c r="L1604">
        <v>1427.3718824559101</v>
      </c>
      <c r="M1604">
        <v>28.143178880184099</v>
      </c>
      <c r="N1604">
        <v>51.169468344635099</v>
      </c>
      <c r="O1604">
        <v>50.464219125043201</v>
      </c>
      <c r="P1604">
        <v>-0.124101359002682</v>
      </c>
      <c r="Q1604">
        <v>0.109890911355812</v>
      </c>
      <c r="R1604">
        <v>0.99547028855918895</v>
      </c>
      <c r="S1604" t="s">
        <v>5233</v>
      </c>
      <c r="T1604" t="s">
        <v>7256</v>
      </c>
      <c r="U1604" t="s">
        <v>7256</v>
      </c>
      <c r="V1604" t="s">
        <v>7256</v>
      </c>
      <c r="W1604">
        <v>9</v>
      </c>
      <c r="X1604" t="s">
        <v>8860</v>
      </c>
      <c r="Y1604">
        <v>0.43423579956270703</v>
      </c>
      <c r="Z1604" t="str">
        <f>HYPERLINK("Melting_Curves/meltCurve_sp_Q15459_SF3A1_HUMAN_.pdf", "Melting_Curves/meltCurve_sp_Q15459_SF3A1_HUMAN_.pdf")</f>
        <v>Melting_Curves/meltCurve_sp_Q15459_SF3A1_HUMAN_.pdf</v>
      </c>
      <c r="AA1604" t="s">
        <v>12461</v>
      </c>
      <c r="AB1604" t="s">
        <v>16029</v>
      </c>
    </row>
    <row r="1605" spans="1:28" x14ac:dyDescent="0.25">
      <c r="A1605" t="s">
        <v>1609</v>
      </c>
      <c r="B1605">
        <v>0.98018197421672304</v>
      </c>
      <c r="C1605">
        <v>0.72725297577061299</v>
      </c>
      <c r="D1605">
        <v>0.47112563474229702</v>
      </c>
      <c r="E1605">
        <v>0.279758086709257</v>
      </c>
      <c r="F1605">
        <v>0.17803973989357999</v>
      </c>
      <c r="G1605">
        <v>9.7135750702169205E-2</v>
      </c>
      <c r="H1605">
        <v>8.3854322114732704E-2</v>
      </c>
      <c r="I1605">
        <v>5.8558958168145901E-2</v>
      </c>
      <c r="J1605">
        <v>0.12530694541965601</v>
      </c>
      <c r="K1605">
        <v>5.2862896497603902E-2</v>
      </c>
      <c r="L1605">
        <v>754.00426653705404</v>
      </c>
      <c r="M1605">
        <v>16.572266712213601</v>
      </c>
      <c r="N1605">
        <v>45.966259090238701</v>
      </c>
      <c r="O1605">
        <v>44.850957408214903</v>
      </c>
      <c r="P1605">
        <v>-8.5204523713813499E-2</v>
      </c>
      <c r="Q1605">
        <v>7.76777200058439E-2</v>
      </c>
      <c r="R1605">
        <v>0.98849583299334898</v>
      </c>
      <c r="S1605" t="s">
        <v>5234</v>
      </c>
      <c r="T1605" t="s">
        <v>7256</v>
      </c>
      <c r="U1605" t="s">
        <v>7256</v>
      </c>
      <c r="V1605" t="s">
        <v>7256</v>
      </c>
      <c r="W1605">
        <v>8</v>
      </c>
      <c r="X1605" t="s">
        <v>8861</v>
      </c>
      <c r="Y1605">
        <v>0.26942895857139681</v>
      </c>
      <c r="Z1605" t="str">
        <f>HYPERLINK("Melting_Curves/meltCurve_sp_Q15477_SKIV2_HUMAN_.pdf", "Melting_Curves/meltCurve_sp_Q15477_SKIV2_HUMAN_.pdf")</f>
        <v>Melting_Curves/meltCurve_sp_Q15477_SKIV2_HUMAN_.pdf</v>
      </c>
      <c r="AA1605" t="s">
        <v>12462</v>
      </c>
      <c r="AB1605" t="s">
        <v>16030</v>
      </c>
    </row>
    <row r="1606" spans="1:28" x14ac:dyDescent="0.25">
      <c r="A1606" t="s">
        <v>1610</v>
      </c>
      <c r="B1606">
        <v>0.98018197421672304</v>
      </c>
      <c r="C1606">
        <v>1.00615592876136</v>
      </c>
      <c r="D1606">
        <v>0.97701058676569996</v>
      </c>
      <c r="E1606">
        <v>0.85322692478636897</v>
      </c>
      <c r="F1606">
        <v>0.91345204604611596</v>
      </c>
      <c r="G1606">
        <v>0.83904328333492495</v>
      </c>
      <c r="H1606">
        <v>0.52459665397220701</v>
      </c>
      <c r="I1606">
        <v>0.47231764303245</v>
      </c>
      <c r="J1606">
        <v>0.27480836395935798</v>
      </c>
      <c r="K1606">
        <v>0.133259043736071</v>
      </c>
      <c r="L1606">
        <v>861.45446773738695</v>
      </c>
      <c r="M1606">
        <v>13.8185299341618</v>
      </c>
      <c r="N1606">
        <v>62.340529125688697</v>
      </c>
      <c r="O1606">
        <v>61.078493217180998</v>
      </c>
      <c r="P1606">
        <v>-5.6568433749861299E-2</v>
      </c>
      <c r="Q1606">
        <v>0</v>
      </c>
      <c r="R1606">
        <v>0.97248298305315095</v>
      </c>
      <c r="S1606" t="s">
        <v>5235</v>
      </c>
      <c r="T1606" t="s">
        <v>7256</v>
      </c>
      <c r="U1606" t="s">
        <v>7256</v>
      </c>
      <c r="V1606" t="s">
        <v>7256</v>
      </c>
      <c r="W1606">
        <v>25</v>
      </c>
      <c r="X1606" t="s">
        <v>8862</v>
      </c>
      <c r="Y1606">
        <v>0.73688549619960242</v>
      </c>
      <c r="Z1606" t="str">
        <f>HYPERLINK("Melting_Curves/meltCurve_sp_Q15493_RGN_HUMAN_.pdf", "Melting_Curves/meltCurve_sp_Q15493_RGN_HUMAN_.pdf")</f>
        <v>Melting_Curves/meltCurve_sp_Q15493_RGN_HUMAN_.pdf</v>
      </c>
      <c r="AA1606" t="s">
        <v>12463</v>
      </c>
      <c r="AB1606" t="s">
        <v>16031</v>
      </c>
    </row>
    <row r="1607" spans="1:28" x14ac:dyDescent="0.25">
      <c r="A1607" t="s">
        <v>1611</v>
      </c>
      <c r="B1607">
        <v>0.98018197421672304</v>
      </c>
      <c r="C1607">
        <v>0.84158673763838199</v>
      </c>
      <c r="D1607">
        <v>0.94179319711736298</v>
      </c>
      <c r="E1607">
        <v>0.886900560103285</v>
      </c>
      <c r="F1607">
        <v>0.88433408605077302</v>
      </c>
      <c r="G1607">
        <v>0.83797493765235498</v>
      </c>
      <c r="H1607">
        <v>0.632640550119145</v>
      </c>
      <c r="I1607">
        <v>0.57280580809444304</v>
      </c>
      <c r="J1607">
        <v>0.72910848858747901</v>
      </c>
      <c r="K1607">
        <v>0.87021829748584101</v>
      </c>
      <c r="L1607">
        <v>426.12253810868202</v>
      </c>
      <c r="M1607">
        <v>8.2963399928373001</v>
      </c>
      <c r="O1607">
        <v>48.6380593087083</v>
      </c>
      <c r="P1607">
        <v>-1.35628881320608E-2</v>
      </c>
      <c r="Q1607">
        <v>0.68225887754797498</v>
      </c>
      <c r="R1607">
        <v>0.45960306279707602</v>
      </c>
      <c r="S1607" t="s">
        <v>5236</v>
      </c>
      <c r="T1607" t="s">
        <v>7256</v>
      </c>
      <c r="U1607" t="s">
        <v>7256</v>
      </c>
      <c r="V1607" t="s">
        <v>7256</v>
      </c>
      <c r="W1607">
        <v>1</v>
      </c>
      <c r="X1607" t="s">
        <v>8863</v>
      </c>
      <c r="Y1607">
        <v>0.81828259657916758</v>
      </c>
      <c r="Z1607" t="str">
        <f>HYPERLINK("Melting_Curves/meltCurve_sp_Q15526_2_SURF1_HUMAN_.pdf", "Melting_Curves/meltCurve_sp_Q15526_2_SURF1_HUMAN_.pdf")</f>
        <v>Melting_Curves/meltCurve_sp_Q15526_2_SURF1_HUMAN_.pdf</v>
      </c>
      <c r="AA1607" t="s">
        <v>12464</v>
      </c>
      <c r="AB1607" t="s">
        <v>16032</v>
      </c>
    </row>
    <row r="1608" spans="1:28" x14ac:dyDescent="0.25">
      <c r="A1608" t="s">
        <v>1612</v>
      </c>
      <c r="B1608">
        <v>0.98018197421672304</v>
      </c>
      <c r="C1608">
        <v>0.96823203754604303</v>
      </c>
      <c r="D1608">
        <v>0.80479797863656899</v>
      </c>
      <c r="E1608">
        <v>0.49167304588518401</v>
      </c>
      <c r="F1608">
        <v>0.39728629760695</v>
      </c>
      <c r="G1608">
        <v>0.312081006473236</v>
      </c>
      <c r="H1608">
        <v>0.25677800564169001</v>
      </c>
      <c r="I1608">
        <v>0.26557516959195598</v>
      </c>
      <c r="J1608">
        <v>0.30348068525477001</v>
      </c>
      <c r="K1608">
        <v>0.37150174341345499</v>
      </c>
      <c r="L1608">
        <v>1088.5636191887299</v>
      </c>
      <c r="M1608">
        <v>22.687787679120699</v>
      </c>
      <c r="N1608">
        <v>49.994220239053</v>
      </c>
      <c r="O1608">
        <v>47.612082318804298</v>
      </c>
      <c r="P1608">
        <v>-8.3445942921863803E-2</v>
      </c>
      <c r="Q1608">
        <v>0.29954299569242898</v>
      </c>
      <c r="R1608">
        <v>0.98703818854510195</v>
      </c>
      <c r="S1608" t="s">
        <v>5237</v>
      </c>
      <c r="T1608" t="s">
        <v>7256</v>
      </c>
      <c r="U1608" t="s">
        <v>7256</v>
      </c>
      <c r="V1608" t="s">
        <v>7256</v>
      </c>
      <c r="W1608">
        <v>6</v>
      </c>
      <c r="X1608" t="s">
        <v>8864</v>
      </c>
      <c r="Y1608">
        <v>0.4934812996153391</v>
      </c>
      <c r="Z1608" t="str">
        <f>HYPERLINK("Melting_Curves/meltCurve_sp_Q15555_4_MARE2_HUMAN_.pdf", "Melting_Curves/meltCurve_sp_Q15555_4_MARE2_HUMAN_.pdf")</f>
        <v>Melting_Curves/meltCurve_sp_Q15555_4_MARE2_HUMAN_.pdf</v>
      </c>
      <c r="AA1608" t="s">
        <v>12465</v>
      </c>
      <c r="AB1608" t="s">
        <v>16033</v>
      </c>
    </row>
    <row r="1609" spans="1:28" x14ac:dyDescent="0.25">
      <c r="A1609" t="s">
        <v>1613</v>
      </c>
      <c r="B1609">
        <v>0.98018197421672304</v>
      </c>
      <c r="C1609">
        <v>0.90739044003107605</v>
      </c>
      <c r="D1609">
        <v>0.76852804074451597</v>
      </c>
      <c r="E1609">
        <v>0.67076858669989603</v>
      </c>
      <c r="F1609">
        <v>0.52381292437084204</v>
      </c>
      <c r="G1609">
        <v>0.33376304197734702</v>
      </c>
      <c r="H1609">
        <v>0.26197860480983298</v>
      </c>
      <c r="I1609">
        <v>0.20689774426542401</v>
      </c>
      <c r="J1609">
        <v>0.19758752661956799</v>
      </c>
      <c r="K1609">
        <v>0.22129271032866199</v>
      </c>
      <c r="L1609">
        <v>561.49542698076505</v>
      </c>
      <c r="M1609">
        <v>10.922358205874501</v>
      </c>
      <c r="N1609">
        <v>53.007836190385703</v>
      </c>
      <c r="O1609">
        <v>49.774734038012703</v>
      </c>
      <c r="P1609">
        <v>-4.7172026191714997E-2</v>
      </c>
      <c r="Q1609">
        <v>0.14041961281566301</v>
      </c>
      <c r="R1609">
        <v>0.991952783489222</v>
      </c>
      <c r="S1609" t="s">
        <v>5238</v>
      </c>
      <c r="T1609" t="s">
        <v>7256</v>
      </c>
      <c r="U1609" t="s">
        <v>7256</v>
      </c>
      <c r="V1609" t="s">
        <v>7256</v>
      </c>
      <c r="W1609">
        <v>2</v>
      </c>
      <c r="X1609" t="s">
        <v>8865</v>
      </c>
      <c r="Y1609">
        <v>0.49824421997410362</v>
      </c>
      <c r="Z1609" t="str">
        <f>HYPERLINK("Melting_Curves/meltCurve_sp_Q15596_NCOA2_HUMAN_.pdf", "Melting_Curves/meltCurve_sp_Q15596_NCOA2_HUMAN_.pdf")</f>
        <v>Melting_Curves/meltCurve_sp_Q15596_NCOA2_HUMAN_.pdf</v>
      </c>
      <c r="AA1609" t="s">
        <v>12466</v>
      </c>
      <c r="AB1609" t="s">
        <v>16034</v>
      </c>
    </row>
    <row r="1610" spans="1:28" x14ac:dyDescent="0.25">
      <c r="A1610" t="s">
        <v>1614</v>
      </c>
      <c r="B1610">
        <v>0.98018197421672304</v>
      </c>
      <c r="C1610">
        <v>0.94189717598484002</v>
      </c>
      <c r="D1610">
        <v>0.91305668825652098</v>
      </c>
      <c r="E1610">
        <v>0.79345179281442202</v>
      </c>
      <c r="F1610">
        <v>0.73036943296725898</v>
      </c>
      <c r="G1610">
        <v>0.54186689475890903</v>
      </c>
      <c r="H1610">
        <v>0.43772743446715001</v>
      </c>
      <c r="I1610">
        <v>0.42893730527586099</v>
      </c>
      <c r="J1610">
        <v>0.51709182106840001</v>
      </c>
      <c r="K1610">
        <v>0.52640851186015403</v>
      </c>
      <c r="L1610">
        <v>819.10859464978205</v>
      </c>
      <c r="M1610">
        <v>15.8529429783552</v>
      </c>
      <c r="N1610">
        <v>61.374306476423698</v>
      </c>
      <c r="O1610">
        <v>50.867979008296501</v>
      </c>
      <c r="P1610">
        <v>-4.2135464041804502E-2</v>
      </c>
      <c r="Q1610">
        <v>0.45923697561624399</v>
      </c>
      <c r="R1610">
        <v>0.95726045749404498</v>
      </c>
      <c r="S1610" t="s">
        <v>5239</v>
      </c>
      <c r="T1610" t="s">
        <v>7256</v>
      </c>
      <c r="U1610" t="s">
        <v>7256</v>
      </c>
      <c r="V1610" t="s">
        <v>7256</v>
      </c>
      <c r="W1610">
        <v>12</v>
      </c>
      <c r="X1610" t="s">
        <v>8866</v>
      </c>
      <c r="Y1610">
        <v>0.68077164048438343</v>
      </c>
      <c r="Z1610" t="str">
        <f>HYPERLINK("Melting_Curves/meltCurve_sp_Q15599_NHRF2_HUMAN_.pdf", "Melting_Curves/meltCurve_sp_Q15599_NHRF2_HUMAN_.pdf")</f>
        <v>Melting_Curves/meltCurve_sp_Q15599_NHRF2_HUMAN_.pdf</v>
      </c>
      <c r="AA1610" t="s">
        <v>12467</v>
      </c>
      <c r="AB1610" t="s">
        <v>16035</v>
      </c>
    </row>
    <row r="1611" spans="1:28" x14ac:dyDescent="0.25">
      <c r="A1611" t="s">
        <v>1615</v>
      </c>
      <c r="B1611">
        <v>0.98018197421672304</v>
      </c>
      <c r="C1611">
        <v>1.01037031053685</v>
      </c>
      <c r="D1611">
        <v>0.93390507993901295</v>
      </c>
      <c r="E1611">
        <v>0.77749429215021104</v>
      </c>
      <c r="F1611">
        <v>0.63187612815612104</v>
      </c>
      <c r="G1611">
        <v>0.41307464224165502</v>
      </c>
      <c r="H1611">
        <v>0.42829904967708998</v>
      </c>
      <c r="I1611">
        <v>0.43113316022996501</v>
      </c>
      <c r="J1611">
        <v>0.53578127057537495</v>
      </c>
      <c r="K1611">
        <v>0.48353816111255998</v>
      </c>
      <c r="L1611">
        <v>1306.013764846</v>
      </c>
      <c r="M1611">
        <v>25.718186232916999</v>
      </c>
      <c r="N1611">
        <v>56.065630290643199</v>
      </c>
      <c r="O1611">
        <v>50.477682015547799</v>
      </c>
      <c r="P1611">
        <v>-6.9329452525440594E-2</v>
      </c>
      <c r="Q1611">
        <v>0.45570848948522003</v>
      </c>
      <c r="R1611">
        <v>0.96713384952680403</v>
      </c>
      <c r="S1611" t="s">
        <v>5240</v>
      </c>
      <c r="T1611" t="s">
        <v>7256</v>
      </c>
      <c r="U1611" t="s">
        <v>7256</v>
      </c>
      <c r="V1611" t="s">
        <v>7256</v>
      </c>
      <c r="W1611">
        <v>9</v>
      </c>
      <c r="X1611" t="s">
        <v>8867</v>
      </c>
      <c r="Y1611">
        <v>0.65595965239934917</v>
      </c>
      <c r="Z1611" t="str">
        <f>HYPERLINK("Melting_Curves/meltCurve_sp_Q15637_5_SF01_HUMAN_.pdf", "Melting_Curves/meltCurve_sp_Q15637_5_SF01_HUMAN_.pdf")</f>
        <v>Melting_Curves/meltCurve_sp_Q15637_5_SF01_HUMAN_.pdf</v>
      </c>
      <c r="AA1611" t="s">
        <v>12468</v>
      </c>
      <c r="AB1611" t="s">
        <v>16036</v>
      </c>
    </row>
    <row r="1612" spans="1:28" x14ac:dyDescent="0.25">
      <c r="A1612" t="s">
        <v>1616</v>
      </c>
      <c r="B1612">
        <v>0.98018197421672304</v>
      </c>
      <c r="C1612">
        <v>0.82398402941487003</v>
      </c>
      <c r="D1612">
        <v>0.82925660478457897</v>
      </c>
      <c r="E1612">
        <v>0.53477688413380098</v>
      </c>
      <c r="F1612">
        <v>0.49418923985569602</v>
      </c>
      <c r="G1612">
        <v>0.32370333136940099</v>
      </c>
      <c r="H1612">
        <v>0.27554174990233998</v>
      </c>
      <c r="I1612">
        <v>0.24296288865755999</v>
      </c>
      <c r="J1612">
        <v>0.51016177633023896</v>
      </c>
      <c r="K1612">
        <v>0.23480354150990701</v>
      </c>
      <c r="L1612">
        <v>694.12357474371697</v>
      </c>
      <c r="M1612">
        <v>14.368360144157</v>
      </c>
      <c r="N1612">
        <v>51.502860569500498</v>
      </c>
      <c r="O1612">
        <v>47.402302307240603</v>
      </c>
      <c r="P1612">
        <v>-5.34400373718215E-2</v>
      </c>
      <c r="Q1612">
        <v>0.29487325543205201</v>
      </c>
      <c r="R1612">
        <v>0.89634892707832903</v>
      </c>
      <c r="S1612" t="s">
        <v>5241</v>
      </c>
      <c r="T1612" t="s">
        <v>7256</v>
      </c>
      <c r="U1612" t="s">
        <v>7256</v>
      </c>
      <c r="V1612" t="s">
        <v>7256</v>
      </c>
      <c r="W1612">
        <v>2</v>
      </c>
      <c r="X1612" t="s">
        <v>8868</v>
      </c>
      <c r="Y1612">
        <v>0.50961868313320824</v>
      </c>
      <c r="Z1612" t="str">
        <f>HYPERLINK("Melting_Curves/meltCurve_sp_Q15642_CIP4_HUMAN_.pdf", "Melting_Curves/meltCurve_sp_Q15642_CIP4_HUMAN_.pdf")</f>
        <v>Melting_Curves/meltCurve_sp_Q15642_CIP4_HUMAN_.pdf</v>
      </c>
      <c r="AA1612" t="s">
        <v>12469</v>
      </c>
      <c r="AB1612" t="s">
        <v>16037</v>
      </c>
    </row>
    <row r="1613" spans="1:28" x14ac:dyDescent="0.25">
      <c r="A1613" t="s">
        <v>1617</v>
      </c>
      <c r="B1613">
        <v>0.98018197421672304</v>
      </c>
      <c r="C1613">
        <v>0.958585147348199</v>
      </c>
      <c r="D1613">
        <v>0.88580452113803998</v>
      </c>
      <c r="E1613">
        <v>0.69472021172917697</v>
      </c>
      <c r="F1613">
        <v>0.475519506850688</v>
      </c>
      <c r="G1613">
        <v>0.27512887479176101</v>
      </c>
      <c r="H1613">
        <v>0.22101501997081899</v>
      </c>
      <c r="I1613">
        <v>0.219627507044931</v>
      </c>
      <c r="J1613">
        <v>0.23509786178479999</v>
      </c>
      <c r="K1613">
        <v>0.20874572513651601</v>
      </c>
      <c r="L1613">
        <v>946.82015106485903</v>
      </c>
      <c r="M1613">
        <v>18.550296755875799</v>
      </c>
      <c r="N1613">
        <v>52.489825761865198</v>
      </c>
      <c r="O1613">
        <v>50.458644522571802</v>
      </c>
      <c r="P1613">
        <v>-7.3493972915368702E-2</v>
      </c>
      <c r="Q1613">
        <v>0.200391500424667</v>
      </c>
      <c r="R1613">
        <v>0.99696802335450296</v>
      </c>
      <c r="S1613" t="s">
        <v>5242</v>
      </c>
      <c r="T1613" t="s">
        <v>7256</v>
      </c>
      <c r="U1613" t="s">
        <v>7256</v>
      </c>
      <c r="V1613" t="s">
        <v>7256</v>
      </c>
      <c r="W1613">
        <v>15</v>
      </c>
      <c r="X1613" t="s">
        <v>8869</v>
      </c>
      <c r="Y1613">
        <v>0.5074180909303273</v>
      </c>
      <c r="Z1613" t="str">
        <f>HYPERLINK("Melting_Curves/meltCurve_sp_Q15643_TRIPB_HUMAN_.pdf", "Melting_Curves/meltCurve_sp_Q15643_TRIPB_HUMAN_.pdf")</f>
        <v>Melting_Curves/meltCurve_sp_Q15643_TRIPB_HUMAN_.pdf</v>
      </c>
      <c r="AA1613" t="s">
        <v>12470</v>
      </c>
      <c r="AB1613" t="s">
        <v>16038</v>
      </c>
    </row>
    <row r="1614" spans="1:28" x14ac:dyDescent="0.25">
      <c r="A1614" t="s">
        <v>1618</v>
      </c>
      <c r="B1614">
        <v>0.98018197421672304</v>
      </c>
      <c r="C1614">
        <v>0.94087912790029604</v>
      </c>
      <c r="D1614">
        <v>0.85556930576575096</v>
      </c>
      <c r="E1614">
        <v>0.72733167934965004</v>
      </c>
      <c r="F1614">
        <v>0.57764591489175698</v>
      </c>
      <c r="G1614">
        <v>0.41274929849678599</v>
      </c>
      <c r="H1614">
        <v>0.37942799084866902</v>
      </c>
      <c r="I1614">
        <v>0.37806850387843399</v>
      </c>
      <c r="J1614">
        <v>0.445662099293201</v>
      </c>
      <c r="K1614">
        <v>0.509279904708278</v>
      </c>
      <c r="L1614">
        <v>877.67488146646804</v>
      </c>
      <c r="M1614">
        <v>17.662332689673001</v>
      </c>
      <c r="N1614">
        <v>55.122906662312097</v>
      </c>
      <c r="O1614">
        <v>49.068042403267597</v>
      </c>
      <c r="P1614">
        <v>-5.2893281587696399E-2</v>
      </c>
      <c r="Q1614">
        <v>0.41225632049371402</v>
      </c>
      <c r="R1614">
        <v>0.95847985630250498</v>
      </c>
      <c r="S1614" t="s">
        <v>5243</v>
      </c>
      <c r="T1614" t="s">
        <v>7256</v>
      </c>
      <c r="U1614" t="s">
        <v>7256</v>
      </c>
      <c r="V1614" t="s">
        <v>7256</v>
      </c>
      <c r="W1614">
        <v>6</v>
      </c>
      <c r="X1614" t="s">
        <v>8870</v>
      </c>
      <c r="Y1614">
        <v>0.61257347355365444</v>
      </c>
      <c r="Z1614" t="str">
        <f>HYPERLINK("Melting_Curves/meltCurve_sp_Q15654_TRIP6_HUMAN_.pdf", "Melting_Curves/meltCurve_sp_Q15654_TRIP6_HUMAN_.pdf")</f>
        <v>Melting_Curves/meltCurve_sp_Q15654_TRIP6_HUMAN_.pdf</v>
      </c>
      <c r="AA1614" t="s">
        <v>12471</v>
      </c>
      <c r="AB1614" t="s">
        <v>16039</v>
      </c>
    </row>
    <row r="1615" spans="1:28" x14ac:dyDescent="0.25">
      <c r="A1615" t="s">
        <v>1619</v>
      </c>
      <c r="B1615">
        <v>0.98018197421672304</v>
      </c>
      <c r="C1615">
        <v>1.0076616912082601</v>
      </c>
      <c r="D1615">
        <v>0.96490478415689995</v>
      </c>
      <c r="E1615">
        <v>0.80013059856328805</v>
      </c>
      <c r="F1615">
        <v>0.68986614913848998</v>
      </c>
      <c r="G1615">
        <v>0.36911855768329299</v>
      </c>
      <c r="H1615">
        <v>0.16608855081575599</v>
      </c>
      <c r="I1615">
        <v>0.16973617564572099</v>
      </c>
      <c r="J1615">
        <v>0.143362880999332</v>
      </c>
      <c r="K1615">
        <v>0.181686217275384</v>
      </c>
      <c r="L1615">
        <v>1044.57275238837</v>
      </c>
      <c r="M1615">
        <v>19.327851264354798</v>
      </c>
      <c r="N1615">
        <v>54.900488599137503</v>
      </c>
      <c r="O1615">
        <v>53.476369629402299</v>
      </c>
      <c r="P1615">
        <v>-7.8610438821961198E-2</v>
      </c>
      <c r="Q1615">
        <v>0.130033697248955</v>
      </c>
      <c r="R1615">
        <v>0.99280990961127102</v>
      </c>
      <c r="S1615" t="s">
        <v>5244</v>
      </c>
      <c r="T1615" t="s">
        <v>7256</v>
      </c>
      <c r="U1615" t="s">
        <v>7256</v>
      </c>
      <c r="V1615" t="s">
        <v>7256</v>
      </c>
      <c r="W1615">
        <v>7</v>
      </c>
      <c r="X1615" t="s">
        <v>8871</v>
      </c>
      <c r="Y1615">
        <v>0.54979534501852423</v>
      </c>
      <c r="Z1615" t="str">
        <f>HYPERLINK("Melting_Curves/meltCurve_sp_Q15691_MARE1_HUMAN_.pdf", "Melting_Curves/meltCurve_sp_Q15691_MARE1_HUMAN_.pdf")</f>
        <v>Melting_Curves/meltCurve_sp_Q15691_MARE1_HUMAN_.pdf</v>
      </c>
      <c r="AA1615" t="s">
        <v>12472</v>
      </c>
      <c r="AB1615" t="s">
        <v>16040</v>
      </c>
    </row>
    <row r="1616" spans="1:28" x14ac:dyDescent="0.25">
      <c r="A1616" t="s">
        <v>1620</v>
      </c>
      <c r="B1616">
        <v>0.98018197421672304</v>
      </c>
      <c r="C1616">
        <v>0.96740753926262602</v>
      </c>
      <c r="D1616">
        <v>0.91173846849204998</v>
      </c>
      <c r="E1616">
        <v>0.89731635239959395</v>
      </c>
      <c r="F1616">
        <v>0.74163704904679195</v>
      </c>
      <c r="G1616">
        <v>0.53814027813435295</v>
      </c>
      <c r="H1616">
        <v>0.56579107645992899</v>
      </c>
      <c r="I1616">
        <v>0.53484290304228299</v>
      </c>
      <c r="J1616">
        <v>0.61088528800306496</v>
      </c>
      <c r="K1616">
        <v>0.81223724489779903</v>
      </c>
      <c r="L1616">
        <v>1825.1898529299599</v>
      </c>
      <c r="M1616">
        <v>35.438793359996701</v>
      </c>
      <c r="O1616">
        <v>51.339428325003901</v>
      </c>
      <c r="P1616">
        <v>-6.6738392567276497E-2</v>
      </c>
      <c r="Q1616">
        <v>0.61327132238233195</v>
      </c>
      <c r="R1616">
        <v>0.78143462518748297</v>
      </c>
      <c r="S1616" t="s">
        <v>5245</v>
      </c>
      <c r="T1616" t="s">
        <v>7256</v>
      </c>
      <c r="U1616" t="s">
        <v>7256</v>
      </c>
      <c r="V1616" t="s">
        <v>7256</v>
      </c>
      <c r="W1616">
        <v>2</v>
      </c>
      <c r="X1616" t="s">
        <v>8872</v>
      </c>
      <c r="Y1616">
        <v>0.76330673490494627</v>
      </c>
      <c r="Z1616" t="str">
        <f>HYPERLINK("Melting_Curves/meltCurve_sp_Q15714_2_T22D1_HUMAN_.pdf", "Melting_Curves/meltCurve_sp_Q15714_2_T22D1_HUMAN_.pdf")</f>
        <v>Melting_Curves/meltCurve_sp_Q15714_2_T22D1_HUMAN_.pdf</v>
      </c>
      <c r="AA1616" t="s">
        <v>12473</v>
      </c>
      <c r="AB1616" t="s">
        <v>16041</v>
      </c>
    </row>
    <row r="1617" spans="1:28" x14ac:dyDescent="0.25">
      <c r="A1617" t="s">
        <v>1621</v>
      </c>
      <c r="B1617">
        <v>0.98018197421672304</v>
      </c>
      <c r="C1617">
        <v>0.98801929362450203</v>
      </c>
      <c r="D1617">
        <v>0.84999812577071199</v>
      </c>
      <c r="E1617">
        <v>0.65494921448057397</v>
      </c>
      <c r="F1617">
        <v>0.53825290043086704</v>
      </c>
      <c r="G1617">
        <v>0.34029155118629201</v>
      </c>
      <c r="H1617">
        <v>0.18438020905188199</v>
      </c>
      <c r="I1617">
        <v>0.130730375026645</v>
      </c>
      <c r="J1617">
        <v>0.16489375196439299</v>
      </c>
      <c r="K1617">
        <v>0.15051498540997699</v>
      </c>
      <c r="L1617">
        <v>690.13461374980102</v>
      </c>
      <c r="M1617">
        <v>13.205956633755299</v>
      </c>
      <c r="N1617">
        <v>53.1243738948775</v>
      </c>
      <c r="O1617">
        <v>51.104607906816298</v>
      </c>
      <c r="P1617">
        <v>-5.8362420831120199E-2</v>
      </c>
      <c r="Q1617">
        <v>9.6743036393657597E-2</v>
      </c>
      <c r="R1617">
        <v>0.99356174842048395</v>
      </c>
      <c r="S1617" t="s">
        <v>5246</v>
      </c>
      <c r="T1617" t="s">
        <v>7256</v>
      </c>
      <c r="U1617" t="s">
        <v>7256</v>
      </c>
      <c r="V1617" t="s">
        <v>7256</v>
      </c>
      <c r="W1617">
        <v>7</v>
      </c>
      <c r="X1617" t="s">
        <v>8873</v>
      </c>
      <c r="Y1617">
        <v>0.48983960272899929</v>
      </c>
      <c r="Z1617" t="str">
        <f>HYPERLINK("Melting_Curves/meltCurve_sp_Q15717_ELAV1_HUMAN_.pdf", "Melting_Curves/meltCurve_sp_Q15717_ELAV1_HUMAN_.pdf")</f>
        <v>Melting_Curves/meltCurve_sp_Q15717_ELAV1_HUMAN_.pdf</v>
      </c>
      <c r="AA1617" t="s">
        <v>12474</v>
      </c>
      <c r="AB1617" t="s">
        <v>16042</v>
      </c>
    </row>
    <row r="1618" spans="1:28" x14ac:dyDescent="0.25">
      <c r="A1618" t="s">
        <v>1622</v>
      </c>
      <c r="B1618">
        <v>0.98018197421672304</v>
      </c>
      <c r="C1618">
        <v>1.01115067482206</v>
      </c>
      <c r="D1618">
        <v>0.89874306707662399</v>
      </c>
      <c r="E1618">
        <v>0.74653142591112898</v>
      </c>
      <c r="F1618">
        <v>0.59795389720400505</v>
      </c>
      <c r="G1618">
        <v>0.42210334178786102</v>
      </c>
      <c r="H1618">
        <v>0.30354597844783598</v>
      </c>
      <c r="I1618">
        <v>0.31213690902484398</v>
      </c>
      <c r="J1618">
        <v>0.34878574335875501</v>
      </c>
      <c r="K1618">
        <v>0.40419699972209899</v>
      </c>
      <c r="L1618">
        <v>961.34026459853897</v>
      </c>
      <c r="M1618">
        <v>18.715745459733402</v>
      </c>
      <c r="N1618">
        <v>54.521830976769301</v>
      </c>
      <c r="O1618">
        <v>50.789680264858497</v>
      </c>
      <c r="P1618">
        <v>-6.1651657915227302E-2</v>
      </c>
      <c r="Q1618">
        <v>0.33080185189847999</v>
      </c>
      <c r="R1618">
        <v>0.98276831345566296</v>
      </c>
      <c r="S1618" t="s">
        <v>5247</v>
      </c>
      <c r="T1618" t="s">
        <v>7256</v>
      </c>
      <c r="U1618" t="s">
        <v>7256</v>
      </c>
      <c r="V1618" t="s">
        <v>7256</v>
      </c>
      <c r="W1618">
        <v>34</v>
      </c>
      <c r="X1618" t="s">
        <v>8874</v>
      </c>
      <c r="Y1618">
        <v>0.59479642452519998</v>
      </c>
      <c r="Z1618" t="str">
        <f>HYPERLINK("Melting_Curves/meltCurve_sp_Q15746_6_MYLK_HUMAN_.pdf", "Melting_Curves/meltCurve_sp_Q15746_6_MYLK_HUMAN_.pdf")</f>
        <v>Melting_Curves/meltCurve_sp_Q15746_6_MYLK_HUMAN_.pdf</v>
      </c>
      <c r="AA1618" t="s">
        <v>12475</v>
      </c>
      <c r="AB1618" t="s">
        <v>16043</v>
      </c>
    </row>
    <row r="1619" spans="1:28" x14ac:dyDescent="0.25">
      <c r="A1619" t="s">
        <v>1623</v>
      </c>
      <c r="B1619">
        <v>0.98018197421672304</v>
      </c>
      <c r="C1619">
        <v>0.96527134486133204</v>
      </c>
      <c r="D1619">
        <v>0.94819274751231197</v>
      </c>
      <c r="E1619">
        <v>0.68759941295677895</v>
      </c>
      <c r="F1619">
        <v>0.346489512161541</v>
      </c>
      <c r="G1619">
        <v>0.13268429101132401</v>
      </c>
      <c r="H1619">
        <v>7.0950332580234796E-2</v>
      </c>
      <c r="I1619">
        <v>4.6322803897313497E-2</v>
      </c>
      <c r="J1619">
        <v>3.9724264003787299E-2</v>
      </c>
      <c r="K1619">
        <v>2.87503106725366E-2</v>
      </c>
      <c r="L1619">
        <v>1223.13058940669</v>
      </c>
      <c r="M1619">
        <v>23.770280044504201</v>
      </c>
      <c r="N1619">
        <v>51.626033495393798</v>
      </c>
      <c r="O1619">
        <v>51.096276311346699</v>
      </c>
      <c r="P1619">
        <v>-0.111931794423674</v>
      </c>
      <c r="Q1619">
        <v>3.7587721268149903E-2</v>
      </c>
      <c r="R1619">
        <v>0.99902376887288502</v>
      </c>
      <c r="S1619" t="s">
        <v>5248</v>
      </c>
      <c r="T1619" t="s">
        <v>7256</v>
      </c>
      <c r="U1619" t="s">
        <v>7256</v>
      </c>
      <c r="V1619" t="s">
        <v>7256</v>
      </c>
      <c r="W1619">
        <v>4</v>
      </c>
      <c r="X1619" t="s">
        <v>8875</v>
      </c>
      <c r="Y1619">
        <v>0.41474525964116132</v>
      </c>
      <c r="Z1619" t="str">
        <f>HYPERLINK("Melting_Curves/meltCurve_sp_Q15750_2_TAB1_HUMAN_.pdf", "Melting_Curves/meltCurve_sp_Q15750_2_TAB1_HUMAN_.pdf")</f>
        <v>Melting_Curves/meltCurve_sp_Q15750_2_TAB1_HUMAN_.pdf</v>
      </c>
      <c r="AA1619" t="s">
        <v>12476</v>
      </c>
      <c r="AB1619" t="s">
        <v>16044</v>
      </c>
    </row>
    <row r="1620" spans="1:28" x14ac:dyDescent="0.25">
      <c r="A1620" t="s">
        <v>1624</v>
      </c>
      <c r="B1620">
        <v>0.98018197421672304</v>
      </c>
      <c r="C1620">
        <v>0.85157260523879197</v>
      </c>
      <c r="D1620">
        <v>0.75678534415888399</v>
      </c>
      <c r="E1620">
        <v>0.377193174135871</v>
      </c>
      <c r="F1620">
        <v>0.252233682815798</v>
      </c>
      <c r="G1620">
        <v>0.19106849094539799</v>
      </c>
      <c r="H1620">
        <v>0.138031880135251</v>
      </c>
      <c r="I1620">
        <v>0.126388455498921</v>
      </c>
      <c r="J1620">
        <v>0.15368643611604199</v>
      </c>
      <c r="K1620">
        <v>0.24273430751189801</v>
      </c>
      <c r="L1620">
        <v>936.91670024547</v>
      </c>
      <c r="M1620">
        <v>19.7010087796628</v>
      </c>
      <c r="N1620">
        <v>48.498189806544602</v>
      </c>
      <c r="O1620">
        <v>47.074951520908598</v>
      </c>
      <c r="P1620">
        <v>-8.8004232912722496E-2</v>
      </c>
      <c r="Q1620">
        <v>0.15889584616006899</v>
      </c>
      <c r="R1620">
        <v>0.98457448677816695</v>
      </c>
      <c r="S1620" t="s">
        <v>5249</v>
      </c>
      <c r="T1620" t="s">
        <v>7256</v>
      </c>
      <c r="U1620" t="s">
        <v>7256</v>
      </c>
      <c r="V1620" t="s">
        <v>7256</v>
      </c>
      <c r="W1620">
        <v>3</v>
      </c>
      <c r="X1620" t="s">
        <v>8876</v>
      </c>
      <c r="Y1620">
        <v>0.38324604706381749</v>
      </c>
      <c r="Z1620" t="str">
        <f>HYPERLINK("Melting_Curves/meltCurve_sp_Q15785_TOM34_HUMAN_.pdf", "Melting_Curves/meltCurve_sp_Q15785_TOM34_HUMAN_.pdf")</f>
        <v>Melting_Curves/meltCurve_sp_Q15785_TOM34_HUMAN_.pdf</v>
      </c>
      <c r="AA1620" t="s">
        <v>12477</v>
      </c>
      <c r="AB1620" t="s">
        <v>16045</v>
      </c>
    </row>
    <row r="1621" spans="1:28" x14ac:dyDescent="0.25">
      <c r="A1621" t="s">
        <v>1625</v>
      </c>
      <c r="B1621">
        <v>0.98018197421672304</v>
      </c>
      <c r="C1621">
        <v>0.98242042037683397</v>
      </c>
      <c r="D1621">
        <v>0.80219647645152403</v>
      </c>
      <c r="E1621">
        <v>0.59660253471778502</v>
      </c>
      <c r="F1621">
        <v>0.34840128780572599</v>
      </c>
      <c r="G1621">
        <v>0.23493782149463299</v>
      </c>
      <c r="H1621">
        <v>0.15734311958653999</v>
      </c>
      <c r="I1621">
        <v>0.160797893143941</v>
      </c>
      <c r="J1621">
        <v>0.30362349507794101</v>
      </c>
      <c r="K1621">
        <v>0.196614110052692</v>
      </c>
      <c r="L1621">
        <v>962.02090441110795</v>
      </c>
      <c r="M1621">
        <v>19.460073127384302</v>
      </c>
      <c r="N1621">
        <v>50.708603081602099</v>
      </c>
      <c r="O1621">
        <v>48.922472221116202</v>
      </c>
      <c r="P1621">
        <v>-8.0230795496861698E-2</v>
      </c>
      <c r="Q1621">
        <v>0.19323096204266399</v>
      </c>
      <c r="R1621">
        <v>0.97924415549556998</v>
      </c>
      <c r="S1621" t="s">
        <v>5250</v>
      </c>
      <c r="T1621" t="s">
        <v>7256</v>
      </c>
      <c r="U1621" t="s">
        <v>7256</v>
      </c>
      <c r="V1621" t="s">
        <v>7256</v>
      </c>
      <c r="W1621">
        <v>2</v>
      </c>
      <c r="X1621" t="s">
        <v>8877</v>
      </c>
      <c r="Y1621">
        <v>0.45887047952539461</v>
      </c>
      <c r="Z1621" t="str">
        <f>HYPERLINK("Melting_Curves/meltCurve_sp_Q15796_2_SMAD2_HUMAN_.pdf", "Melting_Curves/meltCurve_sp_Q15796_2_SMAD2_HUMAN_.pdf")</f>
        <v>Melting_Curves/meltCurve_sp_Q15796_2_SMAD2_HUMAN_.pdf</v>
      </c>
      <c r="AA1621" t="s">
        <v>12478</v>
      </c>
      <c r="AB1621" t="s">
        <v>16046</v>
      </c>
    </row>
    <row r="1622" spans="1:28" x14ac:dyDescent="0.25">
      <c r="A1622" t="s">
        <v>1626</v>
      </c>
      <c r="B1622">
        <v>0.98018197421672304</v>
      </c>
      <c r="C1622">
        <v>1.0040283853384999</v>
      </c>
      <c r="D1622">
        <v>0.85998648222451801</v>
      </c>
      <c r="E1622">
        <v>0.197570091027959</v>
      </c>
      <c r="F1622">
        <v>9.0035180807430601E-2</v>
      </c>
      <c r="G1622">
        <v>5.88265872828573E-2</v>
      </c>
      <c r="H1622">
        <v>4.5141810482301099E-2</v>
      </c>
      <c r="I1622">
        <v>2.6789890556358501E-2</v>
      </c>
      <c r="J1622">
        <v>3.8642845005540501E-2</v>
      </c>
      <c r="K1622">
        <v>2.87373509652291E-2</v>
      </c>
      <c r="L1622">
        <v>1925.4262923810099</v>
      </c>
      <c r="M1622">
        <v>40.108177337662397</v>
      </c>
      <c r="N1622">
        <v>48.114268851175297</v>
      </c>
      <c r="O1622">
        <v>47.886954837596598</v>
      </c>
      <c r="P1622">
        <v>-0.20034146123615201</v>
      </c>
      <c r="Q1622">
        <v>4.3215311655293499E-2</v>
      </c>
      <c r="R1622">
        <v>0.99884228955048004</v>
      </c>
      <c r="S1622" t="s">
        <v>5251</v>
      </c>
      <c r="T1622" t="s">
        <v>7256</v>
      </c>
      <c r="U1622" t="s">
        <v>7256</v>
      </c>
      <c r="V1622" t="s">
        <v>7256</v>
      </c>
      <c r="W1622">
        <v>2</v>
      </c>
      <c r="X1622" t="s">
        <v>8878</v>
      </c>
      <c r="Y1622">
        <v>0.30171035902992122</v>
      </c>
      <c r="Z1622" t="str">
        <f>HYPERLINK("Melting_Curves/meltCurve_sp_Q15813_TBCE_HUMAN_.pdf", "Melting_Curves/meltCurve_sp_Q15813_TBCE_HUMAN_.pdf")</f>
        <v>Melting_Curves/meltCurve_sp_Q15813_TBCE_HUMAN_.pdf</v>
      </c>
      <c r="AA1622" t="s">
        <v>12479</v>
      </c>
      <c r="AB1622" t="s">
        <v>16047</v>
      </c>
    </row>
    <row r="1623" spans="1:28" x14ac:dyDescent="0.25">
      <c r="A1623" t="s">
        <v>1627</v>
      </c>
      <c r="B1623">
        <v>0.98018197421672304</v>
      </c>
      <c r="C1623">
        <v>1.00704708835137</v>
      </c>
      <c r="D1623">
        <v>0.90540394513319</v>
      </c>
      <c r="E1623">
        <v>0.83781727861681099</v>
      </c>
      <c r="F1623">
        <v>0.69367408381732099</v>
      </c>
      <c r="G1623">
        <v>0.42597968026263799</v>
      </c>
      <c r="H1623">
        <v>0.238025614704655</v>
      </c>
      <c r="I1623">
        <v>0.20304692471462801</v>
      </c>
      <c r="J1623">
        <v>0.29659214627465302</v>
      </c>
      <c r="K1623">
        <v>0.27212388150429101</v>
      </c>
      <c r="L1623">
        <v>1062.18691116013</v>
      </c>
      <c r="M1623">
        <v>19.7889017555717</v>
      </c>
      <c r="N1623">
        <v>55.386575225765498</v>
      </c>
      <c r="O1623">
        <v>53.136781628892102</v>
      </c>
      <c r="P1623">
        <v>-7.18177312853958E-2</v>
      </c>
      <c r="Q1623">
        <v>0.228651903348977</v>
      </c>
      <c r="R1623">
        <v>0.9829318742716</v>
      </c>
      <c r="S1623" t="s">
        <v>5252</v>
      </c>
      <c r="T1623" t="s">
        <v>7256</v>
      </c>
      <c r="U1623" t="s">
        <v>7256</v>
      </c>
      <c r="V1623" t="s">
        <v>7256</v>
      </c>
      <c r="W1623">
        <v>1</v>
      </c>
      <c r="X1623" t="s">
        <v>8879</v>
      </c>
      <c r="Y1623">
        <v>0.59099808148273714</v>
      </c>
      <c r="Z1623" t="str">
        <f>HYPERLINK("Melting_Curves/meltCurve_sp_Q15814_TBCC_HUMAN_.pdf", "Melting_Curves/meltCurve_sp_Q15814_TBCC_HUMAN_.pdf")</f>
        <v>Melting_Curves/meltCurve_sp_Q15814_TBCC_HUMAN_.pdf</v>
      </c>
      <c r="AA1623" t="s">
        <v>12480</v>
      </c>
      <c r="AB1623" t="s">
        <v>16048</v>
      </c>
    </row>
    <row r="1624" spans="1:28" x14ac:dyDescent="0.25">
      <c r="A1624" t="s">
        <v>1628</v>
      </c>
      <c r="B1624">
        <v>0.98018197421672304</v>
      </c>
      <c r="C1624">
        <v>1.11029443191903</v>
      </c>
      <c r="D1624">
        <v>0.96221840208668097</v>
      </c>
      <c r="E1624">
        <v>0.79496323325354701</v>
      </c>
      <c r="F1624">
        <v>0.78104627533460202</v>
      </c>
      <c r="G1624">
        <v>0.49050709163664502</v>
      </c>
      <c r="H1624">
        <v>0.207498777667315</v>
      </c>
      <c r="I1624">
        <v>0.105689711518808</v>
      </c>
      <c r="J1624">
        <v>8.8170369163166895E-2</v>
      </c>
      <c r="K1624">
        <v>4.6924827338405799E-2</v>
      </c>
      <c r="L1624">
        <v>898.21005176547499</v>
      </c>
      <c r="M1624">
        <v>15.9122454330269</v>
      </c>
      <c r="N1624">
        <v>56.447730337209997</v>
      </c>
      <c r="O1624">
        <v>55.578752361196202</v>
      </c>
      <c r="P1624">
        <v>-7.1580940479502003E-2</v>
      </c>
      <c r="Q1624">
        <v>0</v>
      </c>
      <c r="R1624">
        <v>0.98294341087844395</v>
      </c>
      <c r="S1624" t="s">
        <v>5253</v>
      </c>
      <c r="T1624" t="s">
        <v>7256</v>
      </c>
      <c r="U1624" t="s">
        <v>7256</v>
      </c>
      <c r="V1624" t="s">
        <v>7256</v>
      </c>
      <c r="W1624">
        <v>8</v>
      </c>
      <c r="X1624" t="s">
        <v>8880</v>
      </c>
      <c r="Y1624">
        <v>0.56441368546366666</v>
      </c>
      <c r="Z1624" t="str">
        <f>HYPERLINK("Melting_Curves/meltCurve_sp_Q15819_UB2V2_HUMAN_.pdf", "Melting_Curves/meltCurve_sp_Q15819_UB2V2_HUMAN_.pdf")</f>
        <v>Melting_Curves/meltCurve_sp_Q15819_UB2V2_HUMAN_.pdf</v>
      </c>
      <c r="AA1624" t="s">
        <v>12481</v>
      </c>
      <c r="AB1624" t="s">
        <v>16049</v>
      </c>
    </row>
    <row r="1625" spans="1:28" x14ac:dyDescent="0.25">
      <c r="A1625" t="s">
        <v>1629</v>
      </c>
      <c r="B1625">
        <v>0.98018197421672304</v>
      </c>
      <c r="C1625">
        <v>0.92157327148433399</v>
      </c>
      <c r="D1625">
        <v>0.85530540994047399</v>
      </c>
      <c r="E1625">
        <v>0.26446816175687199</v>
      </c>
      <c r="F1625">
        <v>0.14817348798824501</v>
      </c>
      <c r="G1625">
        <v>9.23580111048838E-2</v>
      </c>
      <c r="H1625">
        <v>5.1847021122602102E-2</v>
      </c>
      <c r="I1625">
        <v>4.3833036260534398E-2</v>
      </c>
      <c r="J1625">
        <v>3.2621477889634397E-2</v>
      </c>
      <c r="K1625">
        <v>1.9218524832928598E-2</v>
      </c>
      <c r="L1625">
        <v>1469.07057265966</v>
      </c>
      <c r="M1625">
        <v>30.439816716653901</v>
      </c>
      <c r="N1625">
        <v>48.427425788597098</v>
      </c>
      <c r="O1625">
        <v>48.054626715220103</v>
      </c>
      <c r="P1625">
        <v>-0.15051840499851499</v>
      </c>
      <c r="Q1625">
        <v>4.9526360347932501E-2</v>
      </c>
      <c r="R1625">
        <v>0.99366426920263196</v>
      </c>
      <c r="S1625" t="s">
        <v>5254</v>
      </c>
      <c r="T1625" t="s">
        <v>7256</v>
      </c>
      <c r="U1625" t="s">
        <v>7256</v>
      </c>
      <c r="V1625" t="s">
        <v>7256</v>
      </c>
      <c r="W1625">
        <v>4</v>
      </c>
      <c r="X1625" t="s">
        <v>8881</v>
      </c>
      <c r="Y1625">
        <v>0.31683476704092611</v>
      </c>
      <c r="Z1625" t="str">
        <f>HYPERLINK("Melting_Curves/meltCurve_sp_Q15833_STXB2_HUMAN_.pdf", "Melting_Curves/meltCurve_sp_Q15833_STXB2_HUMAN_.pdf")</f>
        <v>Melting_Curves/meltCurve_sp_Q15833_STXB2_HUMAN_.pdf</v>
      </c>
      <c r="AA1625" t="s">
        <v>12482</v>
      </c>
      <c r="AB1625" t="s">
        <v>16050</v>
      </c>
    </row>
    <row r="1626" spans="1:28" x14ac:dyDescent="0.25">
      <c r="A1626" t="s">
        <v>1630</v>
      </c>
      <c r="B1626">
        <v>0.98018197421672304</v>
      </c>
      <c r="C1626">
        <v>1.0010536598455799</v>
      </c>
      <c r="D1626">
        <v>0.969696668884795</v>
      </c>
      <c r="E1626">
        <v>0.86192713892922601</v>
      </c>
      <c r="F1626">
        <v>0.76950643853783995</v>
      </c>
      <c r="G1626">
        <v>0.54018359271364302</v>
      </c>
      <c r="H1626">
        <v>0.55831183374436399</v>
      </c>
      <c r="I1626">
        <v>0.55051504938304097</v>
      </c>
      <c r="J1626">
        <v>0.541994062968704</v>
      </c>
      <c r="K1626">
        <v>0.76361671891845495</v>
      </c>
      <c r="L1626">
        <v>1505.3756087506999</v>
      </c>
      <c r="M1626">
        <v>29.147575770132001</v>
      </c>
      <c r="O1626">
        <v>51.405412302434002</v>
      </c>
      <c r="P1626">
        <v>-5.8045535684259103E-2</v>
      </c>
      <c r="Q1626">
        <v>0.59052061885261697</v>
      </c>
      <c r="R1626">
        <v>0.86915265555129695</v>
      </c>
      <c r="S1626" t="s">
        <v>5255</v>
      </c>
      <c r="T1626" t="s">
        <v>7256</v>
      </c>
      <c r="U1626" t="s">
        <v>7256</v>
      </c>
      <c r="V1626" t="s">
        <v>7256</v>
      </c>
      <c r="W1626">
        <v>5</v>
      </c>
      <c r="X1626" t="s">
        <v>8882</v>
      </c>
      <c r="Y1626">
        <v>0.75224496969098642</v>
      </c>
      <c r="Z1626" t="str">
        <f>HYPERLINK("Melting_Curves/meltCurve_sp_Q15847_ADIRF_HUMAN_.pdf", "Melting_Curves/meltCurve_sp_Q15847_ADIRF_HUMAN_.pdf")</f>
        <v>Melting_Curves/meltCurve_sp_Q15847_ADIRF_HUMAN_.pdf</v>
      </c>
      <c r="AA1626" t="s">
        <v>12483</v>
      </c>
      <c r="AB1626" t="s">
        <v>16051</v>
      </c>
    </row>
    <row r="1627" spans="1:28" x14ac:dyDescent="0.25">
      <c r="A1627" t="s">
        <v>1631</v>
      </c>
      <c r="B1627">
        <v>0.98018197421672304</v>
      </c>
      <c r="C1627">
        <v>0.96036793439951296</v>
      </c>
      <c r="D1627">
        <v>0.88022432597690503</v>
      </c>
      <c r="E1627">
        <v>0.69823503611717597</v>
      </c>
      <c r="F1627">
        <v>0.439833493923106</v>
      </c>
      <c r="G1627">
        <v>0.18782437286773301</v>
      </c>
      <c r="H1627">
        <v>0.10102168799701999</v>
      </c>
      <c r="I1627">
        <v>7.5933447746106802E-2</v>
      </c>
      <c r="J1627">
        <v>6.5719148991333104E-2</v>
      </c>
      <c r="K1627">
        <v>5.1400675681645198E-2</v>
      </c>
      <c r="L1627">
        <v>902.57563151471595</v>
      </c>
      <c r="M1627">
        <v>17.374321411473701</v>
      </c>
      <c r="N1627">
        <v>52.1846820066947</v>
      </c>
      <c r="O1627">
        <v>51.275286761063498</v>
      </c>
      <c r="P1627">
        <v>-8.1516881396220098E-2</v>
      </c>
      <c r="Q1627">
        <v>3.7760544212968997E-2</v>
      </c>
      <c r="R1627">
        <v>0.99842251807031701</v>
      </c>
      <c r="S1627" t="s">
        <v>5256</v>
      </c>
      <c r="T1627" t="s">
        <v>7256</v>
      </c>
      <c r="U1627" t="s">
        <v>7256</v>
      </c>
      <c r="V1627" t="s">
        <v>7256</v>
      </c>
      <c r="W1627">
        <v>10</v>
      </c>
      <c r="X1627" t="s">
        <v>8883</v>
      </c>
      <c r="Y1627">
        <v>0.43802910227963632</v>
      </c>
      <c r="Z1627" t="str">
        <f>HYPERLINK("Melting_Curves/meltCurve_sp_Q15907_RB11B_HUMAN_.pdf", "Melting_Curves/meltCurve_sp_Q15907_RB11B_HUMAN_.pdf")</f>
        <v>Melting_Curves/meltCurve_sp_Q15907_RB11B_HUMAN_.pdf</v>
      </c>
      <c r="AA1627" t="s">
        <v>12484</v>
      </c>
      <c r="AB1627" t="s">
        <v>16052</v>
      </c>
    </row>
    <row r="1628" spans="1:28" x14ac:dyDescent="0.25">
      <c r="A1628" t="s">
        <v>1632</v>
      </c>
      <c r="B1628">
        <v>0.98018197421672304</v>
      </c>
      <c r="C1628">
        <v>1.05093002309843</v>
      </c>
      <c r="D1628">
        <v>1.0182430457676499</v>
      </c>
      <c r="E1628">
        <v>0.92621136023158401</v>
      </c>
      <c r="F1628">
        <v>0.86445693976568805</v>
      </c>
      <c r="G1628">
        <v>0.62959258344201197</v>
      </c>
      <c r="H1628">
        <v>0.56316472585178301</v>
      </c>
      <c r="I1628">
        <v>0.63822113503269995</v>
      </c>
      <c r="J1628">
        <v>0.62107324755637405</v>
      </c>
      <c r="K1628">
        <v>0.85562440204394996</v>
      </c>
      <c r="L1628">
        <v>2571.6722648555601</v>
      </c>
      <c r="M1628">
        <v>48.319548544684302</v>
      </c>
      <c r="O1628">
        <v>53.131287158221603</v>
      </c>
      <c r="P1628">
        <v>-7.7269499752200793E-2</v>
      </c>
      <c r="Q1628">
        <v>0.66014395966578598</v>
      </c>
      <c r="R1628">
        <v>0.80859584684373798</v>
      </c>
      <c r="S1628" t="s">
        <v>5257</v>
      </c>
      <c r="T1628" t="s">
        <v>7256</v>
      </c>
      <c r="U1628" t="s">
        <v>7256</v>
      </c>
      <c r="V1628" t="s">
        <v>7256</v>
      </c>
      <c r="W1628">
        <v>9</v>
      </c>
      <c r="X1628" t="s">
        <v>8884</v>
      </c>
      <c r="Y1628">
        <v>0.81078646851701985</v>
      </c>
      <c r="Z1628" t="str">
        <f>HYPERLINK("Melting_Curves/meltCurve_sp_Q15942_ZYX_HUMAN_.pdf", "Melting_Curves/meltCurve_sp_Q15942_ZYX_HUMAN_.pdf")</f>
        <v>Melting_Curves/meltCurve_sp_Q15942_ZYX_HUMAN_.pdf</v>
      </c>
      <c r="AA1628" t="s">
        <v>12485</v>
      </c>
      <c r="AB1628" t="s">
        <v>16053</v>
      </c>
    </row>
    <row r="1629" spans="1:28" x14ac:dyDescent="0.25">
      <c r="A1629" t="s">
        <v>1633</v>
      </c>
      <c r="B1629">
        <v>0.98018197421672304</v>
      </c>
      <c r="C1629">
        <v>0.59284832861073899</v>
      </c>
      <c r="D1629">
        <v>0.8123873383347</v>
      </c>
      <c r="E1629">
        <v>0.75423080134226606</v>
      </c>
      <c r="F1629">
        <v>0.48523636263412101</v>
      </c>
      <c r="G1629">
        <v>0.12744635723887099</v>
      </c>
      <c r="H1629">
        <v>6.7740127301342101E-2</v>
      </c>
      <c r="I1629">
        <v>5.5166040951972403E-2</v>
      </c>
      <c r="J1629">
        <v>6.1578193422842799E-2</v>
      </c>
      <c r="K1629">
        <v>4.9748416775041798E-2</v>
      </c>
      <c r="L1629">
        <v>600.51609036083801</v>
      </c>
      <c r="M1629">
        <v>11.660127307937801</v>
      </c>
      <c r="N1629">
        <v>51.501675299637903</v>
      </c>
      <c r="O1629">
        <v>50.056798144433003</v>
      </c>
      <c r="P1629">
        <v>-5.8250174241711701E-2</v>
      </c>
      <c r="Q1629">
        <v>0</v>
      </c>
      <c r="R1629">
        <v>0.87247485214002496</v>
      </c>
      <c r="S1629" t="s">
        <v>5258</v>
      </c>
      <c r="T1629" t="s">
        <v>7256</v>
      </c>
      <c r="U1629" t="s">
        <v>7256</v>
      </c>
      <c r="V1629" t="s">
        <v>7256</v>
      </c>
      <c r="W1629">
        <v>22</v>
      </c>
      <c r="X1629" t="s">
        <v>8885</v>
      </c>
      <c r="Y1629">
        <v>0.41624766746613961</v>
      </c>
      <c r="Z1629" t="str">
        <f>HYPERLINK("Melting_Curves/meltCurve_sp_Q16181_SEPT7_HUMAN_.pdf", "Melting_Curves/meltCurve_sp_Q16181_SEPT7_HUMAN_.pdf")</f>
        <v>Melting_Curves/meltCurve_sp_Q16181_SEPT7_HUMAN_.pdf</v>
      </c>
      <c r="AA1629" t="s">
        <v>12486</v>
      </c>
      <c r="AB1629" t="s">
        <v>16054</v>
      </c>
    </row>
    <row r="1630" spans="1:28" x14ac:dyDescent="0.25">
      <c r="A1630" t="s">
        <v>1634</v>
      </c>
      <c r="B1630">
        <v>0.98018197421672304</v>
      </c>
      <c r="C1630">
        <v>1.0134604660323701</v>
      </c>
      <c r="D1630">
        <v>0.66477246558996295</v>
      </c>
      <c r="E1630">
        <v>0.55907817784458802</v>
      </c>
      <c r="F1630">
        <v>0.412791023734147</v>
      </c>
      <c r="G1630">
        <v>0.31038066197787001</v>
      </c>
      <c r="H1630">
        <v>0.42561778580737097</v>
      </c>
      <c r="I1630">
        <v>0.31792164270799</v>
      </c>
      <c r="J1630">
        <v>0.83680486630585005</v>
      </c>
      <c r="K1630">
        <v>1.1016361473574401</v>
      </c>
      <c r="L1630">
        <v>11443.639809537801</v>
      </c>
      <c r="M1630">
        <v>250</v>
      </c>
      <c r="O1630">
        <v>45.771629905123397</v>
      </c>
      <c r="P1630">
        <v>-0.59218093460278398</v>
      </c>
      <c r="Q1630">
        <v>0.56631861468570399</v>
      </c>
      <c r="R1630">
        <v>0.35190278648751699</v>
      </c>
      <c r="S1630" t="s">
        <v>5259</v>
      </c>
      <c r="T1630" t="s">
        <v>7256</v>
      </c>
      <c r="U1630" t="s">
        <v>7256</v>
      </c>
      <c r="V1630" t="s">
        <v>7256</v>
      </c>
      <c r="W1630">
        <v>1</v>
      </c>
      <c r="X1630" t="s">
        <v>8886</v>
      </c>
      <c r="Y1630">
        <v>0.64983074888893855</v>
      </c>
      <c r="Z1630" t="str">
        <f>HYPERLINK("Melting_Curves/meltCurve_sp_Q16186_ADRM1_HUMAN_.pdf", "Melting_Curves/meltCurve_sp_Q16186_ADRM1_HUMAN_.pdf")</f>
        <v>Melting_Curves/meltCurve_sp_Q16186_ADRM1_HUMAN_.pdf</v>
      </c>
      <c r="AA1630" t="s">
        <v>12487</v>
      </c>
      <c r="AB1630" t="s">
        <v>16055</v>
      </c>
    </row>
    <row r="1631" spans="1:28" x14ac:dyDescent="0.25">
      <c r="A1631" t="s">
        <v>1635</v>
      </c>
      <c r="B1631">
        <v>0.98018197421672304</v>
      </c>
      <c r="C1631">
        <v>1.02055093446266</v>
      </c>
      <c r="D1631">
        <v>0.89626879976928298</v>
      </c>
      <c r="E1631">
        <v>0.75579358910480199</v>
      </c>
      <c r="F1631">
        <v>0.53690565400282597</v>
      </c>
      <c r="G1631">
        <v>0.32215338068951299</v>
      </c>
      <c r="H1631">
        <v>0.32094082715814298</v>
      </c>
      <c r="I1631">
        <v>0.32262341790295002</v>
      </c>
      <c r="J1631">
        <v>0.37690026382706598</v>
      </c>
      <c r="K1631">
        <v>0.38116570048168502</v>
      </c>
      <c r="L1631">
        <v>1259.2951505256499</v>
      </c>
      <c r="M1631">
        <v>24.7419702436016</v>
      </c>
      <c r="N1631">
        <v>53.3068435233656</v>
      </c>
      <c r="O1631">
        <v>50.568145559349098</v>
      </c>
      <c r="P1631">
        <v>-8.1147292037811306E-2</v>
      </c>
      <c r="Q1631">
        <v>0.336607500571731</v>
      </c>
      <c r="R1631">
        <v>0.98297310197582199</v>
      </c>
      <c r="S1631" t="s">
        <v>5260</v>
      </c>
      <c r="T1631" t="s">
        <v>7256</v>
      </c>
      <c r="U1631" t="s">
        <v>7256</v>
      </c>
      <c r="V1631" t="s">
        <v>7256</v>
      </c>
      <c r="W1631">
        <v>7</v>
      </c>
      <c r="X1631" t="s">
        <v>8887</v>
      </c>
      <c r="Y1631">
        <v>0.5836865016861672</v>
      </c>
      <c r="Z1631" t="str">
        <f>HYPERLINK("Melting_Curves/meltCurve_sp_Q16204_CCDC6_HUMAN_.pdf", "Melting_Curves/meltCurve_sp_Q16204_CCDC6_HUMAN_.pdf")</f>
        <v>Melting_Curves/meltCurve_sp_Q16204_CCDC6_HUMAN_.pdf</v>
      </c>
      <c r="AA1631" t="s">
        <v>12488</v>
      </c>
      <c r="AB1631" t="s">
        <v>16056</v>
      </c>
    </row>
    <row r="1632" spans="1:28" x14ac:dyDescent="0.25">
      <c r="A1632" t="s">
        <v>1636</v>
      </c>
      <c r="B1632">
        <v>0.98018197421672304</v>
      </c>
      <c r="C1632">
        <v>0.98365025484703394</v>
      </c>
      <c r="D1632">
        <v>0.88053081523048704</v>
      </c>
      <c r="E1632">
        <v>0.415284883349475</v>
      </c>
      <c r="F1632">
        <v>0.19210412311928499</v>
      </c>
      <c r="G1632">
        <v>0.117022939322979</v>
      </c>
      <c r="H1632">
        <v>8.2024055403160906E-2</v>
      </c>
      <c r="I1632">
        <v>6.4232662261702003E-2</v>
      </c>
      <c r="J1632">
        <v>6.7518778565526905E-2</v>
      </c>
      <c r="K1632">
        <v>5.0133056046199401E-2</v>
      </c>
      <c r="L1632">
        <v>1314.0336513807199</v>
      </c>
      <c r="M1632">
        <v>26.754913930015601</v>
      </c>
      <c r="N1632">
        <v>49.392913436901601</v>
      </c>
      <c r="O1632">
        <v>48.841814930957703</v>
      </c>
      <c r="P1632">
        <v>-0.127338157502872</v>
      </c>
      <c r="Q1632">
        <v>7.0172628078684796E-2</v>
      </c>
      <c r="R1632">
        <v>0.99880439738372295</v>
      </c>
      <c r="S1632" t="s">
        <v>5261</v>
      </c>
      <c r="T1632" t="s">
        <v>7256</v>
      </c>
      <c r="U1632" t="s">
        <v>7256</v>
      </c>
      <c r="V1632" t="s">
        <v>7256</v>
      </c>
      <c r="W1632">
        <v>11</v>
      </c>
      <c r="X1632" t="s">
        <v>8888</v>
      </c>
      <c r="Y1632">
        <v>0.35981905733487213</v>
      </c>
      <c r="Z1632" t="str">
        <f>HYPERLINK("Melting_Curves/meltCurve_sp_Q16222_3_UAP1_HUMAN_.pdf", "Melting_Curves/meltCurve_sp_Q16222_3_UAP1_HUMAN_.pdf")</f>
        <v>Melting_Curves/meltCurve_sp_Q16222_3_UAP1_HUMAN_.pdf</v>
      </c>
      <c r="AA1632" t="s">
        <v>12489</v>
      </c>
      <c r="AB1632" t="s">
        <v>16057</v>
      </c>
    </row>
    <row r="1633" spans="1:28" x14ac:dyDescent="0.25">
      <c r="A1633" t="s">
        <v>1637</v>
      </c>
      <c r="B1633">
        <v>0.98018197421672304</v>
      </c>
      <c r="C1633">
        <v>0.92543052410953297</v>
      </c>
      <c r="D1633">
        <v>0.75946421798619801</v>
      </c>
      <c r="E1633">
        <v>0.512417397878275</v>
      </c>
      <c r="F1633">
        <v>0.37341795149697699</v>
      </c>
      <c r="G1633">
        <v>0.211844536682924</v>
      </c>
      <c r="H1633">
        <v>6.6603807272576102E-2</v>
      </c>
      <c r="I1633">
        <v>4.6691500709561698E-2</v>
      </c>
      <c r="J1633">
        <v>5.3898969032822701E-2</v>
      </c>
      <c r="K1633">
        <v>3.3752301952508598E-2</v>
      </c>
      <c r="L1633">
        <v>644.90840705665096</v>
      </c>
      <c r="M1633">
        <v>12.7763526929603</v>
      </c>
      <c r="N1633">
        <v>50.4767219685328</v>
      </c>
      <c r="O1633">
        <v>49.288073245225597</v>
      </c>
      <c r="P1633">
        <v>-6.48167399727686E-2</v>
      </c>
      <c r="Q1633">
        <v>0</v>
      </c>
      <c r="R1633">
        <v>0.99706489869216297</v>
      </c>
      <c r="S1633" t="s">
        <v>5262</v>
      </c>
      <c r="T1633" t="s">
        <v>7256</v>
      </c>
      <c r="U1633" t="s">
        <v>7256</v>
      </c>
      <c r="V1633" t="s">
        <v>7256</v>
      </c>
      <c r="W1633">
        <v>12</v>
      </c>
      <c r="X1633" t="s">
        <v>8889</v>
      </c>
      <c r="Y1633">
        <v>0.37979491038427082</v>
      </c>
      <c r="Z1633" t="str">
        <f>HYPERLINK("Melting_Curves/meltCurve_sp_Q16401_2_PSMD5_HUMAN_.pdf", "Melting_Curves/meltCurve_sp_Q16401_2_PSMD5_HUMAN_.pdf")</f>
        <v>Melting_Curves/meltCurve_sp_Q16401_2_PSMD5_HUMAN_.pdf</v>
      </c>
      <c r="AA1633" t="s">
        <v>12490</v>
      </c>
      <c r="AB1633" t="s">
        <v>16058</v>
      </c>
    </row>
    <row r="1634" spans="1:28" x14ac:dyDescent="0.25">
      <c r="A1634" t="s">
        <v>1638</v>
      </c>
      <c r="B1634">
        <v>0.98018197421672304</v>
      </c>
      <c r="C1634">
        <v>0.95956095582782697</v>
      </c>
      <c r="D1634">
        <v>0.89706966823995704</v>
      </c>
      <c r="E1634">
        <v>0.796140533865208</v>
      </c>
      <c r="F1634">
        <v>0.73493280785144099</v>
      </c>
      <c r="G1634">
        <v>0.65425836358602596</v>
      </c>
      <c r="H1634">
        <v>0.37908569580854001</v>
      </c>
      <c r="I1634">
        <v>0.10695120838994</v>
      </c>
      <c r="J1634">
        <v>6.4391159755726901E-2</v>
      </c>
      <c r="K1634">
        <v>6.5963843228385499E-2</v>
      </c>
      <c r="L1634">
        <v>779.13770835403204</v>
      </c>
      <c r="M1634">
        <v>13.5234161796426</v>
      </c>
      <c r="N1634">
        <v>57.613971080015901</v>
      </c>
      <c r="O1634">
        <v>56.397955925062902</v>
      </c>
      <c r="P1634">
        <v>-5.9955500051995E-2</v>
      </c>
      <c r="Q1634">
        <v>0</v>
      </c>
      <c r="R1634">
        <v>0.96287660861719604</v>
      </c>
      <c r="S1634" t="s">
        <v>5263</v>
      </c>
      <c r="T1634" t="s">
        <v>7256</v>
      </c>
      <c r="U1634" t="s">
        <v>7256</v>
      </c>
      <c r="V1634" t="s">
        <v>7256</v>
      </c>
      <c r="W1634">
        <v>41</v>
      </c>
      <c r="X1634" t="s">
        <v>8890</v>
      </c>
      <c r="Y1634">
        <v>0.60183344780100034</v>
      </c>
      <c r="Z1634" t="str">
        <f>HYPERLINK("Melting_Curves/meltCurve_sp_Q16531_DDB1_HUMAN_.pdf", "Melting_Curves/meltCurve_sp_Q16531_DDB1_HUMAN_.pdf")</f>
        <v>Melting_Curves/meltCurve_sp_Q16531_DDB1_HUMAN_.pdf</v>
      </c>
      <c r="AA1634" t="s">
        <v>12491</v>
      </c>
      <c r="AB1634" t="s">
        <v>16059</v>
      </c>
    </row>
    <row r="1635" spans="1:28" x14ac:dyDescent="0.25">
      <c r="A1635" t="s">
        <v>1639</v>
      </c>
      <c r="B1635">
        <v>0.98018197421672304</v>
      </c>
      <c r="C1635">
        <v>0.92516129188755802</v>
      </c>
      <c r="D1635">
        <v>0.73649137776627205</v>
      </c>
      <c r="E1635">
        <v>0.24376872788549001</v>
      </c>
      <c r="F1635">
        <v>0.14152688847568801</v>
      </c>
      <c r="G1635">
        <v>9.9682209287732595E-2</v>
      </c>
      <c r="H1635">
        <v>6.7389833702654597E-2</v>
      </c>
      <c r="I1635">
        <v>5.5275872936991301E-2</v>
      </c>
      <c r="J1635">
        <v>5.6247708606681601E-2</v>
      </c>
      <c r="K1635">
        <v>4.9113182739823402E-2</v>
      </c>
      <c r="L1635">
        <v>1228.6718680020799</v>
      </c>
      <c r="M1635">
        <v>25.8585895142892</v>
      </c>
      <c r="N1635">
        <v>47.762623799751502</v>
      </c>
      <c r="O1635">
        <v>47.233590812347401</v>
      </c>
      <c r="P1635">
        <v>-0.128282203838013</v>
      </c>
      <c r="Q1635">
        <v>6.27239196072754E-2</v>
      </c>
      <c r="R1635">
        <v>0.99806170482406997</v>
      </c>
      <c r="S1635" t="s">
        <v>5264</v>
      </c>
      <c r="T1635" t="s">
        <v>7256</v>
      </c>
      <c r="U1635" t="s">
        <v>7256</v>
      </c>
      <c r="V1635" t="s">
        <v>7256</v>
      </c>
      <c r="W1635">
        <v>7</v>
      </c>
      <c r="X1635" t="s">
        <v>8891</v>
      </c>
      <c r="Y1635">
        <v>0.30523604615434052</v>
      </c>
      <c r="Z1635" t="str">
        <f>HYPERLINK("Melting_Curves/meltCurve_sp_Q16539_MK14_HUMAN_.pdf", "Melting_Curves/meltCurve_sp_Q16539_MK14_HUMAN_.pdf")</f>
        <v>Melting_Curves/meltCurve_sp_Q16539_MK14_HUMAN_.pdf</v>
      </c>
      <c r="AA1635" t="s">
        <v>12492</v>
      </c>
      <c r="AB1635" t="s">
        <v>16060</v>
      </c>
    </row>
    <row r="1636" spans="1:28" x14ac:dyDescent="0.25">
      <c r="A1636" t="s">
        <v>1640</v>
      </c>
      <c r="B1636">
        <v>0.98018197421672304</v>
      </c>
      <c r="C1636">
        <v>0.97316755078238504</v>
      </c>
      <c r="D1636">
        <v>0.92617474482807305</v>
      </c>
      <c r="E1636">
        <v>0.83531001444587605</v>
      </c>
      <c r="F1636">
        <v>0.73947214633132297</v>
      </c>
      <c r="G1636">
        <v>0.56862080397107995</v>
      </c>
      <c r="H1636">
        <v>0.40999708031830101</v>
      </c>
      <c r="I1636">
        <v>0.21374759592251699</v>
      </c>
      <c r="J1636">
        <v>0.122607334259492</v>
      </c>
      <c r="K1636">
        <v>8.9265764126218894E-2</v>
      </c>
      <c r="L1636">
        <v>686.44342271074299</v>
      </c>
      <c r="M1636">
        <v>11.8686010617498</v>
      </c>
      <c r="N1636">
        <v>57.836909039223997</v>
      </c>
      <c r="O1636">
        <v>56.268299025016098</v>
      </c>
      <c r="P1636">
        <v>-5.2745449278594203E-2</v>
      </c>
      <c r="Q1636">
        <v>0</v>
      </c>
      <c r="R1636">
        <v>0.99175573788255</v>
      </c>
      <c r="S1636" t="s">
        <v>5265</v>
      </c>
      <c r="T1636" t="s">
        <v>7256</v>
      </c>
      <c r="U1636" t="s">
        <v>7256</v>
      </c>
      <c r="V1636" t="s">
        <v>7256</v>
      </c>
      <c r="W1636">
        <v>19</v>
      </c>
      <c r="X1636" t="s">
        <v>8892</v>
      </c>
      <c r="Y1636">
        <v>0.60789111362247716</v>
      </c>
      <c r="Z1636" t="str">
        <f>HYPERLINK("Melting_Curves/meltCurve_sp_Q16543_CDC37_HUMAN_.pdf", "Melting_Curves/meltCurve_sp_Q16543_CDC37_HUMAN_.pdf")</f>
        <v>Melting_Curves/meltCurve_sp_Q16543_CDC37_HUMAN_.pdf</v>
      </c>
      <c r="AA1636" t="s">
        <v>12493</v>
      </c>
      <c r="AB1636" t="s">
        <v>16061</v>
      </c>
    </row>
    <row r="1637" spans="1:28" x14ac:dyDescent="0.25">
      <c r="A1637" t="s">
        <v>1641</v>
      </c>
      <c r="B1637">
        <v>0.98018197421672304</v>
      </c>
      <c r="C1637">
        <v>0.96206436793954597</v>
      </c>
      <c r="D1637">
        <v>0.88573034417739105</v>
      </c>
      <c r="E1637">
        <v>0.67945593530297499</v>
      </c>
      <c r="F1637">
        <v>0.48692497081482</v>
      </c>
      <c r="G1637">
        <v>0.31042223872313102</v>
      </c>
      <c r="H1637">
        <v>0.10681106039593501</v>
      </c>
      <c r="I1637">
        <v>3.9740107784323499E-2</v>
      </c>
      <c r="J1637">
        <v>3.2272387539339698E-2</v>
      </c>
      <c r="K1637">
        <v>3.3201380268191201E-2</v>
      </c>
      <c r="L1637">
        <v>749.18278326017503</v>
      </c>
      <c r="M1637">
        <v>14.1812011233335</v>
      </c>
      <c r="N1637">
        <v>52.829299935739002</v>
      </c>
      <c r="O1637">
        <v>51.8120722504827</v>
      </c>
      <c r="P1637">
        <v>-6.8434754689695496E-2</v>
      </c>
      <c r="Q1637">
        <v>0</v>
      </c>
      <c r="R1637">
        <v>0.99663303665799996</v>
      </c>
      <c r="S1637" t="s">
        <v>5266</v>
      </c>
      <c r="T1637" t="s">
        <v>7256</v>
      </c>
      <c r="U1637" t="s">
        <v>7256</v>
      </c>
      <c r="V1637" t="s">
        <v>7256</v>
      </c>
      <c r="W1637">
        <v>8</v>
      </c>
      <c r="X1637" t="s">
        <v>8893</v>
      </c>
      <c r="Y1637">
        <v>0.45106335906600109</v>
      </c>
      <c r="Z1637" t="str">
        <f>HYPERLINK("Melting_Curves/meltCurve_sp_Q16555_2_DPYL2_HUMAN_.pdf", "Melting_Curves/meltCurve_sp_Q16555_2_DPYL2_HUMAN_.pdf")</f>
        <v>Melting_Curves/meltCurve_sp_Q16555_2_DPYL2_HUMAN_.pdf</v>
      </c>
      <c r="AA1637" t="s">
        <v>12494</v>
      </c>
      <c r="AB1637" t="s">
        <v>16062</v>
      </c>
    </row>
    <row r="1638" spans="1:28" x14ac:dyDescent="0.25">
      <c r="A1638" t="s">
        <v>1642</v>
      </c>
      <c r="B1638">
        <v>0.98018197421672304</v>
      </c>
      <c r="C1638">
        <v>0.936559789102556</v>
      </c>
      <c r="D1638">
        <v>0.94256059441103102</v>
      </c>
      <c r="E1638">
        <v>0.75729655317700495</v>
      </c>
      <c r="F1638">
        <v>0.65402115162014596</v>
      </c>
      <c r="G1638">
        <v>0.45405546054018697</v>
      </c>
      <c r="H1638">
        <v>0.20008295606457999</v>
      </c>
      <c r="I1638">
        <v>0.10366150572246199</v>
      </c>
      <c r="J1638">
        <v>0.11062223358532799</v>
      </c>
      <c r="K1638">
        <v>8.7572304671060502E-2</v>
      </c>
      <c r="L1638">
        <v>703.08397504693698</v>
      </c>
      <c r="M1638">
        <v>12.712045743049901</v>
      </c>
      <c r="N1638">
        <v>55.308483720771903</v>
      </c>
      <c r="O1638">
        <v>53.993354639975898</v>
      </c>
      <c r="P1638">
        <v>-5.8870652003857701E-2</v>
      </c>
      <c r="Q1638">
        <v>0</v>
      </c>
      <c r="R1638">
        <v>0.99226396933192096</v>
      </c>
      <c r="S1638" t="s">
        <v>5267</v>
      </c>
      <c r="T1638" t="s">
        <v>7256</v>
      </c>
      <c r="U1638" t="s">
        <v>7256</v>
      </c>
      <c r="V1638" t="s">
        <v>7256</v>
      </c>
      <c r="W1638">
        <v>7</v>
      </c>
      <c r="X1638" t="s">
        <v>8894</v>
      </c>
      <c r="Y1638">
        <v>0.53199565725994169</v>
      </c>
      <c r="Z1638" t="str">
        <f>HYPERLINK("Melting_Curves/meltCurve_sp_Q16576_RBBP7_HUMAN_.pdf", "Melting_Curves/meltCurve_sp_Q16576_RBBP7_HUMAN_.pdf")</f>
        <v>Melting_Curves/meltCurve_sp_Q16576_RBBP7_HUMAN_.pdf</v>
      </c>
      <c r="AA1638" t="s">
        <v>12495</v>
      </c>
      <c r="AB1638" t="s">
        <v>16063</v>
      </c>
    </row>
    <row r="1639" spans="1:28" x14ac:dyDescent="0.25">
      <c r="A1639" t="s">
        <v>1643</v>
      </c>
      <c r="B1639">
        <v>0.98018197421672304</v>
      </c>
      <c r="C1639">
        <v>1.0296088476458001</v>
      </c>
      <c r="D1639">
        <v>0.95395677310747995</v>
      </c>
      <c r="E1639">
        <v>0.84662805849594802</v>
      </c>
      <c r="F1639">
        <v>0.90551442966464002</v>
      </c>
      <c r="G1639">
        <v>0.75389848180552399</v>
      </c>
      <c r="H1639">
        <v>0.60503969521719903</v>
      </c>
      <c r="I1639">
        <v>0.63723921344726597</v>
      </c>
      <c r="J1639">
        <v>0.694854520624969</v>
      </c>
      <c r="K1639">
        <v>1.0459350798010201</v>
      </c>
      <c r="L1639">
        <v>1056.3749431240101</v>
      </c>
      <c r="M1639">
        <v>20.934478522698299</v>
      </c>
      <c r="O1639">
        <v>50.007330612746998</v>
      </c>
      <c r="P1639">
        <v>-2.60504167088304E-2</v>
      </c>
      <c r="Q1639">
        <v>0.75109455945843795</v>
      </c>
      <c r="R1639">
        <v>0.42324931589276998</v>
      </c>
      <c r="S1639" t="s">
        <v>5268</v>
      </c>
      <c r="T1639" t="s">
        <v>7256</v>
      </c>
      <c r="U1639" t="s">
        <v>7256</v>
      </c>
      <c r="V1639" t="s">
        <v>7256</v>
      </c>
      <c r="W1639">
        <v>3</v>
      </c>
      <c r="X1639" t="s">
        <v>8895</v>
      </c>
      <c r="Y1639">
        <v>0.84105676223732184</v>
      </c>
      <c r="Z1639" t="str">
        <f>HYPERLINK("Melting_Curves/meltCurve_sp_Q16625_5_OCLN_HUMAN_.pdf", "Melting_Curves/meltCurve_sp_Q16625_5_OCLN_HUMAN_.pdf")</f>
        <v>Melting_Curves/meltCurve_sp_Q16625_5_OCLN_HUMAN_.pdf</v>
      </c>
      <c r="AA1639" t="s">
        <v>12496</v>
      </c>
      <c r="AB1639" t="s">
        <v>16064</v>
      </c>
    </row>
    <row r="1640" spans="1:28" x14ac:dyDescent="0.25">
      <c r="A1640" t="s">
        <v>1644</v>
      </c>
      <c r="B1640">
        <v>0.98018197421672304</v>
      </c>
      <c r="C1640">
        <v>1.00146463799392</v>
      </c>
      <c r="D1640">
        <v>1.0743657022511099</v>
      </c>
      <c r="E1640">
        <v>0.82955225526829302</v>
      </c>
      <c r="F1640">
        <v>0.73552287830638596</v>
      </c>
      <c r="G1640">
        <v>0.34631626857667702</v>
      </c>
      <c r="H1640">
        <v>0.497224935599342</v>
      </c>
      <c r="I1640">
        <v>0.32895817790064402</v>
      </c>
      <c r="J1640">
        <v>0.68535952041773096</v>
      </c>
      <c r="K1640">
        <v>0.901723577317323</v>
      </c>
      <c r="L1640">
        <v>1910.052979348</v>
      </c>
      <c r="M1640">
        <v>37.277514560357901</v>
      </c>
      <c r="O1640">
        <v>51.091955824999999</v>
      </c>
      <c r="P1640">
        <v>-8.02198327568001E-2</v>
      </c>
      <c r="Q1640">
        <v>0.560209208740721</v>
      </c>
      <c r="R1640">
        <v>0.61257675720165405</v>
      </c>
      <c r="S1640" t="s">
        <v>5269</v>
      </c>
      <c r="T1640" t="s">
        <v>7256</v>
      </c>
      <c r="U1640" t="s">
        <v>7256</v>
      </c>
      <c r="V1640" t="s">
        <v>7256</v>
      </c>
      <c r="W1640">
        <v>1</v>
      </c>
      <c r="X1640" t="s">
        <v>8896</v>
      </c>
      <c r="Y1640">
        <v>0.72676060479379356</v>
      </c>
      <c r="Z1640" t="str">
        <f>HYPERLINK("Melting_Curves/meltCurve_sp_Q16626_MEA1_HUMAN_.pdf", "Melting_Curves/meltCurve_sp_Q16626_MEA1_HUMAN_.pdf")</f>
        <v>Melting_Curves/meltCurve_sp_Q16626_MEA1_HUMAN_.pdf</v>
      </c>
      <c r="AA1640" t="s">
        <v>12497</v>
      </c>
      <c r="AB1640" t="s">
        <v>16065</v>
      </c>
    </row>
    <row r="1641" spans="1:28" x14ac:dyDescent="0.25">
      <c r="A1641" t="s">
        <v>1645</v>
      </c>
      <c r="B1641">
        <v>0.98018197421672304</v>
      </c>
      <c r="C1641">
        <v>0.88155818512972395</v>
      </c>
      <c r="D1641">
        <v>0.78353255746964401</v>
      </c>
      <c r="E1641">
        <v>0.58350414335459599</v>
      </c>
      <c r="F1641">
        <v>0.43657549466411399</v>
      </c>
      <c r="G1641">
        <v>0.25166317538542698</v>
      </c>
      <c r="H1641">
        <v>0.17198694453928301</v>
      </c>
      <c r="I1641">
        <v>0.16100149268324099</v>
      </c>
      <c r="J1641">
        <v>0.18769030152093599</v>
      </c>
      <c r="K1641">
        <v>0.21310794194275401</v>
      </c>
      <c r="L1641">
        <v>673.12283999407896</v>
      </c>
      <c r="M1641">
        <v>13.5042022347429</v>
      </c>
      <c r="N1641">
        <v>51.1589936118325</v>
      </c>
      <c r="O1641">
        <v>48.7904720448254</v>
      </c>
      <c r="P1641">
        <v>-5.9066609433613297E-2</v>
      </c>
      <c r="Q1641">
        <v>0.146503047300414</v>
      </c>
      <c r="R1641">
        <v>0.99123218028959303</v>
      </c>
      <c r="S1641" t="s">
        <v>5270</v>
      </c>
      <c r="T1641" t="s">
        <v>7256</v>
      </c>
      <c r="U1641" t="s">
        <v>7256</v>
      </c>
      <c r="V1641" t="s">
        <v>7256</v>
      </c>
      <c r="W1641">
        <v>3</v>
      </c>
      <c r="X1641" t="s">
        <v>8897</v>
      </c>
      <c r="Y1641">
        <v>0.45117218011356142</v>
      </c>
      <c r="Z1641" t="str">
        <f>HYPERLINK("Melting_Curves/meltCurve_sp_Q16629_3_SRSF7_HUMAN_.pdf", "Melting_Curves/meltCurve_sp_Q16629_3_SRSF7_HUMAN_.pdf")</f>
        <v>Melting_Curves/meltCurve_sp_Q16629_3_SRSF7_HUMAN_.pdf</v>
      </c>
      <c r="AA1641" t="s">
        <v>12498</v>
      </c>
      <c r="AB1641" t="s">
        <v>16066</v>
      </c>
    </row>
    <row r="1642" spans="1:28" x14ac:dyDescent="0.25">
      <c r="A1642" t="s">
        <v>1646</v>
      </c>
      <c r="B1642">
        <v>0.98018197421672304</v>
      </c>
      <c r="C1642">
        <v>0.96933518287042597</v>
      </c>
      <c r="D1642">
        <v>0.67455727050315495</v>
      </c>
      <c r="E1642">
        <v>0.55555876372656299</v>
      </c>
      <c r="F1642">
        <v>0.14176463347100099</v>
      </c>
      <c r="G1642">
        <v>0.16491121802744199</v>
      </c>
      <c r="H1642">
        <v>0.108177631469838</v>
      </c>
      <c r="I1642">
        <v>0.1076024595341</v>
      </c>
      <c r="J1642">
        <v>0.110546435548442</v>
      </c>
      <c r="K1642">
        <v>0.56669246862166001</v>
      </c>
      <c r="L1642">
        <v>1045.22802952748</v>
      </c>
      <c r="M1642">
        <v>21.929928241831799</v>
      </c>
      <c r="N1642">
        <v>48.785404498037799</v>
      </c>
      <c r="O1642">
        <v>47.271157440281499</v>
      </c>
      <c r="P1642">
        <v>-9.2991980301899604E-2</v>
      </c>
      <c r="Q1642">
        <v>0.19822095192349901</v>
      </c>
      <c r="R1642">
        <v>0.81666218807999502</v>
      </c>
      <c r="S1642" t="s">
        <v>5271</v>
      </c>
      <c r="T1642" t="s">
        <v>7256</v>
      </c>
      <c r="U1642" t="s">
        <v>7256</v>
      </c>
      <c r="V1642" t="s">
        <v>7256</v>
      </c>
      <c r="W1642">
        <v>1</v>
      </c>
      <c r="X1642" t="s">
        <v>8898</v>
      </c>
      <c r="Y1642">
        <v>0.41241511076914189</v>
      </c>
      <c r="Z1642" t="str">
        <f>HYPERLINK("Melting_Curves/meltCurve_sp_Q16637_4_SMN_HUMAN_.pdf", "Melting_Curves/meltCurve_sp_Q16637_4_SMN_HUMAN_.pdf")</f>
        <v>Melting_Curves/meltCurve_sp_Q16637_4_SMN_HUMAN_.pdf</v>
      </c>
      <c r="AA1642" t="s">
        <v>12499</v>
      </c>
      <c r="AB1642" t="s">
        <v>16067</v>
      </c>
    </row>
    <row r="1643" spans="1:28" x14ac:dyDescent="0.25">
      <c r="A1643" t="s">
        <v>1647</v>
      </c>
      <c r="B1643">
        <v>0.98018197421672304</v>
      </c>
      <c r="C1643">
        <v>0.94685284615533805</v>
      </c>
      <c r="D1643">
        <v>0.90895084120449998</v>
      </c>
      <c r="E1643">
        <v>0.76689879390415105</v>
      </c>
      <c r="F1643">
        <v>0.69997249260290295</v>
      </c>
      <c r="G1643">
        <v>0.52068042731224295</v>
      </c>
      <c r="H1643">
        <v>0.22281443983131399</v>
      </c>
      <c r="I1643">
        <v>0.102384760228888</v>
      </c>
      <c r="J1643">
        <v>7.8136585522153496E-2</v>
      </c>
      <c r="K1643">
        <v>6.0025441170323601E-2</v>
      </c>
      <c r="L1643">
        <v>741.41614812244404</v>
      </c>
      <c r="M1643">
        <v>13.2578805772021</v>
      </c>
      <c r="N1643">
        <v>55.922656434879698</v>
      </c>
      <c r="O1643">
        <v>54.696302013403297</v>
      </c>
      <c r="P1643">
        <v>-6.0607614438085197E-2</v>
      </c>
      <c r="Q1643">
        <v>0</v>
      </c>
      <c r="R1643">
        <v>0.98594592772089196</v>
      </c>
      <c r="S1643" t="s">
        <v>5272</v>
      </c>
      <c r="T1643" t="s">
        <v>7256</v>
      </c>
      <c r="U1643" t="s">
        <v>7256</v>
      </c>
      <c r="V1643" t="s">
        <v>7256</v>
      </c>
      <c r="W1643">
        <v>7</v>
      </c>
      <c r="X1643" t="s">
        <v>8899</v>
      </c>
      <c r="Y1643">
        <v>0.55035234814709577</v>
      </c>
      <c r="Z1643" t="str">
        <f>HYPERLINK("Melting_Curves/meltCurve_sp_Q16658_FSCN1_HUMAN_.pdf", "Melting_Curves/meltCurve_sp_Q16658_FSCN1_HUMAN_.pdf")</f>
        <v>Melting_Curves/meltCurve_sp_Q16658_FSCN1_HUMAN_.pdf</v>
      </c>
      <c r="AA1643" t="s">
        <v>12500</v>
      </c>
      <c r="AB1643" t="s">
        <v>16068</v>
      </c>
    </row>
    <row r="1644" spans="1:28" x14ac:dyDescent="0.25">
      <c r="A1644" t="s">
        <v>1648</v>
      </c>
      <c r="B1644">
        <v>0.98018197421672304</v>
      </c>
      <c r="C1644">
        <v>0.94757910525923505</v>
      </c>
      <c r="D1644">
        <v>0.93774419918362495</v>
      </c>
      <c r="E1644">
        <v>0.84230936021200198</v>
      </c>
      <c r="F1644">
        <v>0.78065116151468705</v>
      </c>
      <c r="G1644">
        <v>0.64396653159766204</v>
      </c>
      <c r="H1644">
        <v>0.44758774875693902</v>
      </c>
      <c r="I1644">
        <v>0.35889201834651302</v>
      </c>
      <c r="J1644">
        <v>0.23860128835018299</v>
      </c>
      <c r="K1644">
        <v>0.11876257389667801</v>
      </c>
      <c r="L1644">
        <v>611.58654307747599</v>
      </c>
      <c r="M1644">
        <v>10.2634323325914</v>
      </c>
      <c r="N1644">
        <v>59.588870282592701</v>
      </c>
      <c r="O1644">
        <v>57.459619178114501</v>
      </c>
      <c r="P1644">
        <v>-4.4674624056590902E-2</v>
      </c>
      <c r="Q1644">
        <v>0</v>
      </c>
      <c r="R1644">
        <v>0.99098396848890902</v>
      </c>
      <c r="S1644" t="s">
        <v>5273</v>
      </c>
      <c r="T1644" t="s">
        <v>7256</v>
      </c>
      <c r="U1644" t="s">
        <v>7256</v>
      </c>
      <c r="V1644" t="s">
        <v>7256</v>
      </c>
      <c r="W1644">
        <v>10</v>
      </c>
      <c r="X1644" t="s">
        <v>8900</v>
      </c>
      <c r="Y1644">
        <v>0.65303421750199975</v>
      </c>
      <c r="Z1644" t="str">
        <f>HYPERLINK("Melting_Curves/meltCurve_sp_Q16719_KYNU_HUMAN_.pdf", "Melting_Curves/meltCurve_sp_Q16719_KYNU_HUMAN_.pdf")</f>
        <v>Melting_Curves/meltCurve_sp_Q16719_KYNU_HUMAN_.pdf</v>
      </c>
      <c r="AA1644" t="s">
        <v>12501</v>
      </c>
      <c r="AB1644" t="s">
        <v>16069</v>
      </c>
    </row>
    <row r="1645" spans="1:28" x14ac:dyDescent="0.25">
      <c r="A1645" t="s">
        <v>1649</v>
      </c>
      <c r="B1645">
        <v>0.98018197421672304</v>
      </c>
      <c r="C1645">
        <v>0.97600031709651802</v>
      </c>
      <c r="D1645">
        <v>0.88026396216037905</v>
      </c>
      <c r="E1645">
        <v>0.71515031720542899</v>
      </c>
      <c r="F1645">
        <v>0.50625558920229297</v>
      </c>
      <c r="G1645">
        <v>0.25219719779292099</v>
      </c>
      <c r="H1645">
        <v>0.107056761527758</v>
      </c>
      <c r="I1645">
        <v>6.8997236223048805E-2</v>
      </c>
      <c r="J1645">
        <v>6.8915473317004497E-2</v>
      </c>
      <c r="K1645">
        <v>4.9050290417068799E-2</v>
      </c>
      <c r="L1645">
        <v>810.98652329873903</v>
      </c>
      <c r="M1645">
        <v>15.3637494747411</v>
      </c>
      <c r="N1645">
        <v>52.906406990677397</v>
      </c>
      <c r="O1645">
        <v>51.9156826140946</v>
      </c>
      <c r="P1645">
        <v>-7.2717002972880598E-2</v>
      </c>
      <c r="Q1645">
        <v>1.7217598691856101E-2</v>
      </c>
      <c r="R1645">
        <v>0.99857103202346797</v>
      </c>
      <c r="S1645" t="s">
        <v>5274</v>
      </c>
      <c r="T1645" t="s">
        <v>7256</v>
      </c>
      <c r="U1645" t="s">
        <v>7256</v>
      </c>
      <c r="V1645" t="s">
        <v>7256</v>
      </c>
      <c r="W1645">
        <v>10</v>
      </c>
      <c r="X1645" t="s">
        <v>8901</v>
      </c>
      <c r="Y1645">
        <v>0.45668425849235339</v>
      </c>
      <c r="Z1645" t="str">
        <f>HYPERLINK("Melting_Curves/meltCurve_sp_Q16740_CLPP_HUMAN_.pdf", "Melting_Curves/meltCurve_sp_Q16740_CLPP_HUMAN_.pdf")</f>
        <v>Melting_Curves/meltCurve_sp_Q16740_CLPP_HUMAN_.pdf</v>
      </c>
      <c r="AA1645" t="s">
        <v>12502</v>
      </c>
      <c r="AB1645" t="s">
        <v>16070</v>
      </c>
    </row>
    <row r="1646" spans="1:28" x14ac:dyDescent="0.25">
      <c r="A1646" t="s">
        <v>1650</v>
      </c>
      <c r="B1646">
        <v>0.98018197421672304</v>
      </c>
      <c r="C1646">
        <v>0.88121817775241196</v>
      </c>
      <c r="D1646">
        <v>0.96234056229180098</v>
      </c>
      <c r="E1646">
        <v>0.72511576507185604</v>
      </c>
      <c r="F1646">
        <v>0.35000923718131899</v>
      </c>
      <c r="G1646">
        <v>0.110798759622965</v>
      </c>
      <c r="H1646">
        <v>5.31180545892454E-2</v>
      </c>
      <c r="I1646">
        <v>4.0890097692601497E-2</v>
      </c>
      <c r="J1646">
        <v>4.2759002313572998E-2</v>
      </c>
      <c r="K1646">
        <v>2.83863743759687E-2</v>
      </c>
      <c r="L1646">
        <v>1361.45377595488</v>
      </c>
      <c r="M1646">
        <v>26.367122825501301</v>
      </c>
      <c r="N1646">
        <v>51.774815213369401</v>
      </c>
      <c r="O1646">
        <v>51.340263209727098</v>
      </c>
      <c r="P1646">
        <v>-0.123968723982183</v>
      </c>
      <c r="Q1646">
        <v>3.4476820355226902E-2</v>
      </c>
      <c r="R1646">
        <v>0.99133595596581103</v>
      </c>
      <c r="S1646" t="s">
        <v>5275</v>
      </c>
      <c r="T1646" t="s">
        <v>7256</v>
      </c>
      <c r="U1646" t="s">
        <v>7256</v>
      </c>
      <c r="V1646" t="s">
        <v>7256</v>
      </c>
      <c r="W1646">
        <v>15</v>
      </c>
      <c r="X1646" t="s">
        <v>8902</v>
      </c>
      <c r="Y1646">
        <v>0.41683926944089289</v>
      </c>
      <c r="Z1646" t="str">
        <f>HYPERLINK("Melting_Curves/meltCurve_sp_Q16762_THTR_HUMAN_.pdf", "Melting_Curves/meltCurve_sp_Q16762_THTR_HUMAN_.pdf")</f>
        <v>Melting_Curves/meltCurve_sp_Q16762_THTR_HUMAN_.pdf</v>
      </c>
      <c r="AA1646" t="s">
        <v>12503</v>
      </c>
      <c r="AB1646" t="s">
        <v>16071</v>
      </c>
    </row>
    <row r="1647" spans="1:28" x14ac:dyDescent="0.25">
      <c r="A1647" t="s">
        <v>1651</v>
      </c>
      <c r="B1647">
        <v>0.98018197421672304</v>
      </c>
      <c r="C1647">
        <v>0.93117748595841998</v>
      </c>
      <c r="D1647">
        <v>0.93127977080524504</v>
      </c>
      <c r="E1647">
        <v>0.844093548898871</v>
      </c>
      <c r="F1647">
        <v>0.72438674878843801</v>
      </c>
      <c r="G1647">
        <v>0.62537928741920301</v>
      </c>
      <c r="H1647">
        <v>0.39104343542198</v>
      </c>
      <c r="I1647">
        <v>0.30815655986535501</v>
      </c>
      <c r="J1647">
        <v>0.177621986495864</v>
      </c>
      <c r="K1647">
        <v>0.106650418893548</v>
      </c>
      <c r="L1647">
        <v>621.99536301148203</v>
      </c>
      <c r="M1647">
        <v>10.6355221493373</v>
      </c>
      <c r="N1647">
        <v>58.482814413940297</v>
      </c>
      <c r="O1647">
        <v>56.528898525254903</v>
      </c>
      <c r="P1647">
        <v>-4.7053840164160997E-2</v>
      </c>
      <c r="Q1647">
        <v>0</v>
      </c>
      <c r="R1647">
        <v>0.99006791504802205</v>
      </c>
      <c r="S1647" t="s">
        <v>5276</v>
      </c>
      <c r="T1647" t="s">
        <v>7256</v>
      </c>
      <c r="U1647" t="s">
        <v>7256</v>
      </c>
      <c r="V1647" t="s">
        <v>7256</v>
      </c>
      <c r="W1647">
        <v>6</v>
      </c>
      <c r="X1647" t="s">
        <v>8903</v>
      </c>
      <c r="Y1647">
        <v>0.62440869280885991</v>
      </c>
      <c r="Z1647" t="str">
        <f>HYPERLINK("Melting_Curves/meltCurve_sp_Q16773_KAT1_HUMAN_.pdf", "Melting_Curves/meltCurve_sp_Q16773_KAT1_HUMAN_.pdf")</f>
        <v>Melting_Curves/meltCurve_sp_Q16773_KAT1_HUMAN_.pdf</v>
      </c>
      <c r="AA1647" t="s">
        <v>12504</v>
      </c>
      <c r="AB1647" t="s">
        <v>16072</v>
      </c>
    </row>
    <row r="1648" spans="1:28" x14ac:dyDescent="0.25">
      <c r="A1648" t="s">
        <v>1652</v>
      </c>
      <c r="B1648">
        <v>0.98018197421672304</v>
      </c>
      <c r="C1648">
        <v>1.00253348694641</v>
      </c>
      <c r="D1648">
        <v>0.98796703583418799</v>
      </c>
      <c r="E1648">
        <v>0.85550961002583403</v>
      </c>
      <c r="F1648">
        <v>0.84506504793242099</v>
      </c>
      <c r="G1648">
        <v>0.73333210225652301</v>
      </c>
      <c r="H1648">
        <v>0.44280555483795803</v>
      </c>
      <c r="I1648">
        <v>0.335534423846789</v>
      </c>
      <c r="J1648">
        <v>0.20547857840096101</v>
      </c>
      <c r="K1648">
        <v>0.13537910671991399</v>
      </c>
      <c r="L1648">
        <v>766.50048006246595</v>
      </c>
      <c r="M1648">
        <v>12.7090086424567</v>
      </c>
      <c r="N1648">
        <v>60.3115870611582</v>
      </c>
      <c r="O1648">
        <v>58.876835319779303</v>
      </c>
      <c r="P1648">
        <v>-5.39747955855076E-2</v>
      </c>
      <c r="Q1648">
        <v>0</v>
      </c>
      <c r="R1648">
        <v>0.98989238432011495</v>
      </c>
      <c r="S1648" t="s">
        <v>5277</v>
      </c>
      <c r="T1648" t="s">
        <v>7256</v>
      </c>
      <c r="U1648" t="s">
        <v>7256</v>
      </c>
      <c r="V1648" t="s">
        <v>7256</v>
      </c>
      <c r="W1648">
        <v>18</v>
      </c>
      <c r="X1648" t="s">
        <v>8904</v>
      </c>
      <c r="Y1648">
        <v>0.67918382454986292</v>
      </c>
      <c r="Z1648" t="str">
        <f>HYPERLINK("Melting_Curves/meltCurve_sp_Q16775_GLO2_HUMAN_.pdf", "Melting_Curves/meltCurve_sp_Q16775_GLO2_HUMAN_.pdf")</f>
        <v>Melting_Curves/meltCurve_sp_Q16775_GLO2_HUMAN_.pdf</v>
      </c>
      <c r="AA1648" t="s">
        <v>12505</v>
      </c>
      <c r="AB1648" t="s">
        <v>16073</v>
      </c>
    </row>
    <row r="1649" spans="1:28" x14ac:dyDescent="0.25">
      <c r="A1649" t="s">
        <v>1653</v>
      </c>
      <c r="B1649">
        <v>0.98018197421672304</v>
      </c>
      <c r="C1649">
        <v>0.68237685600512699</v>
      </c>
      <c r="D1649">
        <v>0.57608391201378395</v>
      </c>
      <c r="E1649">
        <v>0.24796549616883501</v>
      </c>
      <c r="F1649">
        <v>0.108504130691325</v>
      </c>
      <c r="G1649">
        <v>7.3285976260238306E-2</v>
      </c>
      <c r="H1649">
        <v>3.8722352963432898E-2</v>
      </c>
      <c r="I1649">
        <v>3.8523392552948503E-2</v>
      </c>
      <c r="J1649">
        <v>4.7181141511599203E-2</v>
      </c>
      <c r="K1649">
        <v>3.9027131444484602E-2</v>
      </c>
      <c r="L1649">
        <v>720.25546522026104</v>
      </c>
      <c r="M1649">
        <v>15.6254712969465</v>
      </c>
      <c r="N1649">
        <v>46.253486284979097</v>
      </c>
      <c r="O1649">
        <v>45.359777677375497</v>
      </c>
      <c r="P1649">
        <v>-8.3881498475594798E-2</v>
      </c>
      <c r="Q1649">
        <v>2.6072603488908001E-2</v>
      </c>
      <c r="R1649">
        <v>0.98505879939557395</v>
      </c>
      <c r="S1649" t="s">
        <v>5278</v>
      </c>
      <c r="T1649" t="s">
        <v>7256</v>
      </c>
      <c r="U1649" t="s">
        <v>7256</v>
      </c>
      <c r="V1649" t="s">
        <v>7256</v>
      </c>
      <c r="W1649">
        <v>1</v>
      </c>
      <c r="X1649" t="s">
        <v>8905</v>
      </c>
      <c r="Y1649">
        <v>0.24982356914514459</v>
      </c>
      <c r="Z1649" t="str">
        <f>HYPERLINK("Melting_Curves/meltCurve_sp_Q16787_4_LAMA3_HUMAN_.pdf", "Melting_Curves/meltCurve_sp_Q16787_4_LAMA3_HUMAN_.pdf")</f>
        <v>Melting_Curves/meltCurve_sp_Q16787_4_LAMA3_HUMAN_.pdf</v>
      </c>
      <c r="AA1649" t="s">
        <v>12506</v>
      </c>
      <c r="AB1649" t="s">
        <v>16074</v>
      </c>
    </row>
    <row r="1650" spans="1:28" x14ac:dyDescent="0.25">
      <c r="A1650" t="s">
        <v>1654</v>
      </c>
      <c r="B1650">
        <v>0.98018197421672304</v>
      </c>
      <c r="C1650">
        <v>0.85630343094181405</v>
      </c>
      <c r="D1650">
        <v>0.85195452586485199</v>
      </c>
      <c r="E1650">
        <v>0.48116860771645797</v>
      </c>
      <c r="F1650">
        <v>0.26865516936588102</v>
      </c>
      <c r="G1650">
        <v>0.14504733750898999</v>
      </c>
      <c r="H1650">
        <v>5.0113054460342199E-2</v>
      </c>
      <c r="I1650">
        <v>3.2925151237431803E-2</v>
      </c>
      <c r="J1650">
        <v>3.4175988284124201E-2</v>
      </c>
      <c r="K1650">
        <v>2.5698981793775201E-2</v>
      </c>
      <c r="L1650">
        <v>808.98692842392597</v>
      </c>
      <c r="M1650">
        <v>16.238992865173898</v>
      </c>
      <c r="N1650">
        <v>49.8986857455061</v>
      </c>
      <c r="O1650">
        <v>49.080439261239903</v>
      </c>
      <c r="P1650">
        <v>-8.1644529748894898E-2</v>
      </c>
      <c r="Q1650">
        <v>1.30287273034515E-2</v>
      </c>
      <c r="R1650">
        <v>0.99275988574951202</v>
      </c>
      <c r="S1650" t="s">
        <v>5279</v>
      </c>
      <c r="T1650" t="s">
        <v>7256</v>
      </c>
      <c r="U1650" t="s">
        <v>7256</v>
      </c>
      <c r="V1650" t="s">
        <v>7256</v>
      </c>
      <c r="W1650">
        <v>44</v>
      </c>
      <c r="X1650" t="s">
        <v>8906</v>
      </c>
      <c r="Y1650">
        <v>0.35650406575340848</v>
      </c>
      <c r="Z1650" t="str">
        <f>HYPERLINK("Melting_Curves/meltCurve_sp_Q16822_PCKGM_HUMAN_.pdf", "Melting_Curves/meltCurve_sp_Q16822_PCKGM_HUMAN_.pdf")</f>
        <v>Melting_Curves/meltCurve_sp_Q16822_PCKGM_HUMAN_.pdf</v>
      </c>
      <c r="AA1650" t="s">
        <v>12507</v>
      </c>
      <c r="AB1650" t="s">
        <v>16075</v>
      </c>
    </row>
    <row r="1651" spans="1:28" x14ac:dyDescent="0.25">
      <c r="A1651" t="s">
        <v>1655</v>
      </c>
      <c r="B1651">
        <v>0.98018197421672304</v>
      </c>
      <c r="C1651">
        <v>0.91504070637403701</v>
      </c>
      <c r="D1651">
        <v>0.81174531556648699</v>
      </c>
      <c r="E1651">
        <v>0.701186344440071</v>
      </c>
      <c r="F1651">
        <v>0.58458086502404205</v>
      </c>
      <c r="G1651">
        <v>0.37447128409457597</v>
      </c>
      <c r="H1651">
        <v>0.19665477600812001</v>
      </c>
      <c r="I1651">
        <v>9.49793750561857E-2</v>
      </c>
      <c r="J1651">
        <v>8.2664148824454803E-2</v>
      </c>
      <c r="K1651">
        <v>4.9370663270011203E-2</v>
      </c>
      <c r="L1651">
        <v>604.38876974342395</v>
      </c>
      <c r="M1651">
        <v>11.244247439765401</v>
      </c>
      <c r="N1651">
        <v>53.750930634557903</v>
      </c>
      <c r="O1651">
        <v>52.134949430474599</v>
      </c>
      <c r="P1651">
        <v>-5.3935667284486101E-2</v>
      </c>
      <c r="Q1651">
        <v>0</v>
      </c>
      <c r="R1651">
        <v>0.99161186743775798</v>
      </c>
      <c r="S1651" t="s">
        <v>5280</v>
      </c>
      <c r="T1651" t="s">
        <v>7256</v>
      </c>
      <c r="U1651" t="s">
        <v>7256</v>
      </c>
      <c r="V1651" t="s">
        <v>7256</v>
      </c>
      <c r="W1651">
        <v>3</v>
      </c>
      <c r="X1651" t="s">
        <v>8907</v>
      </c>
      <c r="Y1651">
        <v>0.48676262918701108</v>
      </c>
      <c r="Z1651" t="str">
        <f>HYPERLINK("Melting_Curves/meltCurve_sp_Q16831_UPP1_HUMAN_.pdf", "Melting_Curves/meltCurve_sp_Q16831_UPP1_HUMAN_.pdf")</f>
        <v>Melting_Curves/meltCurve_sp_Q16831_UPP1_HUMAN_.pdf</v>
      </c>
      <c r="AA1651" t="s">
        <v>12508</v>
      </c>
      <c r="AB1651" t="s">
        <v>16076</v>
      </c>
    </row>
    <row r="1652" spans="1:28" x14ac:dyDescent="0.25">
      <c r="A1652" t="s">
        <v>1656</v>
      </c>
      <c r="B1652">
        <v>0.98018197421672304</v>
      </c>
      <c r="C1652">
        <v>0.91333007056231996</v>
      </c>
      <c r="D1652">
        <v>0.97280581651198605</v>
      </c>
      <c r="E1652">
        <v>0.88218401031954097</v>
      </c>
      <c r="F1652">
        <v>0.87726679942626695</v>
      </c>
      <c r="G1652">
        <v>0.84334185921775695</v>
      </c>
      <c r="H1652">
        <v>0.64690388187717995</v>
      </c>
      <c r="I1652">
        <v>0.73520717490472998</v>
      </c>
      <c r="J1652">
        <v>0.66081459732068903</v>
      </c>
      <c r="K1652">
        <v>0.49915663072190603</v>
      </c>
      <c r="L1652">
        <v>359.25378968947899</v>
      </c>
      <c r="M1652">
        <v>4.9014392483420899</v>
      </c>
      <c r="O1652">
        <v>63.669341250158297</v>
      </c>
      <c r="P1652">
        <v>-1.9371921408719E-2</v>
      </c>
      <c r="Q1652">
        <v>0</v>
      </c>
      <c r="R1652">
        <v>0.899968377839517</v>
      </c>
      <c r="S1652" t="s">
        <v>5281</v>
      </c>
      <c r="T1652" t="s">
        <v>7256</v>
      </c>
      <c r="U1652" t="s">
        <v>7256</v>
      </c>
      <c r="V1652" t="s">
        <v>7256</v>
      </c>
      <c r="W1652">
        <v>25</v>
      </c>
      <c r="X1652" t="s">
        <v>8908</v>
      </c>
      <c r="Y1652">
        <v>0.81257389838404481</v>
      </c>
      <c r="Z1652" t="str">
        <f>HYPERLINK("Melting_Curves/meltCurve_sp_Q16836_HCDH_HUMAN_.pdf", "Melting_Curves/meltCurve_sp_Q16836_HCDH_HUMAN_.pdf")</f>
        <v>Melting_Curves/meltCurve_sp_Q16836_HCDH_HUMAN_.pdf</v>
      </c>
      <c r="AA1652" t="s">
        <v>12509</v>
      </c>
      <c r="AB1652" t="s">
        <v>16077</v>
      </c>
    </row>
    <row r="1653" spans="1:28" x14ac:dyDescent="0.25">
      <c r="A1653" t="s">
        <v>1657</v>
      </c>
      <c r="B1653">
        <v>0.98018197421672304</v>
      </c>
      <c r="C1653">
        <v>0.82203402816083904</v>
      </c>
      <c r="D1653">
        <v>0.78710777184300895</v>
      </c>
      <c r="E1653">
        <v>0.71432692473189596</v>
      </c>
      <c r="F1653">
        <v>0.50746208118270597</v>
      </c>
      <c r="G1653">
        <v>0.18361751062194501</v>
      </c>
      <c r="H1653">
        <v>7.3728501523084494E-2</v>
      </c>
      <c r="I1653">
        <v>7.1027279357727902E-2</v>
      </c>
      <c r="J1653">
        <v>8.1123802450850199E-2</v>
      </c>
      <c r="K1653">
        <v>4.5149747127621598E-2</v>
      </c>
      <c r="L1653">
        <v>669.57434069855901</v>
      </c>
      <c r="M1653">
        <v>12.842350765679299</v>
      </c>
      <c r="N1653">
        <v>52.137971037025601</v>
      </c>
      <c r="O1653">
        <v>50.922317282436602</v>
      </c>
      <c r="P1653">
        <v>-6.3060415129998798E-2</v>
      </c>
      <c r="Q1653">
        <v>0</v>
      </c>
      <c r="R1653">
        <v>0.97071584862379501</v>
      </c>
      <c r="S1653" t="s">
        <v>5282</v>
      </c>
      <c r="T1653" t="s">
        <v>7256</v>
      </c>
      <c r="U1653" t="s">
        <v>7256</v>
      </c>
      <c r="V1653" t="s">
        <v>7256</v>
      </c>
      <c r="W1653">
        <v>36</v>
      </c>
      <c r="X1653" t="s">
        <v>8909</v>
      </c>
      <c r="Y1653">
        <v>0.43235858741840572</v>
      </c>
      <c r="Z1653" t="str">
        <f>HYPERLINK("Melting_Curves/meltCurve_sp_Q16851_2_UGPA_HUMAN_.pdf", "Melting_Curves/meltCurve_sp_Q16851_2_UGPA_HUMAN_.pdf")</f>
        <v>Melting_Curves/meltCurve_sp_Q16851_2_UGPA_HUMAN_.pdf</v>
      </c>
      <c r="AA1653" t="s">
        <v>12510</v>
      </c>
      <c r="AB1653" t="s">
        <v>16078</v>
      </c>
    </row>
    <row r="1654" spans="1:28" x14ac:dyDescent="0.25">
      <c r="A1654" t="s">
        <v>1658</v>
      </c>
      <c r="B1654">
        <v>0.98018197421672304</v>
      </c>
      <c r="C1654">
        <v>1.02699702793699</v>
      </c>
      <c r="D1654">
        <v>0.92838855864555003</v>
      </c>
      <c r="E1654">
        <v>0.85504874006974596</v>
      </c>
      <c r="F1654">
        <v>0.75541150294304404</v>
      </c>
      <c r="G1654">
        <v>0.23415832015652499</v>
      </c>
      <c r="H1654">
        <v>5.1271188207091901E-2</v>
      </c>
      <c r="I1654">
        <v>3.82067010564308E-2</v>
      </c>
      <c r="J1654">
        <v>3.6676406158092402E-2</v>
      </c>
      <c r="K1654">
        <v>2.6842003618618399E-2</v>
      </c>
      <c r="L1654">
        <v>1516.77120797265</v>
      </c>
      <c r="M1654">
        <v>27.755138665237599</v>
      </c>
      <c r="N1654">
        <v>54.718477086304098</v>
      </c>
      <c r="O1654">
        <v>54.3669752707412</v>
      </c>
      <c r="P1654">
        <v>-0.12539860529963201</v>
      </c>
      <c r="Q1654">
        <v>1.7481792209121601E-2</v>
      </c>
      <c r="R1654">
        <v>0.99198956145183304</v>
      </c>
      <c r="S1654" t="s">
        <v>5283</v>
      </c>
      <c r="T1654" t="s">
        <v>7256</v>
      </c>
      <c r="U1654" t="s">
        <v>7256</v>
      </c>
      <c r="V1654" t="s">
        <v>7256</v>
      </c>
      <c r="W1654">
        <v>37</v>
      </c>
      <c r="X1654" t="s">
        <v>8910</v>
      </c>
      <c r="Y1654">
        <v>0.50474424805802076</v>
      </c>
      <c r="Z1654" t="str">
        <f>HYPERLINK("Melting_Curves/meltCurve_sp_Q16851_UGPA_HUMAN_.pdf", "Melting_Curves/meltCurve_sp_Q16851_UGPA_HUMAN_.pdf")</f>
        <v>Melting_Curves/meltCurve_sp_Q16851_UGPA_HUMAN_.pdf</v>
      </c>
      <c r="AA1654" t="s">
        <v>12510</v>
      </c>
      <c r="AB1654" t="s">
        <v>16079</v>
      </c>
    </row>
    <row r="1655" spans="1:28" x14ac:dyDescent="0.25">
      <c r="A1655" t="s">
        <v>1659</v>
      </c>
      <c r="B1655">
        <v>0.98018197421672304</v>
      </c>
      <c r="C1655">
        <v>1.00916291246181</v>
      </c>
      <c r="D1655">
        <v>0.89111561600937905</v>
      </c>
      <c r="E1655">
        <v>0.801330407373266</v>
      </c>
      <c r="F1655">
        <v>0.77618162208650399</v>
      </c>
      <c r="G1655">
        <v>0.68108792035869103</v>
      </c>
      <c r="H1655">
        <v>0.488254737473448</v>
      </c>
      <c r="I1655">
        <v>0.39144453562016002</v>
      </c>
      <c r="J1655">
        <v>0.10661788690172801</v>
      </c>
      <c r="K1655">
        <v>3.2869958403081698E-2</v>
      </c>
      <c r="L1655">
        <v>699.34172404887295</v>
      </c>
      <c r="M1655">
        <v>11.761257555065599</v>
      </c>
      <c r="N1655">
        <v>59.461475199330501</v>
      </c>
      <c r="O1655">
        <v>57.820555432544097</v>
      </c>
      <c r="P1655">
        <v>-5.0865657207529801E-2</v>
      </c>
      <c r="Q1655">
        <v>0</v>
      </c>
      <c r="R1655">
        <v>0.948528221291979</v>
      </c>
      <c r="S1655" t="s">
        <v>5284</v>
      </c>
      <c r="T1655" t="s">
        <v>7256</v>
      </c>
      <c r="U1655" t="s">
        <v>7256</v>
      </c>
      <c r="V1655" t="s">
        <v>7256</v>
      </c>
      <c r="W1655">
        <v>5</v>
      </c>
      <c r="X1655" t="s">
        <v>8911</v>
      </c>
      <c r="Y1655">
        <v>0.65369410696682517</v>
      </c>
      <c r="Z1655" t="str">
        <f>HYPERLINK("Melting_Curves/meltCurve_sp_Q16854_DGUOK_HUMAN_.pdf", "Melting_Curves/meltCurve_sp_Q16854_DGUOK_HUMAN_.pdf")</f>
        <v>Melting_Curves/meltCurve_sp_Q16854_DGUOK_HUMAN_.pdf</v>
      </c>
      <c r="AA1655" t="s">
        <v>12511</v>
      </c>
      <c r="AB1655" t="s">
        <v>16080</v>
      </c>
    </row>
    <row r="1656" spans="1:28" x14ac:dyDescent="0.25">
      <c r="A1656" t="s">
        <v>1660</v>
      </c>
      <c r="B1656">
        <v>0.98018197421672304</v>
      </c>
      <c r="C1656">
        <v>0.58102334743056705</v>
      </c>
      <c r="D1656">
        <v>0.90951618742187901</v>
      </c>
      <c r="E1656">
        <v>0.75972481773638501</v>
      </c>
      <c r="F1656">
        <v>0.78576195655672998</v>
      </c>
      <c r="G1656">
        <v>0.49063692982593599</v>
      </c>
      <c r="H1656">
        <v>0.37603388073037303</v>
      </c>
      <c r="I1656">
        <v>0.36630164141066601</v>
      </c>
      <c r="J1656">
        <v>0.320170268018732</v>
      </c>
      <c r="K1656">
        <v>0.37024856734378597</v>
      </c>
      <c r="L1656">
        <v>298.33893742989</v>
      </c>
      <c r="M1656">
        <v>5.0709451447795102</v>
      </c>
      <c r="N1656">
        <v>58.832994839312398</v>
      </c>
      <c r="O1656">
        <v>51.515460126420898</v>
      </c>
      <c r="P1656">
        <v>-2.4752537911653699E-2</v>
      </c>
      <c r="Q1656">
        <v>0</v>
      </c>
      <c r="R1656">
        <v>0.75009283172057295</v>
      </c>
      <c r="S1656" t="s">
        <v>5285</v>
      </c>
      <c r="T1656" t="s">
        <v>7256</v>
      </c>
      <c r="U1656" t="s">
        <v>7256</v>
      </c>
      <c r="V1656" t="s">
        <v>7256</v>
      </c>
      <c r="W1656">
        <v>2</v>
      </c>
      <c r="X1656" t="s">
        <v>8912</v>
      </c>
      <c r="Y1656">
        <v>0.59874575904275729</v>
      </c>
      <c r="Z1656" t="str">
        <f>HYPERLINK("Melting_Curves/meltCurve_sp_Q17R31_5_TATD3_HUMAN_.pdf", "Melting_Curves/meltCurve_sp_Q17R31_5_TATD3_HUMAN_.pdf")</f>
        <v>Melting_Curves/meltCurve_sp_Q17R31_5_TATD3_HUMAN_.pdf</v>
      </c>
      <c r="AA1656" t="s">
        <v>12512</v>
      </c>
      <c r="AB1656" t="s">
        <v>16081</v>
      </c>
    </row>
    <row r="1657" spans="1:28" x14ac:dyDescent="0.25">
      <c r="A1657" t="s">
        <v>1661</v>
      </c>
      <c r="B1657">
        <v>0.98018197421672304</v>
      </c>
      <c r="C1657">
        <v>0.91985930100815305</v>
      </c>
      <c r="D1657">
        <v>0.68962158541520802</v>
      </c>
      <c r="E1657">
        <v>0.56533025596279196</v>
      </c>
      <c r="F1657">
        <v>0.47015917304802002</v>
      </c>
      <c r="G1657">
        <v>0.31946839376385799</v>
      </c>
      <c r="H1657">
        <v>0.31141412410475</v>
      </c>
      <c r="I1657">
        <v>0.35800696289469902</v>
      </c>
      <c r="J1657">
        <v>0.47723235968944</v>
      </c>
      <c r="K1657">
        <v>0.65681489753481603</v>
      </c>
      <c r="L1657">
        <v>1019.95146427776</v>
      </c>
      <c r="M1657">
        <v>22.164685418444002</v>
      </c>
      <c r="N1657">
        <v>50.532613874093897</v>
      </c>
      <c r="O1657">
        <v>45.647286112900701</v>
      </c>
      <c r="P1657">
        <v>-6.9071659915606598E-2</v>
      </c>
      <c r="Q1657">
        <v>0.43101093549533398</v>
      </c>
      <c r="R1657">
        <v>0.81945660988086699</v>
      </c>
      <c r="S1657" t="s">
        <v>5286</v>
      </c>
      <c r="T1657" t="s">
        <v>7256</v>
      </c>
      <c r="U1657" t="s">
        <v>7256</v>
      </c>
      <c r="V1657" t="s">
        <v>7256</v>
      </c>
      <c r="W1657">
        <v>6</v>
      </c>
      <c r="X1657" t="s">
        <v>8913</v>
      </c>
      <c r="Y1657">
        <v>0.5520654732463447</v>
      </c>
      <c r="Z1657" t="str">
        <f>HYPERLINK("Melting_Curves/meltCurve_sp_Q17RC7_EX3L4_HUMAN_.pdf", "Melting_Curves/meltCurve_sp_Q17RC7_EX3L4_HUMAN_.pdf")</f>
        <v>Melting_Curves/meltCurve_sp_Q17RC7_EX3L4_HUMAN_.pdf</v>
      </c>
      <c r="AA1657" t="s">
        <v>12513</v>
      </c>
      <c r="AB1657" t="s">
        <v>16082</v>
      </c>
    </row>
    <row r="1658" spans="1:28" x14ac:dyDescent="0.25">
      <c r="A1658" t="s">
        <v>1662</v>
      </c>
      <c r="B1658">
        <v>0.98018197421672304</v>
      </c>
      <c r="C1658">
        <v>0.95074240579189195</v>
      </c>
      <c r="D1658">
        <v>0.83161601763570503</v>
      </c>
      <c r="E1658">
        <v>0.75988286238279401</v>
      </c>
      <c r="F1658">
        <v>0.62082604667291597</v>
      </c>
      <c r="G1658">
        <v>0.388934505630329</v>
      </c>
      <c r="H1658">
        <v>0.41856479526712398</v>
      </c>
      <c r="I1658">
        <v>0.48768627509035001</v>
      </c>
      <c r="J1658">
        <v>0.63132024448068502</v>
      </c>
      <c r="K1658">
        <v>0.61722108540207299</v>
      </c>
      <c r="L1658">
        <v>933.96924310236795</v>
      </c>
      <c r="M1658">
        <v>19.203588174385899</v>
      </c>
      <c r="O1658">
        <v>48.116952941464497</v>
      </c>
      <c r="P1658">
        <v>-4.87291145519438E-2</v>
      </c>
      <c r="Q1658">
        <v>0.51163145991019099</v>
      </c>
      <c r="R1658">
        <v>0.83090565828184104</v>
      </c>
      <c r="S1658" t="s">
        <v>5287</v>
      </c>
      <c r="T1658" t="s">
        <v>7256</v>
      </c>
      <c r="U1658" t="s">
        <v>7256</v>
      </c>
      <c r="V1658" t="s">
        <v>7256</v>
      </c>
      <c r="W1658">
        <v>1</v>
      </c>
      <c r="X1658" t="s">
        <v>8914</v>
      </c>
      <c r="Y1658">
        <v>0.65967013865533242</v>
      </c>
      <c r="Z1658" t="str">
        <f>HYPERLINK("Melting_Curves/meltCurve_sp_Q1W6H9_F110C_HUMAN_.pdf", "Melting_Curves/meltCurve_sp_Q1W6H9_F110C_HUMAN_.pdf")</f>
        <v>Melting_Curves/meltCurve_sp_Q1W6H9_F110C_HUMAN_.pdf</v>
      </c>
      <c r="AA1658" t="s">
        <v>12514</v>
      </c>
      <c r="AB1658" t="s">
        <v>16083</v>
      </c>
    </row>
    <row r="1659" spans="1:28" x14ac:dyDescent="0.25">
      <c r="A1659" t="s">
        <v>1663</v>
      </c>
      <c r="B1659">
        <v>0.98018197421672304</v>
      </c>
      <c r="C1659">
        <v>0.94918123226136197</v>
      </c>
      <c r="D1659">
        <v>0.82778460604219295</v>
      </c>
      <c r="E1659">
        <v>0.59803075766300096</v>
      </c>
      <c r="F1659">
        <v>0.35168275123997</v>
      </c>
      <c r="G1659">
        <v>0.13940150450769301</v>
      </c>
      <c r="H1659">
        <v>7.8075541859807196E-2</v>
      </c>
      <c r="I1659">
        <v>5.2437053729666103E-2</v>
      </c>
      <c r="J1659">
        <v>5.90780401746391E-2</v>
      </c>
      <c r="K1659">
        <v>5.0361324572225398E-2</v>
      </c>
      <c r="L1659">
        <v>843.00106025441005</v>
      </c>
      <c r="M1659">
        <v>16.614099356654101</v>
      </c>
      <c r="N1659">
        <v>50.921163016041</v>
      </c>
      <c r="O1659">
        <v>50.022090432228403</v>
      </c>
      <c r="P1659">
        <v>-8.0657910876106104E-2</v>
      </c>
      <c r="Q1659">
        <v>2.8679357770747899E-2</v>
      </c>
      <c r="R1659">
        <v>0.99837706930440595</v>
      </c>
      <c r="S1659" t="s">
        <v>5288</v>
      </c>
      <c r="T1659" t="s">
        <v>7256</v>
      </c>
      <c r="U1659" t="s">
        <v>7256</v>
      </c>
      <c r="V1659" t="s">
        <v>7256</v>
      </c>
      <c r="W1659">
        <v>10</v>
      </c>
      <c r="X1659" t="s">
        <v>8915</v>
      </c>
      <c r="Y1659">
        <v>0.39537781681627521</v>
      </c>
      <c r="Z1659" t="str">
        <f>HYPERLINK("Melting_Curves/meltCurve_sp_Q27J81_INF2_HUMAN_.pdf", "Melting_Curves/meltCurve_sp_Q27J81_INF2_HUMAN_.pdf")</f>
        <v>Melting_Curves/meltCurve_sp_Q27J81_INF2_HUMAN_.pdf</v>
      </c>
      <c r="AA1659" t="s">
        <v>12515</v>
      </c>
      <c r="AB1659" t="s">
        <v>16084</v>
      </c>
    </row>
    <row r="1660" spans="1:28" x14ac:dyDescent="0.25">
      <c r="A1660" t="s">
        <v>1664</v>
      </c>
      <c r="B1660">
        <v>0.98018197421672304</v>
      </c>
      <c r="C1660">
        <v>0.98909688899298498</v>
      </c>
      <c r="D1660">
        <v>0.82263761793754098</v>
      </c>
      <c r="E1660">
        <v>0.54290550762395895</v>
      </c>
      <c r="F1660">
        <v>0.58760868566912805</v>
      </c>
      <c r="G1660">
        <v>0.54413218682672104</v>
      </c>
      <c r="H1660">
        <v>0.38272710133837701</v>
      </c>
      <c r="I1660">
        <v>0.40499221566909799</v>
      </c>
      <c r="J1660">
        <v>0.52378237322040799</v>
      </c>
      <c r="K1660">
        <v>0.60578521303723298</v>
      </c>
      <c r="L1660">
        <v>1426.4268632850701</v>
      </c>
      <c r="M1660">
        <v>30.4122826712712</v>
      </c>
      <c r="O1660">
        <v>46.701591932958898</v>
      </c>
      <c r="P1660">
        <v>-8.1160595394578705E-2</v>
      </c>
      <c r="Q1660">
        <v>0.50147699915397703</v>
      </c>
      <c r="R1660">
        <v>0.90002871074866297</v>
      </c>
      <c r="S1660" t="s">
        <v>5289</v>
      </c>
      <c r="T1660" t="s">
        <v>7256</v>
      </c>
      <c r="U1660" t="s">
        <v>7256</v>
      </c>
      <c r="V1660" t="s">
        <v>7256</v>
      </c>
      <c r="W1660">
        <v>11</v>
      </c>
      <c r="X1660" t="s">
        <v>8916</v>
      </c>
      <c r="Y1660">
        <v>0.61909199291899009</v>
      </c>
      <c r="Z1660" t="str">
        <f>HYPERLINK("Melting_Curves/meltCurve_sp_Q29RF7_PDS5A_HUMAN_.pdf", "Melting_Curves/meltCurve_sp_Q29RF7_PDS5A_HUMAN_.pdf")</f>
        <v>Melting_Curves/meltCurve_sp_Q29RF7_PDS5A_HUMAN_.pdf</v>
      </c>
      <c r="AA1660" t="s">
        <v>12516</v>
      </c>
      <c r="AB1660" t="s">
        <v>16085</v>
      </c>
    </row>
    <row r="1661" spans="1:28" x14ac:dyDescent="0.25">
      <c r="A1661" t="s">
        <v>1665</v>
      </c>
      <c r="B1661">
        <v>0.98018197421672304</v>
      </c>
      <c r="C1661">
        <v>0.95890870371950199</v>
      </c>
      <c r="D1661">
        <v>0.80456049940885199</v>
      </c>
      <c r="E1661">
        <v>0.68327169384105302</v>
      </c>
      <c r="F1661">
        <v>0.48237817507150998</v>
      </c>
      <c r="G1661">
        <v>0.38159921424785698</v>
      </c>
      <c r="H1661">
        <v>0.24535056019698501</v>
      </c>
      <c r="I1661">
        <v>0.117240391083948</v>
      </c>
      <c r="J1661">
        <v>0.149058802341446</v>
      </c>
      <c r="K1661">
        <v>6.7981946320940401E-2</v>
      </c>
      <c r="L1661">
        <v>535.75347742884401</v>
      </c>
      <c r="M1661">
        <v>10.0227431380523</v>
      </c>
      <c r="N1661">
        <v>53.453776352479601</v>
      </c>
      <c r="O1661">
        <v>51.456587005668503</v>
      </c>
      <c r="P1661">
        <v>-4.8718621041243498E-2</v>
      </c>
      <c r="Q1661">
        <v>0</v>
      </c>
      <c r="R1661">
        <v>0.99173862722127304</v>
      </c>
      <c r="S1661" t="s">
        <v>5290</v>
      </c>
      <c r="T1661" t="s">
        <v>7256</v>
      </c>
      <c r="U1661" t="s">
        <v>7256</v>
      </c>
      <c r="V1661" t="s">
        <v>7256</v>
      </c>
      <c r="W1661">
        <v>1</v>
      </c>
      <c r="X1661" t="s">
        <v>8917</v>
      </c>
      <c r="Y1661">
        <v>0.48083100680138979</v>
      </c>
      <c r="Z1661" t="str">
        <f>HYPERLINK("Melting_Curves/meltCurve_sp_Q2KHT3_CL16A_HUMAN_.pdf", "Melting_Curves/meltCurve_sp_Q2KHT3_CL16A_HUMAN_.pdf")</f>
        <v>Melting_Curves/meltCurve_sp_Q2KHT3_CL16A_HUMAN_.pdf</v>
      </c>
      <c r="AA1661" t="s">
        <v>12517</v>
      </c>
      <c r="AB1661" t="s">
        <v>16086</v>
      </c>
    </row>
    <row r="1662" spans="1:28" x14ac:dyDescent="0.25">
      <c r="A1662" t="s">
        <v>1666</v>
      </c>
      <c r="B1662">
        <v>0.98018197421672304</v>
      </c>
      <c r="C1662">
        <v>0.88952819953394502</v>
      </c>
      <c r="D1662">
        <v>0.75206061018937198</v>
      </c>
      <c r="E1662">
        <v>0.48327123887094697</v>
      </c>
      <c r="F1662">
        <v>0.28110010344278902</v>
      </c>
      <c r="G1662">
        <v>0.219821586010848</v>
      </c>
      <c r="H1662">
        <v>0.14375715453351201</v>
      </c>
      <c r="I1662">
        <v>0.133900059410231</v>
      </c>
      <c r="J1662">
        <v>0.12165801458778799</v>
      </c>
      <c r="K1662">
        <v>3.6906511068489398E-2</v>
      </c>
      <c r="L1662">
        <v>705.03453112224599</v>
      </c>
      <c r="M1662">
        <v>14.373834972665</v>
      </c>
      <c r="N1662">
        <v>49.6641379822521</v>
      </c>
      <c r="O1662">
        <v>48.129776693254897</v>
      </c>
      <c r="P1662">
        <v>-6.8589644201649605E-2</v>
      </c>
      <c r="Q1662">
        <v>8.1439240912309002E-2</v>
      </c>
      <c r="R1662">
        <v>0.99395329028659196</v>
      </c>
      <c r="S1662" t="s">
        <v>5291</v>
      </c>
      <c r="T1662" t="s">
        <v>7256</v>
      </c>
      <c r="U1662" t="s">
        <v>7256</v>
      </c>
      <c r="V1662" t="s">
        <v>7256</v>
      </c>
      <c r="W1662">
        <v>13</v>
      </c>
      <c r="X1662" t="s">
        <v>8918</v>
      </c>
      <c r="Y1662">
        <v>0.3830290606490358</v>
      </c>
      <c r="Z1662" t="str">
        <f>HYPERLINK("Melting_Curves/meltCurve_sp_Q2M389_WASH7_HUMAN_.pdf", "Melting_Curves/meltCurve_sp_Q2M389_WASH7_HUMAN_.pdf")</f>
        <v>Melting_Curves/meltCurve_sp_Q2M389_WASH7_HUMAN_.pdf</v>
      </c>
      <c r="AA1662" t="s">
        <v>12518</v>
      </c>
      <c r="AB1662" t="s">
        <v>16087</v>
      </c>
    </row>
    <row r="1663" spans="1:28" x14ac:dyDescent="0.25">
      <c r="A1663" t="s">
        <v>1667</v>
      </c>
      <c r="B1663">
        <v>0.98018197421672304</v>
      </c>
      <c r="C1663">
        <v>0.84660032612152103</v>
      </c>
      <c r="D1663">
        <v>0.90275371809085403</v>
      </c>
      <c r="E1663">
        <v>0.52616581142352203</v>
      </c>
      <c r="F1663">
        <v>0.332522852813392</v>
      </c>
      <c r="G1663">
        <v>0.288712450544515</v>
      </c>
      <c r="H1663">
        <v>0.17461985608686501</v>
      </c>
      <c r="I1663">
        <v>0.11733550145206401</v>
      </c>
      <c r="J1663">
        <v>7.9983962177579193E-2</v>
      </c>
      <c r="K1663">
        <v>0.111775331734889</v>
      </c>
      <c r="L1663">
        <v>733.84645419466005</v>
      </c>
      <c r="M1663">
        <v>14.625729783631799</v>
      </c>
      <c r="N1663">
        <v>50.880838122940503</v>
      </c>
      <c r="O1663">
        <v>49.265024128270099</v>
      </c>
      <c r="P1663">
        <v>-6.7412781066599495E-2</v>
      </c>
      <c r="Q1663">
        <v>9.1813685594151206E-2</v>
      </c>
      <c r="R1663">
        <v>0.97844914737719002</v>
      </c>
      <c r="S1663" t="s">
        <v>5292</v>
      </c>
      <c r="T1663" t="s">
        <v>7256</v>
      </c>
      <c r="U1663" t="s">
        <v>7256</v>
      </c>
      <c r="V1663" t="s">
        <v>7256</v>
      </c>
      <c r="W1663">
        <v>2</v>
      </c>
      <c r="X1663" t="s">
        <v>8919</v>
      </c>
      <c r="Y1663">
        <v>0.42234514533960732</v>
      </c>
      <c r="Z1663" t="str">
        <f>HYPERLINK("Melting_Curves/meltCurve_sp_Q2PPJ7_3_RGPA2_HUMAN_.pdf", "Melting_Curves/meltCurve_sp_Q2PPJ7_3_RGPA2_HUMAN_.pdf")</f>
        <v>Melting_Curves/meltCurve_sp_Q2PPJ7_3_RGPA2_HUMAN_.pdf</v>
      </c>
      <c r="AA1663" t="s">
        <v>12519</v>
      </c>
      <c r="AB1663" t="s">
        <v>16088</v>
      </c>
    </row>
    <row r="1664" spans="1:28" x14ac:dyDescent="0.25">
      <c r="A1664" t="s">
        <v>1668</v>
      </c>
      <c r="B1664">
        <v>0.98018197421672304</v>
      </c>
      <c r="C1664">
        <v>0.94711242182593203</v>
      </c>
      <c r="D1664">
        <v>0.86501518189528304</v>
      </c>
      <c r="E1664">
        <v>0.78899073774038697</v>
      </c>
      <c r="F1664">
        <v>0.64190737869326597</v>
      </c>
      <c r="G1664">
        <v>0.28717461336186401</v>
      </c>
      <c r="H1664">
        <v>0.17818927622737499</v>
      </c>
      <c r="I1664">
        <v>0.121792419451908</v>
      </c>
      <c r="J1664">
        <v>0.17016019096677101</v>
      </c>
      <c r="K1664">
        <v>0.14382835684901299</v>
      </c>
      <c r="L1664">
        <v>914.02277522440602</v>
      </c>
      <c r="M1664">
        <v>17.121992409286399</v>
      </c>
      <c r="N1664">
        <v>54.132436807112001</v>
      </c>
      <c r="O1664">
        <v>52.670734876926502</v>
      </c>
      <c r="P1664">
        <v>-7.2697354234933106E-2</v>
      </c>
      <c r="Q1664">
        <v>0.105526267755847</v>
      </c>
      <c r="R1664">
        <v>0.98517299717550899</v>
      </c>
      <c r="S1664" t="s">
        <v>5293</v>
      </c>
      <c r="T1664" t="s">
        <v>7256</v>
      </c>
      <c r="U1664" t="s">
        <v>7256</v>
      </c>
      <c r="V1664" t="s">
        <v>7256</v>
      </c>
      <c r="W1664">
        <v>1</v>
      </c>
      <c r="X1664" t="s">
        <v>8920</v>
      </c>
      <c r="Y1664">
        <v>0.52023643439573142</v>
      </c>
      <c r="Z1664" t="str">
        <f>HYPERLINK("Melting_Curves/meltCurve_sp_Q2T9J0_TYSD1_HUMAN_.pdf", "Melting_Curves/meltCurve_sp_Q2T9J0_TYSD1_HUMAN_.pdf")</f>
        <v>Melting_Curves/meltCurve_sp_Q2T9J0_TYSD1_HUMAN_.pdf</v>
      </c>
      <c r="AA1664" t="s">
        <v>12520</v>
      </c>
      <c r="AB1664" t="s">
        <v>16089</v>
      </c>
    </row>
    <row r="1665" spans="1:28" x14ac:dyDescent="0.25">
      <c r="A1665" t="s">
        <v>1669</v>
      </c>
      <c r="B1665">
        <v>0.98018197421672304</v>
      </c>
      <c r="C1665">
        <v>0.80318741524761805</v>
      </c>
      <c r="D1665">
        <v>0.73582399211890204</v>
      </c>
      <c r="E1665">
        <v>0.64560660206845799</v>
      </c>
      <c r="F1665">
        <v>0.55173637370059003</v>
      </c>
      <c r="G1665">
        <v>0.305637732142573</v>
      </c>
      <c r="H1665">
        <v>0.31377453911672698</v>
      </c>
      <c r="I1665">
        <v>0.111882511539562</v>
      </c>
      <c r="J1665">
        <v>0.23058641680055</v>
      </c>
      <c r="K1665">
        <v>0.242754104422645</v>
      </c>
      <c r="L1665">
        <v>457.62948773716499</v>
      </c>
      <c r="M1665">
        <v>8.91924502372731</v>
      </c>
      <c r="N1665">
        <v>52.703493378440101</v>
      </c>
      <c r="O1665">
        <v>48.925547578478003</v>
      </c>
      <c r="P1665">
        <v>-4.0813131484081298E-2</v>
      </c>
      <c r="Q1665">
        <v>0.105168517297132</v>
      </c>
      <c r="R1665">
        <v>0.951148581082496</v>
      </c>
      <c r="S1665" t="s">
        <v>5294</v>
      </c>
      <c r="T1665" t="s">
        <v>7256</v>
      </c>
      <c r="U1665" t="s">
        <v>7256</v>
      </c>
      <c r="V1665" t="s">
        <v>7256</v>
      </c>
      <c r="W1665">
        <v>1</v>
      </c>
      <c r="X1665" t="s">
        <v>8921</v>
      </c>
      <c r="Y1665">
        <v>0.48368970844654952</v>
      </c>
      <c r="Z1665" t="str">
        <f>HYPERLINK("Melting_Curves/meltCurve_sp_Q2TAZ0_ATG2A_HUMAN_.pdf", "Melting_Curves/meltCurve_sp_Q2TAZ0_ATG2A_HUMAN_.pdf")</f>
        <v>Melting_Curves/meltCurve_sp_Q2TAZ0_ATG2A_HUMAN_.pdf</v>
      </c>
      <c r="AA1665" t="s">
        <v>12521</v>
      </c>
      <c r="AB1665" t="s">
        <v>16090</v>
      </c>
    </row>
    <row r="1666" spans="1:28" x14ac:dyDescent="0.25">
      <c r="A1666" t="s">
        <v>1670</v>
      </c>
      <c r="B1666">
        <v>0.98018197421672304</v>
      </c>
      <c r="C1666">
        <v>0.90706938508783297</v>
      </c>
      <c r="D1666">
        <v>0.92468298824712802</v>
      </c>
      <c r="E1666">
        <v>0.75793886664121901</v>
      </c>
      <c r="F1666">
        <v>0.70168808137082594</v>
      </c>
      <c r="G1666">
        <v>0.41283363851670501</v>
      </c>
      <c r="H1666">
        <v>0.204824939879857</v>
      </c>
      <c r="I1666">
        <v>0.10183001647559201</v>
      </c>
      <c r="J1666">
        <v>3.3199513278083001E-2</v>
      </c>
      <c r="K1666">
        <v>0.14969975150411699</v>
      </c>
      <c r="L1666">
        <v>733.68548393997605</v>
      </c>
      <c r="M1666">
        <v>13.279013371075299</v>
      </c>
      <c r="N1666">
        <v>55.274965936141001</v>
      </c>
      <c r="O1666">
        <v>54.043569021064897</v>
      </c>
      <c r="P1666">
        <v>-6.1264700390157703E-2</v>
      </c>
      <c r="Q1666">
        <v>2.8100568206480699E-3</v>
      </c>
      <c r="R1666">
        <v>0.98042804215687995</v>
      </c>
      <c r="S1666" t="s">
        <v>5295</v>
      </c>
      <c r="T1666" t="s">
        <v>7256</v>
      </c>
      <c r="U1666" t="s">
        <v>7256</v>
      </c>
      <c r="V1666" t="s">
        <v>7256</v>
      </c>
      <c r="W1666">
        <v>1</v>
      </c>
      <c r="X1666" t="s">
        <v>8922</v>
      </c>
      <c r="Y1666">
        <v>0.53084644244893187</v>
      </c>
      <c r="Z1666" t="str">
        <f>HYPERLINK("Melting_Curves/meltCurve_sp_Q32M88_ATHL1_HUMAN_.pdf", "Melting_Curves/meltCurve_sp_Q32M88_ATHL1_HUMAN_.pdf")</f>
        <v>Melting_Curves/meltCurve_sp_Q32M88_ATHL1_HUMAN_.pdf</v>
      </c>
      <c r="AA1666" t="s">
        <v>12522</v>
      </c>
      <c r="AB1666" t="s">
        <v>16091</v>
      </c>
    </row>
    <row r="1667" spans="1:28" x14ac:dyDescent="0.25">
      <c r="A1667" t="s">
        <v>1671</v>
      </c>
      <c r="B1667">
        <v>0.98018197421672304</v>
      </c>
      <c r="C1667">
        <v>0.93011944415884296</v>
      </c>
      <c r="D1667">
        <v>0.91194147845936002</v>
      </c>
      <c r="E1667">
        <v>0.77851482488580903</v>
      </c>
      <c r="F1667">
        <v>0.70722056254714505</v>
      </c>
      <c r="G1667">
        <v>0.54034552396951796</v>
      </c>
      <c r="H1667">
        <v>0.50601084318297196</v>
      </c>
      <c r="I1667">
        <v>0.54580711493454903</v>
      </c>
      <c r="J1667">
        <v>0.57397574888220904</v>
      </c>
      <c r="K1667">
        <v>0.66233385268529799</v>
      </c>
      <c r="L1667">
        <v>897.33673659202498</v>
      </c>
      <c r="M1667">
        <v>18.058928021389502</v>
      </c>
      <c r="O1667">
        <v>49.092089131627901</v>
      </c>
      <c r="P1667">
        <v>-4.0473670694116802E-2</v>
      </c>
      <c r="Q1667">
        <v>0.55992066199801405</v>
      </c>
      <c r="R1667">
        <v>0.91978296103222401</v>
      </c>
      <c r="S1667" t="s">
        <v>5296</v>
      </c>
      <c r="T1667" t="s">
        <v>7256</v>
      </c>
      <c r="U1667" t="s">
        <v>7256</v>
      </c>
      <c r="V1667" t="s">
        <v>7256</v>
      </c>
      <c r="W1667">
        <v>19</v>
      </c>
      <c r="X1667" t="s">
        <v>8923</v>
      </c>
      <c r="Y1667">
        <v>0.7095465128340247</v>
      </c>
      <c r="Z1667" t="str">
        <f>HYPERLINK("Melting_Curves/meltCurve_sp_Q32MZ4_2_LRRF1_HUMAN_.pdf", "Melting_Curves/meltCurve_sp_Q32MZ4_2_LRRF1_HUMAN_.pdf")</f>
        <v>Melting_Curves/meltCurve_sp_Q32MZ4_2_LRRF1_HUMAN_.pdf</v>
      </c>
      <c r="AA1667" t="s">
        <v>12523</v>
      </c>
      <c r="AB1667" t="s">
        <v>16092</v>
      </c>
    </row>
    <row r="1668" spans="1:28" x14ac:dyDescent="0.25">
      <c r="A1668" t="s">
        <v>1672</v>
      </c>
      <c r="B1668">
        <v>0.98018197421672304</v>
      </c>
      <c r="C1668">
        <v>0.829691598645523</v>
      </c>
      <c r="D1668">
        <v>0.78524252199436195</v>
      </c>
      <c r="E1668">
        <v>0.59618304524472898</v>
      </c>
      <c r="F1668">
        <v>0.453090879508878</v>
      </c>
      <c r="G1668">
        <v>0.29752942935744903</v>
      </c>
      <c r="H1668">
        <v>0.219129400321046</v>
      </c>
      <c r="I1668">
        <v>0.201473996709119</v>
      </c>
      <c r="J1668">
        <v>0.30153831000725401</v>
      </c>
      <c r="K1668">
        <v>0.24415546898648399</v>
      </c>
      <c r="L1668">
        <v>619.41260006367895</v>
      </c>
      <c r="M1668">
        <v>12.561440589880799</v>
      </c>
      <c r="N1668">
        <v>51.448411083005197</v>
      </c>
      <c r="O1668">
        <v>48.110950853505003</v>
      </c>
      <c r="P1668">
        <v>-5.2012481956001999E-2</v>
      </c>
      <c r="Q1668">
        <v>0.203318788706388</v>
      </c>
      <c r="R1668">
        <v>0.97768631771821202</v>
      </c>
      <c r="S1668" t="s">
        <v>5297</v>
      </c>
      <c r="T1668" t="s">
        <v>7256</v>
      </c>
      <c r="U1668" t="s">
        <v>7256</v>
      </c>
      <c r="V1668" t="s">
        <v>7256</v>
      </c>
      <c r="W1668">
        <v>6</v>
      </c>
      <c r="X1668" t="s">
        <v>8924</v>
      </c>
      <c r="Y1668">
        <v>0.47719327862477179</v>
      </c>
      <c r="Z1668" t="str">
        <f>HYPERLINK("Melting_Curves/meltCurve_sp_Q32MZ4_4_LRRF1_HUMAN_.pdf", "Melting_Curves/meltCurve_sp_Q32MZ4_4_LRRF1_HUMAN_.pdf")</f>
        <v>Melting_Curves/meltCurve_sp_Q32MZ4_4_LRRF1_HUMAN_.pdf</v>
      </c>
      <c r="AA1668" t="s">
        <v>12523</v>
      </c>
      <c r="AB1668" t="s">
        <v>16093</v>
      </c>
    </row>
    <row r="1669" spans="1:28" x14ac:dyDescent="0.25">
      <c r="A1669" t="s">
        <v>1673</v>
      </c>
      <c r="B1669">
        <v>0.98018197421672304</v>
      </c>
      <c r="C1669">
        <v>0.93726066969537603</v>
      </c>
      <c r="D1669">
        <v>0.85696666750397799</v>
      </c>
      <c r="E1669">
        <v>0.74279207495093902</v>
      </c>
      <c r="F1669">
        <v>0.48789820791187</v>
      </c>
      <c r="G1669">
        <v>0.21708505752312901</v>
      </c>
      <c r="H1669">
        <v>0.16940457740214601</v>
      </c>
      <c r="I1669">
        <v>0.15400085834394101</v>
      </c>
      <c r="J1669">
        <v>0.20580819593174801</v>
      </c>
      <c r="K1669">
        <v>0.222977714775664</v>
      </c>
      <c r="L1669">
        <v>1035.27681398244</v>
      </c>
      <c r="M1669">
        <v>20.105148002207201</v>
      </c>
      <c r="N1669">
        <v>52.547260282749399</v>
      </c>
      <c r="O1669">
        <v>50.991808015351701</v>
      </c>
      <c r="P1669">
        <v>-8.2215072895667707E-2</v>
      </c>
      <c r="Q1669">
        <v>0.165952592297999</v>
      </c>
      <c r="R1669">
        <v>0.982967835257606</v>
      </c>
      <c r="S1669" t="s">
        <v>5298</v>
      </c>
      <c r="T1669" t="s">
        <v>7256</v>
      </c>
      <c r="U1669" t="s">
        <v>7256</v>
      </c>
      <c r="V1669" t="s">
        <v>7256</v>
      </c>
      <c r="W1669">
        <v>7</v>
      </c>
      <c r="X1669" t="s">
        <v>8925</v>
      </c>
      <c r="Y1669">
        <v>0.49693155115033039</v>
      </c>
      <c r="Z1669" t="str">
        <f>HYPERLINK("Melting_Curves/meltCurve_sp_Q32P44_EMAL3_HUMAN_.pdf", "Melting_Curves/meltCurve_sp_Q32P44_EMAL3_HUMAN_.pdf")</f>
        <v>Melting_Curves/meltCurve_sp_Q32P44_EMAL3_HUMAN_.pdf</v>
      </c>
      <c r="AA1669" t="s">
        <v>12524</v>
      </c>
      <c r="AB1669" t="s">
        <v>16094</v>
      </c>
    </row>
    <row r="1670" spans="1:28" x14ac:dyDescent="0.25">
      <c r="A1670" t="s">
        <v>1674</v>
      </c>
      <c r="B1670">
        <v>0.98018197421672304</v>
      </c>
      <c r="C1670">
        <v>0.99054911371194998</v>
      </c>
      <c r="D1670">
        <v>0.959726513023484</v>
      </c>
      <c r="E1670">
        <v>0.88461833911325904</v>
      </c>
      <c r="F1670">
        <v>0.78747911804897797</v>
      </c>
      <c r="G1670">
        <v>0.55679403479092304</v>
      </c>
      <c r="H1670">
        <v>6.1274191860779002E-2</v>
      </c>
      <c r="I1670">
        <v>4.0377968557590599E-2</v>
      </c>
      <c r="J1670">
        <v>3.2990186842318497E-2</v>
      </c>
      <c r="K1670">
        <v>1.9450316525776199E-2</v>
      </c>
      <c r="L1670">
        <v>1329.49557537745</v>
      </c>
      <c r="M1670">
        <v>23.472999359630801</v>
      </c>
      <c r="N1670">
        <v>56.639356739087702</v>
      </c>
      <c r="O1670">
        <v>56.233074014487102</v>
      </c>
      <c r="P1670">
        <v>-0.104357643781962</v>
      </c>
      <c r="Q1670">
        <v>0</v>
      </c>
      <c r="R1670">
        <v>0.98414792589233502</v>
      </c>
      <c r="S1670" t="s">
        <v>5299</v>
      </c>
      <c r="T1670" t="s">
        <v>7256</v>
      </c>
      <c r="U1670" t="s">
        <v>7256</v>
      </c>
      <c r="V1670" t="s">
        <v>7256</v>
      </c>
      <c r="W1670">
        <v>27</v>
      </c>
      <c r="X1670" t="s">
        <v>8926</v>
      </c>
      <c r="Y1670">
        <v>0.56466071962463404</v>
      </c>
      <c r="Z1670" t="str">
        <f>HYPERLINK("Melting_Curves/meltCurve_sp_Q3LXA3_DHAK_HUMAN_.pdf", "Melting_Curves/meltCurve_sp_Q3LXA3_DHAK_HUMAN_.pdf")</f>
        <v>Melting_Curves/meltCurve_sp_Q3LXA3_DHAK_HUMAN_.pdf</v>
      </c>
      <c r="AA1670" t="s">
        <v>12525</v>
      </c>
      <c r="AB1670" t="s">
        <v>16095</v>
      </c>
    </row>
    <row r="1671" spans="1:28" x14ac:dyDescent="0.25">
      <c r="A1671" t="s">
        <v>1675</v>
      </c>
      <c r="B1671">
        <v>0.98018197421672304</v>
      </c>
      <c r="C1671">
        <v>0.99689195026060595</v>
      </c>
      <c r="D1671">
        <v>1.02466964213984</v>
      </c>
      <c r="E1671">
        <v>0.95055499941906496</v>
      </c>
      <c r="F1671">
        <v>0.70274963825203796</v>
      </c>
      <c r="G1671">
        <v>0.46287883522711898</v>
      </c>
      <c r="H1671">
        <v>0.2751642809048</v>
      </c>
      <c r="I1671">
        <v>0.208932795275274</v>
      </c>
      <c r="J1671">
        <v>0.155002255955241</v>
      </c>
      <c r="K1671">
        <v>0.127518936838353</v>
      </c>
      <c r="L1671">
        <v>1054.6361269579199</v>
      </c>
      <c r="M1671">
        <v>19.006191666616001</v>
      </c>
      <c r="N1671">
        <v>56.372242600671697</v>
      </c>
      <c r="O1671">
        <v>54.885748840307798</v>
      </c>
      <c r="P1671">
        <v>-7.5427627257723603E-2</v>
      </c>
      <c r="Q1671">
        <v>0.12876033936591499</v>
      </c>
      <c r="R1671">
        <v>0.99462495771993997</v>
      </c>
      <c r="S1671" t="s">
        <v>5300</v>
      </c>
      <c r="T1671" t="s">
        <v>7256</v>
      </c>
      <c r="U1671" t="s">
        <v>7256</v>
      </c>
      <c r="V1671" t="s">
        <v>7256</v>
      </c>
      <c r="W1671">
        <v>3</v>
      </c>
      <c r="X1671" t="s">
        <v>8927</v>
      </c>
      <c r="Y1671">
        <v>0.59086208348321889</v>
      </c>
      <c r="Z1671" t="str">
        <f>HYPERLINK("Melting_Curves/meltCurve_sp_Q3MHD2_LSM12_HUMAN_.pdf", "Melting_Curves/meltCurve_sp_Q3MHD2_LSM12_HUMAN_.pdf")</f>
        <v>Melting_Curves/meltCurve_sp_Q3MHD2_LSM12_HUMAN_.pdf</v>
      </c>
      <c r="AA1671" t="s">
        <v>12526</v>
      </c>
      <c r="AB1671" t="s">
        <v>16096</v>
      </c>
    </row>
    <row r="1672" spans="1:28" x14ac:dyDescent="0.25">
      <c r="A1672" t="s">
        <v>1676</v>
      </c>
      <c r="B1672">
        <v>0.98018197421672304</v>
      </c>
      <c r="C1672">
        <v>0.91450501311480603</v>
      </c>
      <c r="D1672">
        <v>0.87676587336775402</v>
      </c>
      <c r="E1672">
        <v>0.72066154567669105</v>
      </c>
      <c r="F1672">
        <v>0.46849682932211101</v>
      </c>
      <c r="G1672">
        <v>0.13128156558606499</v>
      </c>
      <c r="H1672">
        <v>7.8454535331503095E-2</v>
      </c>
      <c r="I1672">
        <v>6.9156764775506294E-2</v>
      </c>
      <c r="J1672">
        <v>6.2422312801175502E-2</v>
      </c>
      <c r="K1672">
        <v>6.9692732982721703E-2</v>
      </c>
      <c r="L1672">
        <v>1002.81053710617</v>
      </c>
      <c r="M1672">
        <v>19.2719938610411</v>
      </c>
      <c r="N1672">
        <v>52.251045905402002</v>
      </c>
      <c r="O1672">
        <v>51.484056785427903</v>
      </c>
      <c r="P1672">
        <v>-8.9995518800537203E-2</v>
      </c>
      <c r="Q1672">
        <v>3.8364203672939003E-2</v>
      </c>
      <c r="R1672">
        <v>0.99036022265113799</v>
      </c>
      <c r="S1672" t="s">
        <v>5301</v>
      </c>
      <c r="T1672" t="s">
        <v>7256</v>
      </c>
      <c r="U1672" t="s">
        <v>7256</v>
      </c>
      <c r="V1672" t="s">
        <v>7256</v>
      </c>
      <c r="W1672">
        <v>5</v>
      </c>
      <c r="X1672" t="s">
        <v>8928</v>
      </c>
      <c r="Y1672">
        <v>0.43833872065592488</v>
      </c>
      <c r="Z1672" t="str">
        <f>HYPERLINK("Melting_Curves/meltCurve_sp_Q3MIT2_PUS10_HUMAN_.pdf", "Melting_Curves/meltCurve_sp_Q3MIT2_PUS10_HUMAN_.pdf")</f>
        <v>Melting_Curves/meltCurve_sp_Q3MIT2_PUS10_HUMAN_.pdf</v>
      </c>
      <c r="AA1672" t="s">
        <v>12527</v>
      </c>
      <c r="AB1672" t="s">
        <v>16097</v>
      </c>
    </row>
    <row r="1673" spans="1:28" x14ac:dyDescent="0.25">
      <c r="A1673" t="s">
        <v>1677</v>
      </c>
      <c r="B1673">
        <v>0.98018197421672304</v>
      </c>
      <c r="C1673">
        <v>0.83837487112738995</v>
      </c>
      <c r="D1673">
        <v>0.78606308583448004</v>
      </c>
      <c r="E1673">
        <v>0.64941240185564397</v>
      </c>
      <c r="F1673">
        <v>0.384854816774098</v>
      </c>
      <c r="G1673">
        <v>0.26277423263170602</v>
      </c>
      <c r="H1673">
        <v>0.13903494773755301</v>
      </c>
      <c r="I1673">
        <v>3.1273092958926801E-2</v>
      </c>
      <c r="J1673">
        <v>6.5415895892492498E-2</v>
      </c>
      <c r="K1673">
        <v>6.5511929181304399E-2</v>
      </c>
      <c r="L1673">
        <v>593.77569181674096</v>
      </c>
      <c r="M1673">
        <v>11.540795191961299</v>
      </c>
      <c r="N1673">
        <v>51.450154183835501</v>
      </c>
      <c r="O1673">
        <v>49.978128375895601</v>
      </c>
      <c r="P1673">
        <v>-5.7745413544041099E-2</v>
      </c>
      <c r="Q1673">
        <v>0</v>
      </c>
      <c r="R1673">
        <v>0.98693510579182298</v>
      </c>
      <c r="S1673" t="s">
        <v>5302</v>
      </c>
      <c r="T1673" t="s">
        <v>7256</v>
      </c>
      <c r="U1673" t="s">
        <v>7256</v>
      </c>
      <c r="V1673" t="s">
        <v>7256</v>
      </c>
      <c r="W1673">
        <v>1</v>
      </c>
      <c r="X1673" t="s">
        <v>8929</v>
      </c>
      <c r="Y1673">
        <v>0.41509914247809282</v>
      </c>
      <c r="Z1673" t="str">
        <f>HYPERLINK("Melting_Curves/meltCurve_sp_Q3V6T2_5_GRDN_HUMAN_.pdf", "Melting_Curves/meltCurve_sp_Q3V6T2_5_GRDN_HUMAN_.pdf")</f>
        <v>Melting_Curves/meltCurve_sp_Q3V6T2_5_GRDN_HUMAN_.pdf</v>
      </c>
      <c r="AA1673" t="s">
        <v>12528</v>
      </c>
      <c r="AB1673" t="s">
        <v>16098</v>
      </c>
    </row>
    <row r="1674" spans="1:28" x14ac:dyDescent="0.25">
      <c r="A1674" t="s">
        <v>1678</v>
      </c>
      <c r="B1674">
        <v>0.98018197421672304</v>
      </c>
      <c r="C1674">
        <v>0.95877946454353502</v>
      </c>
      <c r="D1674">
        <v>0.92292661934893505</v>
      </c>
      <c r="E1674">
        <v>0.81086361180676103</v>
      </c>
      <c r="F1674">
        <v>0.67860262771420998</v>
      </c>
      <c r="G1674">
        <v>0.508344215122847</v>
      </c>
      <c r="H1674">
        <v>0.37025216843353798</v>
      </c>
      <c r="I1674">
        <v>0.24407306570763401</v>
      </c>
      <c r="J1674">
        <v>5.99661301587898E-2</v>
      </c>
      <c r="K1674">
        <v>4.1408598715226799E-2</v>
      </c>
      <c r="L1674">
        <v>662.68160962821901</v>
      </c>
      <c r="M1674">
        <v>11.6710034951398</v>
      </c>
      <c r="N1674">
        <v>56.780173940556203</v>
      </c>
      <c r="O1674">
        <v>55.190039784340797</v>
      </c>
      <c r="P1674">
        <v>-5.2881537509095099E-2</v>
      </c>
      <c r="Q1674">
        <v>0</v>
      </c>
      <c r="R1674">
        <v>0.98569274665994699</v>
      </c>
      <c r="S1674" t="s">
        <v>5303</v>
      </c>
      <c r="T1674" t="s">
        <v>7256</v>
      </c>
      <c r="U1674" t="s">
        <v>7256</v>
      </c>
      <c r="V1674" t="s">
        <v>7256</v>
      </c>
      <c r="W1674">
        <v>3</v>
      </c>
      <c r="X1674" t="s">
        <v>8930</v>
      </c>
      <c r="Y1674">
        <v>0.57701330340578894</v>
      </c>
      <c r="Z1674" t="str">
        <f>HYPERLINK("Melting_Curves/meltCurve_sp_Q49A26_5_GLYR1_HUMAN_.pdf", "Melting_Curves/meltCurve_sp_Q49A26_5_GLYR1_HUMAN_.pdf")</f>
        <v>Melting_Curves/meltCurve_sp_Q49A26_5_GLYR1_HUMAN_.pdf</v>
      </c>
      <c r="AA1674" t="s">
        <v>12529</v>
      </c>
      <c r="AB1674" t="s">
        <v>16099</v>
      </c>
    </row>
    <row r="1675" spans="1:28" x14ac:dyDescent="0.25">
      <c r="A1675" t="s">
        <v>1679</v>
      </c>
      <c r="B1675">
        <v>0.98018197421672304</v>
      </c>
      <c r="C1675">
        <v>0.954522473993897</v>
      </c>
      <c r="D1675">
        <v>0.92678338980988995</v>
      </c>
      <c r="E1675">
        <v>0.78232666964424202</v>
      </c>
      <c r="F1675">
        <v>0.67956740407551697</v>
      </c>
      <c r="G1675">
        <v>0.56062861140766196</v>
      </c>
      <c r="H1675">
        <v>0.44351046422518098</v>
      </c>
      <c r="I1675">
        <v>0.51723320486627999</v>
      </c>
      <c r="J1675">
        <v>0.58289072286104204</v>
      </c>
      <c r="K1675">
        <v>0.66699297364903298</v>
      </c>
      <c r="L1675">
        <v>1064.0042868252999</v>
      </c>
      <c r="M1675">
        <v>21.267582179772798</v>
      </c>
      <c r="O1675">
        <v>49.593373638150602</v>
      </c>
      <c r="P1675">
        <v>-4.8317337798395997E-2</v>
      </c>
      <c r="Q1675">
        <v>0.54933125906215996</v>
      </c>
      <c r="R1675">
        <v>0.90474009304861502</v>
      </c>
      <c r="S1675" t="s">
        <v>5304</v>
      </c>
      <c r="T1675" t="s">
        <v>7256</v>
      </c>
      <c r="U1675" t="s">
        <v>7256</v>
      </c>
      <c r="V1675" t="s">
        <v>7256</v>
      </c>
      <c r="W1675">
        <v>2</v>
      </c>
      <c r="X1675" t="s">
        <v>8931</v>
      </c>
      <c r="Y1675">
        <v>0.70555699446553433</v>
      </c>
      <c r="Z1675" t="str">
        <f>HYPERLINK("Melting_Curves/meltCurve_sp_Q49AH0_CDNF_HUMAN_.pdf", "Melting_Curves/meltCurve_sp_Q49AH0_CDNF_HUMAN_.pdf")</f>
        <v>Melting_Curves/meltCurve_sp_Q49AH0_CDNF_HUMAN_.pdf</v>
      </c>
      <c r="AA1675" t="s">
        <v>12530</v>
      </c>
      <c r="AB1675" t="s">
        <v>16100</v>
      </c>
    </row>
    <row r="1676" spans="1:28" x14ac:dyDescent="0.25">
      <c r="A1676" t="s">
        <v>1680</v>
      </c>
      <c r="B1676">
        <v>0.98018197421672304</v>
      </c>
      <c r="C1676">
        <v>0.93821153223105302</v>
      </c>
      <c r="D1676">
        <v>0.938472628142906</v>
      </c>
      <c r="E1676">
        <v>0.78356077727798601</v>
      </c>
      <c r="F1676">
        <v>0.51972666255449296</v>
      </c>
      <c r="G1676">
        <v>0.28945103534580602</v>
      </c>
      <c r="H1676">
        <v>0.11793066949212699</v>
      </c>
      <c r="I1676">
        <v>7.1140978744769004E-2</v>
      </c>
      <c r="J1676">
        <v>7.6475435627191099E-2</v>
      </c>
      <c r="K1676">
        <v>4.3810520164951801E-2</v>
      </c>
      <c r="L1676">
        <v>902.95082193774601</v>
      </c>
      <c r="M1676">
        <v>16.933371298570201</v>
      </c>
      <c r="N1676">
        <v>53.510181786645902</v>
      </c>
      <c r="O1676">
        <v>52.596727692692397</v>
      </c>
      <c r="P1676">
        <v>-7.8186270321807194E-2</v>
      </c>
      <c r="Q1676">
        <v>2.8643775199061201E-2</v>
      </c>
      <c r="R1676">
        <v>0.99710889667361302</v>
      </c>
      <c r="S1676" t="s">
        <v>5305</v>
      </c>
      <c r="T1676" t="s">
        <v>7256</v>
      </c>
      <c r="U1676" t="s">
        <v>7256</v>
      </c>
      <c r="V1676" t="s">
        <v>7256</v>
      </c>
      <c r="W1676">
        <v>9</v>
      </c>
      <c r="X1676" t="s">
        <v>8932</v>
      </c>
      <c r="Y1676">
        <v>0.47739592966266159</v>
      </c>
      <c r="Z1676" t="str">
        <f>HYPERLINK("Melting_Curves/meltCurve_sp_Q4G0F5_VP26B_HUMAN_.pdf", "Melting_Curves/meltCurve_sp_Q4G0F5_VP26B_HUMAN_.pdf")</f>
        <v>Melting_Curves/meltCurve_sp_Q4G0F5_VP26B_HUMAN_.pdf</v>
      </c>
      <c r="AA1676" t="s">
        <v>12531</v>
      </c>
      <c r="AB1676" t="s">
        <v>16101</v>
      </c>
    </row>
    <row r="1677" spans="1:28" x14ac:dyDescent="0.25">
      <c r="A1677" t="s">
        <v>1681</v>
      </c>
      <c r="B1677">
        <v>0.98018197421672304</v>
      </c>
      <c r="C1677">
        <v>0.95236220515960501</v>
      </c>
      <c r="D1677">
        <v>0.89333665251051597</v>
      </c>
      <c r="E1677">
        <v>0.733206062008806</v>
      </c>
      <c r="F1677">
        <v>0.57097458093175602</v>
      </c>
      <c r="G1677">
        <v>0.34418255887459398</v>
      </c>
      <c r="H1677">
        <v>0.19678049096738301</v>
      </c>
      <c r="I1677">
        <v>0.15065030730090501</v>
      </c>
      <c r="J1677">
        <v>0.17855358903802199</v>
      </c>
      <c r="K1677">
        <v>0.15883140215372599</v>
      </c>
      <c r="L1677">
        <v>771.45055431732101</v>
      </c>
      <c r="M1677">
        <v>14.592758859437399</v>
      </c>
      <c r="N1677">
        <v>53.829837725412901</v>
      </c>
      <c r="O1677">
        <v>51.902291806624604</v>
      </c>
      <c r="P1677">
        <v>-6.22102277907235E-2</v>
      </c>
      <c r="Q1677">
        <v>0.115043254395009</v>
      </c>
      <c r="R1677">
        <v>0.99646083672787999</v>
      </c>
      <c r="S1677" t="s">
        <v>5306</v>
      </c>
      <c r="T1677" t="s">
        <v>7256</v>
      </c>
      <c r="U1677" t="s">
        <v>7256</v>
      </c>
      <c r="V1677" t="s">
        <v>7256</v>
      </c>
      <c r="W1677">
        <v>7</v>
      </c>
      <c r="X1677" t="s">
        <v>8933</v>
      </c>
      <c r="Y1677">
        <v>0.51445045048536564</v>
      </c>
      <c r="Z1677" t="str">
        <f>HYPERLINK("Melting_Curves/meltCurve_sp_Q4G0J3_LARP7_HUMAN_.pdf", "Melting_Curves/meltCurve_sp_Q4G0J3_LARP7_HUMAN_.pdf")</f>
        <v>Melting_Curves/meltCurve_sp_Q4G0J3_LARP7_HUMAN_.pdf</v>
      </c>
      <c r="AA1677" t="s">
        <v>12532</v>
      </c>
      <c r="AB1677" t="s">
        <v>16102</v>
      </c>
    </row>
    <row r="1678" spans="1:28" x14ac:dyDescent="0.25">
      <c r="A1678" t="s">
        <v>1682</v>
      </c>
      <c r="B1678">
        <v>0.98018197421672304</v>
      </c>
      <c r="C1678">
        <v>0.99132660864405198</v>
      </c>
      <c r="D1678">
        <v>0.90719566518559103</v>
      </c>
      <c r="E1678">
        <v>0.690757654387539</v>
      </c>
      <c r="F1678">
        <v>0.32727225071739702</v>
      </c>
      <c r="G1678">
        <v>0.114771780959378</v>
      </c>
      <c r="H1678">
        <v>6.6111722076275095E-2</v>
      </c>
      <c r="I1678">
        <v>5.01322104323801E-2</v>
      </c>
      <c r="J1678">
        <v>4.7427996841162799E-2</v>
      </c>
      <c r="K1678">
        <v>3.9654379794391098E-2</v>
      </c>
      <c r="L1678">
        <v>1250.24903193522</v>
      </c>
      <c r="M1678">
        <v>24.372895626094301</v>
      </c>
      <c r="N1678">
        <v>51.478010435990399</v>
      </c>
      <c r="O1678">
        <v>50.955113418780698</v>
      </c>
      <c r="P1678">
        <v>-0.114663502673422</v>
      </c>
      <c r="Q1678">
        <v>4.1130775438881002E-2</v>
      </c>
      <c r="R1678">
        <v>0.99834827804748705</v>
      </c>
      <c r="S1678" t="s">
        <v>5307</v>
      </c>
      <c r="T1678" t="s">
        <v>7256</v>
      </c>
      <c r="U1678" t="s">
        <v>7256</v>
      </c>
      <c r="V1678" t="s">
        <v>7256</v>
      </c>
      <c r="W1678">
        <v>30</v>
      </c>
      <c r="X1678" t="s">
        <v>8934</v>
      </c>
      <c r="Y1678">
        <v>0.41133103903261181</v>
      </c>
      <c r="Z1678" t="str">
        <f>HYPERLINK("Melting_Curves/meltCurve_sp_Q4G0N4_NAKD1_HUMAN_.pdf", "Melting_Curves/meltCurve_sp_Q4G0N4_NAKD1_HUMAN_.pdf")</f>
        <v>Melting_Curves/meltCurve_sp_Q4G0N4_NAKD1_HUMAN_.pdf</v>
      </c>
      <c r="AA1678" t="s">
        <v>12533</v>
      </c>
      <c r="AB1678" t="s">
        <v>16103</v>
      </c>
    </row>
    <row r="1679" spans="1:28" x14ac:dyDescent="0.25">
      <c r="A1679" t="s">
        <v>1683</v>
      </c>
      <c r="B1679">
        <v>0.98018197421672304</v>
      </c>
      <c r="C1679">
        <v>0.88146764204205497</v>
      </c>
      <c r="D1679">
        <v>0.59312316249876196</v>
      </c>
      <c r="E1679">
        <v>0.194550680930622</v>
      </c>
      <c r="F1679">
        <v>0.112426950403681</v>
      </c>
      <c r="G1679">
        <v>8.0738142085507197E-2</v>
      </c>
      <c r="H1679">
        <v>5.8851021819473201E-2</v>
      </c>
      <c r="I1679">
        <v>4.6007963417994499E-2</v>
      </c>
      <c r="J1679">
        <v>3.1204755117074101E-2</v>
      </c>
      <c r="K1679">
        <v>2.8973380659018999E-2</v>
      </c>
      <c r="L1679">
        <v>1071.16627919244</v>
      </c>
      <c r="M1679">
        <v>23.005821781062298</v>
      </c>
      <c r="N1679">
        <v>46.753490701870497</v>
      </c>
      <c r="O1679">
        <v>46.213125362292999</v>
      </c>
      <c r="P1679">
        <v>-0.11882423491109401</v>
      </c>
      <c r="Q1679">
        <v>4.5261021541552197E-2</v>
      </c>
      <c r="R1679">
        <v>0.99887441702463098</v>
      </c>
      <c r="S1679" t="s">
        <v>5308</v>
      </c>
      <c r="T1679" t="s">
        <v>7256</v>
      </c>
      <c r="U1679" t="s">
        <v>7256</v>
      </c>
      <c r="V1679" t="s">
        <v>7256</v>
      </c>
      <c r="W1679">
        <v>17</v>
      </c>
      <c r="X1679" t="s">
        <v>8935</v>
      </c>
      <c r="Y1679">
        <v>0.26444874326735568</v>
      </c>
      <c r="Z1679" t="str">
        <f>HYPERLINK("Melting_Curves/meltCurve_sp_Q4G176_ACSF3_HUMAN_.pdf", "Melting_Curves/meltCurve_sp_Q4G176_ACSF3_HUMAN_.pdf")</f>
        <v>Melting_Curves/meltCurve_sp_Q4G176_ACSF3_HUMAN_.pdf</v>
      </c>
      <c r="AA1679" t="s">
        <v>12534</v>
      </c>
      <c r="AB1679" t="s">
        <v>16104</v>
      </c>
    </row>
    <row r="1680" spans="1:28" x14ac:dyDescent="0.25">
      <c r="A1680" t="s">
        <v>1684</v>
      </c>
      <c r="B1680">
        <v>0.98018197421672304</v>
      </c>
      <c r="C1680">
        <v>1.13128606570771</v>
      </c>
      <c r="D1680">
        <v>1.0826709746087899</v>
      </c>
      <c r="E1680">
        <v>1.02752463430549</v>
      </c>
      <c r="F1680">
        <v>0.89628349144844799</v>
      </c>
      <c r="G1680">
        <v>0.61975927133997799</v>
      </c>
      <c r="H1680">
        <v>0.61369391143664498</v>
      </c>
      <c r="I1680">
        <v>0.574348633636657</v>
      </c>
      <c r="J1680">
        <v>0.77693748904655302</v>
      </c>
      <c r="K1680">
        <v>1.11218757990622</v>
      </c>
      <c r="L1680">
        <v>13271.938579858001</v>
      </c>
      <c r="M1680">
        <v>250</v>
      </c>
      <c r="O1680">
        <v>53.084362270566601</v>
      </c>
      <c r="P1680">
        <v>-0.30684018563482601</v>
      </c>
      <c r="Q1680">
        <v>0.73938537669596605</v>
      </c>
      <c r="R1680">
        <v>0.48492162219989599</v>
      </c>
      <c r="S1680" t="s">
        <v>5309</v>
      </c>
      <c r="T1680" t="s">
        <v>7256</v>
      </c>
      <c r="U1680" t="s">
        <v>7256</v>
      </c>
      <c r="V1680" t="s">
        <v>7256</v>
      </c>
      <c r="W1680">
        <v>1</v>
      </c>
      <c r="X1680" t="s">
        <v>8936</v>
      </c>
      <c r="Y1680">
        <v>0.85310499641526283</v>
      </c>
      <c r="Z1680" t="str">
        <f>HYPERLINK("Melting_Curves/meltCurve_sp_Q4KMP7_TB10B_HUMAN_.pdf", "Melting_Curves/meltCurve_sp_Q4KMP7_TB10B_HUMAN_.pdf")</f>
        <v>Melting_Curves/meltCurve_sp_Q4KMP7_TB10B_HUMAN_.pdf</v>
      </c>
      <c r="AA1680" t="s">
        <v>12535</v>
      </c>
      <c r="AB1680" t="s">
        <v>16105</v>
      </c>
    </row>
    <row r="1681" spans="1:28" x14ac:dyDescent="0.25">
      <c r="A1681" t="s">
        <v>1685</v>
      </c>
      <c r="B1681">
        <v>0.98018197421672304</v>
      </c>
      <c r="C1681">
        <v>1.42639405571214</v>
      </c>
      <c r="D1681">
        <v>0.99442888663544404</v>
      </c>
      <c r="E1681">
        <v>0.838256172539383</v>
      </c>
      <c r="F1681">
        <v>0.62503266286810499</v>
      </c>
      <c r="G1681">
        <v>0.25173506521557898</v>
      </c>
      <c r="H1681">
        <v>0.111878347518672</v>
      </c>
      <c r="I1681">
        <v>9.2816188333530197E-2</v>
      </c>
      <c r="J1681">
        <v>6.7500297011011595E-2</v>
      </c>
      <c r="K1681">
        <v>6.7048829653581304E-2</v>
      </c>
      <c r="L1681">
        <v>1311.1102170470699</v>
      </c>
      <c r="M1681">
        <v>24.391169428746899</v>
      </c>
      <c r="N1681">
        <v>54.065367844069698</v>
      </c>
      <c r="O1681">
        <v>53.396064596520503</v>
      </c>
      <c r="P1681">
        <v>-0.106706221369192</v>
      </c>
      <c r="Q1681">
        <v>6.5627743615883E-2</v>
      </c>
      <c r="R1681">
        <v>0.91559406689058198</v>
      </c>
      <c r="S1681" t="s">
        <v>5310</v>
      </c>
      <c r="T1681" t="s">
        <v>7256</v>
      </c>
      <c r="U1681" t="s">
        <v>7256</v>
      </c>
      <c r="V1681" t="s">
        <v>7256</v>
      </c>
      <c r="W1681">
        <v>2</v>
      </c>
      <c r="X1681" t="s">
        <v>8937</v>
      </c>
      <c r="Y1681">
        <v>0.50302738919805801</v>
      </c>
      <c r="Z1681" t="str">
        <f>HYPERLINK("Melting_Curves/meltCurve_sp_Q4KWH8_3_PLCH1_HUMAN_.pdf", "Melting_Curves/meltCurve_sp_Q4KWH8_3_PLCH1_HUMAN_.pdf")</f>
        <v>Melting_Curves/meltCurve_sp_Q4KWH8_3_PLCH1_HUMAN_.pdf</v>
      </c>
      <c r="AA1681" t="s">
        <v>12536</v>
      </c>
      <c r="AB1681" t="s">
        <v>16106</v>
      </c>
    </row>
    <row r="1682" spans="1:28" x14ac:dyDescent="0.25">
      <c r="A1682" t="s">
        <v>1686</v>
      </c>
      <c r="B1682">
        <v>0.98018197421672304</v>
      </c>
      <c r="C1682">
        <v>0.93438849221502795</v>
      </c>
      <c r="D1682">
        <v>0.88058552395422596</v>
      </c>
      <c r="E1682">
        <v>0.77850008008369997</v>
      </c>
      <c r="F1682">
        <v>0.63903729417640498</v>
      </c>
      <c r="G1682">
        <v>0.44574463213920201</v>
      </c>
      <c r="H1682">
        <v>0.41538889798199402</v>
      </c>
      <c r="I1682">
        <v>0.42223133320550199</v>
      </c>
      <c r="J1682">
        <v>0.453193448643468</v>
      </c>
      <c r="K1682">
        <v>0.459989072494774</v>
      </c>
      <c r="L1682">
        <v>835.845465062578</v>
      </c>
      <c r="M1682">
        <v>16.447547024968198</v>
      </c>
      <c r="N1682">
        <v>56.955292796722397</v>
      </c>
      <c r="O1682">
        <v>50.085440480627398</v>
      </c>
      <c r="P1682">
        <v>-4.8029519803640203E-2</v>
      </c>
      <c r="Q1682">
        <v>0.41501055178490398</v>
      </c>
      <c r="R1682">
        <v>0.97757429646049798</v>
      </c>
      <c r="S1682" t="s">
        <v>5311</v>
      </c>
      <c r="T1682" t="s">
        <v>7256</v>
      </c>
      <c r="U1682" t="s">
        <v>7256</v>
      </c>
      <c r="V1682" t="s">
        <v>7256</v>
      </c>
      <c r="W1682">
        <v>20</v>
      </c>
      <c r="X1682" t="s">
        <v>8938</v>
      </c>
      <c r="Y1682">
        <v>0.63758069607094781</v>
      </c>
      <c r="Z1682" t="str">
        <f>HYPERLINK("Melting_Curves/meltCurve_sp_Q4V328_GRAP1_HUMAN_.pdf", "Melting_Curves/meltCurve_sp_Q4V328_GRAP1_HUMAN_.pdf")</f>
        <v>Melting_Curves/meltCurve_sp_Q4V328_GRAP1_HUMAN_.pdf</v>
      </c>
      <c r="AA1682" t="s">
        <v>12537</v>
      </c>
      <c r="AB1682" t="s">
        <v>16107</v>
      </c>
    </row>
    <row r="1683" spans="1:28" x14ac:dyDescent="0.25">
      <c r="A1683" t="s">
        <v>1687</v>
      </c>
      <c r="B1683">
        <v>0.98018197421672304</v>
      </c>
      <c r="C1683">
        <v>0.67536585787186298</v>
      </c>
      <c r="D1683">
        <v>0.75320587459175803</v>
      </c>
      <c r="E1683">
        <v>0.53099917591047197</v>
      </c>
      <c r="F1683">
        <v>0.397510460449992</v>
      </c>
      <c r="G1683">
        <v>0.22502653629667299</v>
      </c>
      <c r="H1683">
        <v>0.127185708509304</v>
      </c>
      <c r="I1683">
        <v>0</v>
      </c>
      <c r="J1683">
        <v>5.63850404112178E-2</v>
      </c>
      <c r="K1683">
        <v>0</v>
      </c>
      <c r="L1683">
        <v>514.71718676668104</v>
      </c>
      <c r="M1683">
        <v>10.314297992217901</v>
      </c>
      <c r="N1683">
        <v>49.9032915585354</v>
      </c>
      <c r="O1683">
        <v>48.136637951037898</v>
      </c>
      <c r="P1683">
        <v>-5.3590959633682003E-2</v>
      </c>
      <c r="Q1683">
        <v>0</v>
      </c>
      <c r="R1683">
        <v>0.95617952745248902</v>
      </c>
      <c r="S1683" t="s">
        <v>5312</v>
      </c>
      <c r="T1683" t="s">
        <v>7256</v>
      </c>
      <c r="U1683" t="s">
        <v>7256</v>
      </c>
      <c r="V1683" t="s">
        <v>7256</v>
      </c>
      <c r="W1683">
        <v>3</v>
      </c>
      <c r="X1683" t="s">
        <v>8939</v>
      </c>
      <c r="Y1683">
        <v>0.37374661736041881</v>
      </c>
      <c r="Z1683" t="str">
        <f>HYPERLINK("Melting_Curves/meltCurve_sp_Q504Q3_2_PAN2_HUMAN_.pdf", "Melting_Curves/meltCurve_sp_Q504Q3_2_PAN2_HUMAN_.pdf")</f>
        <v>Melting_Curves/meltCurve_sp_Q504Q3_2_PAN2_HUMAN_.pdf</v>
      </c>
      <c r="AA1683" t="s">
        <v>12538</v>
      </c>
      <c r="AB1683" t="s">
        <v>16108</v>
      </c>
    </row>
    <row r="1684" spans="1:28" x14ac:dyDescent="0.25">
      <c r="A1684" t="s">
        <v>1688</v>
      </c>
      <c r="B1684">
        <v>0.98018197421672304</v>
      </c>
      <c r="C1684">
        <v>1.07908577995278</v>
      </c>
      <c r="D1684">
        <v>0.78337131626581302</v>
      </c>
      <c r="E1684">
        <v>0.46813128609294502</v>
      </c>
      <c r="F1684">
        <v>0.27822531242500897</v>
      </c>
      <c r="G1684">
        <v>0.194118505732847</v>
      </c>
      <c r="H1684">
        <v>0.170572806751109</v>
      </c>
      <c r="I1684">
        <v>0.13040383015565199</v>
      </c>
      <c r="J1684">
        <v>0.29620073406703701</v>
      </c>
      <c r="K1684">
        <v>9.4962888283217195E-2</v>
      </c>
      <c r="L1684">
        <v>1161.45892794979</v>
      </c>
      <c r="M1684">
        <v>23.888477687081</v>
      </c>
      <c r="N1684">
        <v>49.493500752791299</v>
      </c>
      <c r="O1684">
        <v>48.283196807051397</v>
      </c>
      <c r="P1684">
        <v>-0.102417103135198</v>
      </c>
      <c r="Q1684">
        <v>0.17199520744286201</v>
      </c>
      <c r="R1684">
        <v>0.96832152529574</v>
      </c>
      <c r="S1684" t="s">
        <v>5313</v>
      </c>
      <c r="T1684" t="s">
        <v>7256</v>
      </c>
      <c r="U1684" t="s">
        <v>7256</v>
      </c>
      <c r="V1684" t="s">
        <v>7256</v>
      </c>
      <c r="W1684">
        <v>1</v>
      </c>
      <c r="X1684" t="s">
        <v>8940</v>
      </c>
      <c r="Y1684">
        <v>0.41796061984515548</v>
      </c>
      <c r="Z1684" t="str">
        <f>HYPERLINK("Melting_Curves/meltCurve_sp_Q52LJ0_2_FA98B_HUMAN_.pdf", "Melting_Curves/meltCurve_sp_Q52LJ0_2_FA98B_HUMAN_.pdf")</f>
        <v>Melting_Curves/meltCurve_sp_Q52LJ0_2_FA98B_HUMAN_.pdf</v>
      </c>
      <c r="AA1684" t="s">
        <v>12539</v>
      </c>
      <c r="AB1684" t="s">
        <v>16109</v>
      </c>
    </row>
    <row r="1685" spans="1:28" x14ac:dyDescent="0.25">
      <c r="A1685" t="s">
        <v>1689</v>
      </c>
      <c r="B1685">
        <v>0.98018197421672304</v>
      </c>
      <c r="C1685">
        <v>0.95344725617449799</v>
      </c>
      <c r="D1685">
        <v>0.88107282545300403</v>
      </c>
      <c r="E1685">
        <v>0.71151266880772701</v>
      </c>
      <c r="F1685">
        <v>0.64166348627055403</v>
      </c>
      <c r="G1685">
        <v>0.26962037795920002</v>
      </c>
      <c r="H1685">
        <v>0.17352768616832201</v>
      </c>
      <c r="I1685">
        <v>0.14542710962388999</v>
      </c>
      <c r="J1685">
        <v>0.16007547113984799</v>
      </c>
      <c r="K1685">
        <v>0.189909411993121</v>
      </c>
      <c r="L1685">
        <v>843.35643645253595</v>
      </c>
      <c r="M1685">
        <v>15.9801271318823</v>
      </c>
      <c r="N1685">
        <v>53.694711426620501</v>
      </c>
      <c r="O1685">
        <v>51.969613488830397</v>
      </c>
      <c r="P1685">
        <v>-6.7677023625573707E-2</v>
      </c>
      <c r="Q1685">
        <v>0.119688723148589</v>
      </c>
      <c r="R1685">
        <v>0.98146931480039001</v>
      </c>
      <c r="S1685" t="s">
        <v>5314</v>
      </c>
      <c r="T1685" t="s">
        <v>7256</v>
      </c>
      <c r="U1685" t="s">
        <v>7256</v>
      </c>
      <c r="V1685" t="s">
        <v>7256</v>
      </c>
      <c r="W1685">
        <v>2</v>
      </c>
      <c r="X1685" t="s">
        <v>8941</v>
      </c>
      <c r="Y1685">
        <v>0.51199538070218698</v>
      </c>
      <c r="Z1685" t="str">
        <f>HYPERLINK("Melting_Curves/meltCurve_sp_Q52LW3_RHG29_HUMAN_.pdf", "Melting_Curves/meltCurve_sp_Q52LW3_RHG29_HUMAN_.pdf")</f>
        <v>Melting_Curves/meltCurve_sp_Q52LW3_RHG29_HUMAN_.pdf</v>
      </c>
      <c r="AA1685" t="s">
        <v>12540</v>
      </c>
      <c r="AB1685" t="s">
        <v>16110</v>
      </c>
    </row>
    <row r="1686" spans="1:28" x14ac:dyDescent="0.25">
      <c r="A1686" t="s">
        <v>1690</v>
      </c>
      <c r="B1686">
        <v>0.98018197421672304</v>
      </c>
      <c r="C1686">
        <v>0.95595788179302998</v>
      </c>
      <c r="D1686">
        <v>0.95550347565919203</v>
      </c>
      <c r="E1686">
        <v>0.80518084453991001</v>
      </c>
      <c r="F1686">
        <v>0.79529196585264905</v>
      </c>
      <c r="G1686">
        <v>0.71374364024918402</v>
      </c>
      <c r="H1686">
        <v>0.535007691049596</v>
      </c>
      <c r="I1686">
        <v>0.55213793072628803</v>
      </c>
      <c r="J1686">
        <v>0.46494651095058098</v>
      </c>
      <c r="K1686">
        <v>0.30256022373032598</v>
      </c>
      <c r="L1686">
        <v>413.92765740831697</v>
      </c>
      <c r="M1686">
        <v>6.4737615444135201</v>
      </c>
      <c r="N1686">
        <v>63.939280800371598</v>
      </c>
      <c r="O1686">
        <v>58.658527095759702</v>
      </c>
      <c r="P1686">
        <v>-2.7658877407293898E-2</v>
      </c>
      <c r="Q1686">
        <v>0</v>
      </c>
      <c r="R1686">
        <v>0.97087511990612796</v>
      </c>
      <c r="S1686" t="s">
        <v>5315</v>
      </c>
      <c r="T1686" t="s">
        <v>7256</v>
      </c>
      <c r="U1686" t="s">
        <v>7256</v>
      </c>
      <c r="V1686" t="s">
        <v>7256</v>
      </c>
      <c r="W1686">
        <v>6</v>
      </c>
      <c r="X1686" t="s">
        <v>8942</v>
      </c>
      <c r="Y1686">
        <v>0.71570861947720188</v>
      </c>
      <c r="Z1686" t="str">
        <f>HYPERLINK("Melting_Curves/meltCurve_sp_Q53FA7_QORX_HUMAN_.pdf", "Melting_Curves/meltCurve_sp_Q53FA7_QORX_HUMAN_.pdf")</f>
        <v>Melting_Curves/meltCurve_sp_Q53FA7_QORX_HUMAN_.pdf</v>
      </c>
      <c r="AA1686" t="s">
        <v>12541</v>
      </c>
      <c r="AB1686" t="s">
        <v>16111</v>
      </c>
    </row>
    <row r="1687" spans="1:28" x14ac:dyDescent="0.25">
      <c r="A1687" t="s">
        <v>1691</v>
      </c>
      <c r="B1687">
        <v>0.98018197421672304</v>
      </c>
      <c r="C1687">
        <v>0.78800237884450697</v>
      </c>
      <c r="D1687">
        <v>0.71000183622853896</v>
      </c>
      <c r="E1687">
        <v>0.33505939340912699</v>
      </c>
      <c r="F1687">
        <v>0.13519245608209199</v>
      </c>
      <c r="G1687">
        <v>8.2810138976540798E-2</v>
      </c>
      <c r="H1687">
        <v>5.1776400499474198E-2</v>
      </c>
      <c r="I1687">
        <v>4.27150159755307E-2</v>
      </c>
      <c r="J1687">
        <v>4.4180550507299902E-2</v>
      </c>
      <c r="K1687">
        <v>2.98334396353306E-2</v>
      </c>
      <c r="L1687">
        <v>795.49927111801901</v>
      </c>
      <c r="M1687">
        <v>16.6931136555222</v>
      </c>
      <c r="N1687">
        <v>47.794148509142097</v>
      </c>
      <c r="O1687">
        <v>46.9862167218851</v>
      </c>
      <c r="P1687">
        <v>-8.6708576925655395E-2</v>
      </c>
      <c r="Q1687">
        <v>2.38280455819267E-2</v>
      </c>
      <c r="R1687">
        <v>0.99029723443829198</v>
      </c>
      <c r="S1687" t="s">
        <v>5316</v>
      </c>
      <c r="T1687" t="s">
        <v>7256</v>
      </c>
      <c r="U1687" t="s">
        <v>7256</v>
      </c>
      <c r="V1687" t="s">
        <v>7256</v>
      </c>
      <c r="W1687">
        <v>22</v>
      </c>
      <c r="X1687" t="s">
        <v>8943</v>
      </c>
      <c r="Y1687">
        <v>0.29342017618608851</v>
      </c>
      <c r="Z1687" t="str">
        <f>HYPERLINK("Melting_Curves/meltCurve_sp_Q53FZ2_ACSM3_HUMAN_.pdf", "Melting_Curves/meltCurve_sp_Q53FZ2_ACSM3_HUMAN_.pdf")</f>
        <v>Melting_Curves/meltCurve_sp_Q53FZ2_ACSM3_HUMAN_.pdf</v>
      </c>
      <c r="AA1687" t="s">
        <v>12542</v>
      </c>
      <c r="AB1687" t="s">
        <v>16112</v>
      </c>
    </row>
    <row r="1688" spans="1:28" x14ac:dyDescent="0.25">
      <c r="A1688" t="s">
        <v>1692</v>
      </c>
      <c r="B1688">
        <v>0.98018197421672304</v>
      </c>
      <c r="C1688">
        <v>1.0817749236142</v>
      </c>
      <c r="D1688">
        <v>0.943509459365375</v>
      </c>
      <c r="E1688">
        <v>0.80603155651757696</v>
      </c>
      <c r="F1688">
        <v>0.76429330485357805</v>
      </c>
      <c r="G1688">
        <v>0.61371885636694501</v>
      </c>
      <c r="H1688">
        <v>0.44479507392675299</v>
      </c>
      <c r="I1688">
        <v>0.42228174629392201</v>
      </c>
      <c r="J1688">
        <v>0.39951903933542099</v>
      </c>
      <c r="K1688">
        <v>0.39499523100769302</v>
      </c>
      <c r="L1688">
        <v>746.66429279107297</v>
      </c>
      <c r="M1688">
        <v>13.675968816188</v>
      </c>
      <c r="N1688">
        <v>59.915366242323799</v>
      </c>
      <c r="O1688">
        <v>53.469173490913398</v>
      </c>
      <c r="P1688">
        <v>-4.1473581253521401E-2</v>
      </c>
      <c r="Q1688">
        <v>0.35149440007277999</v>
      </c>
      <c r="R1688">
        <v>0.97647086086178303</v>
      </c>
      <c r="S1688" t="s">
        <v>5317</v>
      </c>
      <c r="T1688" t="s">
        <v>7256</v>
      </c>
      <c r="U1688" t="s">
        <v>7256</v>
      </c>
      <c r="V1688" t="s">
        <v>7256</v>
      </c>
      <c r="W1688">
        <v>16</v>
      </c>
      <c r="X1688" t="s">
        <v>8944</v>
      </c>
      <c r="Y1688">
        <v>0.68121104417828771</v>
      </c>
      <c r="Z1688" t="str">
        <f>HYPERLINK("Melting_Curves/meltCurve_sp_Q53H82_LACB2_HUMAN_.pdf", "Melting_Curves/meltCurve_sp_Q53H82_LACB2_HUMAN_.pdf")</f>
        <v>Melting_Curves/meltCurve_sp_Q53H82_LACB2_HUMAN_.pdf</v>
      </c>
      <c r="AA1688" t="s">
        <v>12543</v>
      </c>
      <c r="AB1688" t="s">
        <v>16113</v>
      </c>
    </row>
    <row r="1689" spans="1:28" x14ac:dyDescent="0.25">
      <c r="A1689" t="s">
        <v>1693</v>
      </c>
      <c r="B1689">
        <v>0.98018197421672304</v>
      </c>
      <c r="C1689">
        <v>1.0408853025246401</v>
      </c>
      <c r="D1689">
        <v>0.80503553000997696</v>
      </c>
      <c r="E1689">
        <v>0.682891462209547</v>
      </c>
      <c r="F1689">
        <v>0.56612135047022005</v>
      </c>
      <c r="G1689">
        <v>0.22444057070778001</v>
      </c>
      <c r="H1689">
        <v>0.113039272004896</v>
      </c>
      <c r="I1689">
        <v>5.5144183038663898E-2</v>
      </c>
      <c r="J1689">
        <v>0.18011306152437701</v>
      </c>
      <c r="K1689">
        <v>4.1694282694892303E-2</v>
      </c>
      <c r="L1689">
        <v>772.53985559243301</v>
      </c>
      <c r="M1689">
        <v>14.7044918203985</v>
      </c>
      <c r="N1689">
        <v>52.824479487928201</v>
      </c>
      <c r="O1689">
        <v>51.594698487370302</v>
      </c>
      <c r="P1689">
        <v>-6.8523924701885702E-2</v>
      </c>
      <c r="Q1689">
        <v>3.8365911297618301E-2</v>
      </c>
      <c r="R1689">
        <v>0.97361269050911003</v>
      </c>
      <c r="S1689" t="s">
        <v>5318</v>
      </c>
      <c r="T1689" t="s">
        <v>7256</v>
      </c>
      <c r="U1689" t="s">
        <v>7256</v>
      </c>
      <c r="V1689" t="s">
        <v>7256</v>
      </c>
      <c r="W1689">
        <v>2</v>
      </c>
      <c r="X1689" t="s">
        <v>8945</v>
      </c>
      <c r="Y1689">
        <v>0.46195049471902372</v>
      </c>
      <c r="Z1689" t="str">
        <f>HYPERLINK("Melting_Curves/meltCurve_sp_Q53HC9_TSSC1_HUMAN_.pdf", "Melting_Curves/meltCurve_sp_Q53HC9_TSSC1_HUMAN_.pdf")</f>
        <v>Melting_Curves/meltCurve_sp_Q53HC9_TSSC1_HUMAN_.pdf</v>
      </c>
      <c r="AA1689" t="s">
        <v>12544</v>
      </c>
      <c r="AB1689" t="s">
        <v>16114</v>
      </c>
    </row>
    <row r="1690" spans="1:28" x14ac:dyDescent="0.25">
      <c r="A1690" t="s">
        <v>1694</v>
      </c>
      <c r="B1690">
        <v>0.98018197421672304</v>
      </c>
      <c r="C1690">
        <v>0.98532310666141598</v>
      </c>
      <c r="D1690">
        <v>0.90194894896223399</v>
      </c>
      <c r="E1690">
        <v>0.67719285448844202</v>
      </c>
      <c r="F1690">
        <v>0.46584069761709901</v>
      </c>
      <c r="G1690">
        <v>0.31513630583702901</v>
      </c>
      <c r="H1690">
        <v>0.22058786997554</v>
      </c>
      <c r="I1690">
        <v>0.19521313544176899</v>
      </c>
      <c r="J1690">
        <v>0.19276769541054201</v>
      </c>
      <c r="K1690">
        <v>0.22523454167392401</v>
      </c>
      <c r="L1690">
        <v>926.73131173969</v>
      </c>
      <c r="M1690">
        <v>18.1309098643375</v>
      </c>
      <c r="N1690">
        <v>52.516130310941598</v>
      </c>
      <c r="O1690">
        <v>50.503713750436603</v>
      </c>
      <c r="P1690">
        <v>-7.25273586947216E-2</v>
      </c>
      <c r="Q1690">
        <v>0.19193788969650599</v>
      </c>
      <c r="R1690">
        <v>0.99820193180455197</v>
      </c>
      <c r="S1690" t="s">
        <v>5319</v>
      </c>
      <c r="T1690" t="s">
        <v>7256</v>
      </c>
      <c r="U1690" t="s">
        <v>7256</v>
      </c>
      <c r="V1690" t="s">
        <v>7256</v>
      </c>
      <c r="W1690">
        <v>6</v>
      </c>
      <c r="X1690" t="s">
        <v>8946</v>
      </c>
      <c r="Y1690">
        <v>0.50470165674087808</v>
      </c>
      <c r="Z1690" t="str">
        <f>HYPERLINK("Melting_Curves/meltCurve_sp_Q53LP3_SWAHC_HUMAN_.pdf", "Melting_Curves/meltCurve_sp_Q53LP3_SWAHC_HUMAN_.pdf")</f>
        <v>Melting_Curves/meltCurve_sp_Q53LP3_SWAHC_HUMAN_.pdf</v>
      </c>
      <c r="AA1690" t="s">
        <v>12545</v>
      </c>
      <c r="AB1690" t="s">
        <v>16115</v>
      </c>
    </row>
    <row r="1691" spans="1:28" x14ac:dyDescent="0.25">
      <c r="A1691" t="s">
        <v>1695</v>
      </c>
      <c r="B1691">
        <v>0.98018197421672304</v>
      </c>
      <c r="C1691">
        <v>0.78395274177603502</v>
      </c>
      <c r="D1691">
        <v>0.90916708135476199</v>
      </c>
      <c r="E1691">
        <v>0.86006195021703702</v>
      </c>
      <c r="F1691">
        <v>0.992804318019748</v>
      </c>
      <c r="G1691">
        <v>0.99669865991490303</v>
      </c>
      <c r="H1691">
        <v>0.63039567781259598</v>
      </c>
      <c r="I1691">
        <v>0.67029513518462802</v>
      </c>
      <c r="J1691">
        <v>0.73793932542337803</v>
      </c>
      <c r="K1691">
        <v>0.93328472071855195</v>
      </c>
      <c r="L1691">
        <v>152.08683906087401</v>
      </c>
      <c r="M1691">
        <v>2.0635698856115301</v>
      </c>
      <c r="O1691">
        <v>44.615441875617698</v>
      </c>
      <c r="P1691">
        <v>-5.8195661568934401E-3</v>
      </c>
      <c r="Q1691">
        <v>0.53540239167653603</v>
      </c>
      <c r="R1691">
        <v>0.14300843825335899</v>
      </c>
      <c r="S1691" t="s">
        <v>5320</v>
      </c>
      <c r="T1691" t="s">
        <v>7256</v>
      </c>
      <c r="U1691" t="s">
        <v>7256</v>
      </c>
      <c r="V1691" t="s">
        <v>7256</v>
      </c>
      <c r="W1691">
        <v>3</v>
      </c>
      <c r="X1691" t="s">
        <v>8947</v>
      </c>
      <c r="Y1691">
        <v>0.84940715866089889</v>
      </c>
      <c r="Z1691" t="str">
        <f>HYPERLINK("Melting_Curves/meltCurve_sp_Q53S33_BOLA3_HUMAN_.pdf", "Melting_Curves/meltCurve_sp_Q53S33_BOLA3_HUMAN_.pdf")</f>
        <v>Melting_Curves/meltCurve_sp_Q53S33_BOLA3_HUMAN_.pdf</v>
      </c>
      <c r="AA1691" t="s">
        <v>12546</v>
      </c>
      <c r="AB1691" t="s">
        <v>16116</v>
      </c>
    </row>
    <row r="1692" spans="1:28" x14ac:dyDescent="0.25">
      <c r="A1692" t="s">
        <v>1696</v>
      </c>
      <c r="B1692">
        <v>0.98018197421672304</v>
      </c>
      <c r="C1692">
        <v>0.89313842874031901</v>
      </c>
      <c r="D1692">
        <v>0.83836075372071805</v>
      </c>
      <c r="E1692">
        <v>0.37781368012157202</v>
      </c>
      <c r="F1692">
        <v>0.26507221075439502</v>
      </c>
      <c r="G1692">
        <v>0.17921910230920399</v>
      </c>
      <c r="H1692">
        <v>0.122257764455799</v>
      </c>
      <c r="I1692">
        <v>0.22626985515467199</v>
      </c>
      <c r="J1692">
        <v>0.167636184200748</v>
      </c>
      <c r="K1692">
        <v>0.244536783156341</v>
      </c>
      <c r="L1692">
        <v>1277.4559020507199</v>
      </c>
      <c r="M1692">
        <v>26.603991855718501</v>
      </c>
      <c r="N1692">
        <v>48.872624394661301</v>
      </c>
      <c r="O1692">
        <v>47.748621184323198</v>
      </c>
      <c r="P1692">
        <v>-0.113371692397999</v>
      </c>
      <c r="Q1692">
        <v>0.186094520829414</v>
      </c>
      <c r="R1692">
        <v>0.98280102783017598</v>
      </c>
      <c r="S1692" t="s">
        <v>5321</v>
      </c>
      <c r="T1692" t="s">
        <v>7256</v>
      </c>
      <c r="U1692" t="s">
        <v>7256</v>
      </c>
      <c r="V1692" t="s">
        <v>7256</v>
      </c>
      <c r="W1692">
        <v>3</v>
      </c>
      <c r="X1692" t="s">
        <v>8948</v>
      </c>
      <c r="Y1692">
        <v>0.40991533987283701</v>
      </c>
      <c r="Z1692" t="str">
        <f>HYPERLINK("Melting_Curves/meltCurve_sp_Q562E7_4_WDR81_HUMAN_.pdf", "Melting_Curves/meltCurve_sp_Q562E7_4_WDR81_HUMAN_.pdf")</f>
        <v>Melting_Curves/meltCurve_sp_Q562E7_4_WDR81_HUMAN_.pdf</v>
      </c>
      <c r="AA1692" t="s">
        <v>12547</v>
      </c>
      <c r="AB1692" t="s">
        <v>16117</v>
      </c>
    </row>
    <row r="1693" spans="1:28" x14ac:dyDescent="0.25">
      <c r="A1693" t="s">
        <v>1697</v>
      </c>
      <c r="B1693">
        <v>0.98018197421672304</v>
      </c>
      <c r="C1693">
        <v>1.0243541969929599</v>
      </c>
      <c r="D1693">
        <v>0.90329789232148605</v>
      </c>
      <c r="E1693">
        <v>0.72574310808878295</v>
      </c>
      <c r="F1693">
        <v>0.35701042728793803</v>
      </c>
      <c r="G1693">
        <v>0.217231627717175</v>
      </c>
      <c r="H1693">
        <v>8.5451949148339104E-2</v>
      </c>
      <c r="I1693">
        <v>7.67023765767917E-2</v>
      </c>
      <c r="J1693">
        <v>4.2849778140849601E-2</v>
      </c>
      <c r="K1693">
        <v>3.8004481536854297E-2</v>
      </c>
      <c r="L1693">
        <v>1062.0809440046801</v>
      </c>
      <c r="M1693">
        <v>20.5288559834386</v>
      </c>
      <c r="N1693">
        <v>51.988183614408896</v>
      </c>
      <c r="O1693">
        <v>51.252584113309297</v>
      </c>
      <c r="P1693">
        <v>-9.5392966645049898E-2</v>
      </c>
      <c r="Q1693">
        <v>4.7391141870226E-2</v>
      </c>
      <c r="R1693">
        <v>0.99398968561197099</v>
      </c>
      <c r="S1693" t="s">
        <v>5322</v>
      </c>
      <c r="T1693" t="s">
        <v>7256</v>
      </c>
      <c r="U1693" t="s">
        <v>7256</v>
      </c>
      <c r="V1693" t="s">
        <v>7256</v>
      </c>
      <c r="W1693">
        <v>14</v>
      </c>
      <c r="X1693" t="s">
        <v>8949</v>
      </c>
      <c r="Y1693">
        <v>0.4326349616016078</v>
      </c>
      <c r="Z1693" t="str">
        <f>HYPERLINK("Melting_Curves/meltCurve_sp_Q58FF8_H90B2_HUMAN_.pdf", "Melting_Curves/meltCurve_sp_Q58FF8_H90B2_HUMAN_.pdf")</f>
        <v>Melting_Curves/meltCurve_sp_Q58FF8_H90B2_HUMAN_.pdf</v>
      </c>
      <c r="AA1693" t="s">
        <v>12548</v>
      </c>
      <c r="AB1693" t="s">
        <v>16118</v>
      </c>
    </row>
    <row r="1694" spans="1:28" x14ac:dyDescent="0.25">
      <c r="A1694" t="s">
        <v>1698</v>
      </c>
      <c r="B1694">
        <v>0.98018197421672304</v>
      </c>
      <c r="C1694">
        <v>0</v>
      </c>
      <c r="D1694">
        <v>0.66288593131803197</v>
      </c>
      <c r="E1694">
        <v>0.60917686741099597</v>
      </c>
      <c r="F1694">
        <v>0.23664551849603199</v>
      </c>
      <c r="G1694">
        <v>9.1857707694639204E-2</v>
      </c>
      <c r="H1694">
        <v>6.1872366171339198E-2</v>
      </c>
      <c r="I1694">
        <v>4.8431421403488502E-2</v>
      </c>
      <c r="J1694">
        <v>6.0217375822662102E-2</v>
      </c>
      <c r="K1694">
        <v>4.3235886174703003E-2</v>
      </c>
      <c r="L1694">
        <v>326.410568424659</v>
      </c>
      <c r="M1694">
        <v>7.2771265989921403</v>
      </c>
      <c r="N1694">
        <v>44.854320671550603</v>
      </c>
      <c r="O1694">
        <v>41.839234699265901</v>
      </c>
      <c r="P1694">
        <v>-4.3552561911158798E-2</v>
      </c>
      <c r="Q1694">
        <v>0</v>
      </c>
      <c r="R1694">
        <v>0.47976544442229802</v>
      </c>
      <c r="S1694" t="s">
        <v>5323</v>
      </c>
      <c r="T1694" t="s">
        <v>7256</v>
      </c>
      <c r="U1694" t="s">
        <v>7256</v>
      </c>
      <c r="V1694" t="s">
        <v>7256</v>
      </c>
      <c r="W1694">
        <v>4</v>
      </c>
      <c r="X1694" t="s">
        <v>8950</v>
      </c>
      <c r="Y1694">
        <v>0.27107572006573039</v>
      </c>
      <c r="Z1694" t="str">
        <f>HYPERLINK("Melting_Curves/meltCurve_sp_Q58FG1_HS904_HUMAN_.pdf", "Melting_Curves/meltCurve_sp_Q58FG1_HS904_HUMAN_.pdf")</f>
        <v>Melting_Curves/meltCurve_sp_Q58FG1_HS904_HUMAN_.pdf</v>
      </c>
      <c r="AA1694" t="s">
        <v>12549</v>
      </c>
      <c r="AB1694" t="s">
        <v>16119</v>
      </c>
    </row>
    <row r="1695" spans="1:28" x14ac:dyDescent="0.25">
      <c r="A1695" t="s">
        <v>1699</v>
      </c>
      <c r="B1695">
        <v>0.98018197421672304</v>
      </c>
      <c r="C1695">
        <v>0.95080222793881697</v>
      </c>
      <c r="D1695">
        <v>0.96626957207977004</v>
      </c>
      <c r="E1695">
        <v>0.76563017257794996</v>
      </c>
      <c r="F1695">
        <v>0.79852916757856796</v>
      </c>
      <c r="G1695">
        <v>0.63398099258479901</v>
      </c>
      <c r="H1695">
        <v>0.51309192148888805</v>
      </c>
      <c r="I1695">
        <v>0.53778618384822596</v>
      </c>
      <c r="J1695">
        <v>0.56428484826896697</v>
      </c>
      <c r="K1695">
        <v>0.74651938962325204</v>
      </c>
      <c r="L1695">
        <v>896.51890548499705</v>
      </c>
      <c r="M1695">
        <v>17.691636971904099</v>
      </c>
      <c r="O1695">
        <v>50.040581881354399</v>
      </c>
      <c r="P1695">
        <v>-3.6308009633471E-2</v>
      </c>
      <c r="Q1695">
        <v>0.58923463995226399</v>
      </c>
      <c r="R1695">
        <v>0.83237983582047403</v>
      </c>
      <c r="S1695" t="s">
        <v>5324</v>
      </c>
      <c r="T1695" t="s">
        <v>7256</v>
      </c>
      <c r="U1695" t="s">
        <v>7256</v>
      </c>
      <c r="V1695" t="s">
        <v>7256</v>
      </c>
      <c r="W1695">
        <v>2</v>
      </c>
      <c r="X1695" t="s">
        <v>8951</v>
      </c>
      <c r="Y1695">
        <v>0.74256541318948122</v>
      </c>
      <c r="Z1695" t="str">
        <f>HYPERLINK("Melting_Curves/meltCurve_sp_Q5BKU9_OXLD1_HUMAN_.pdf", "Melting_Curves/meltCurve_sp_Q5BKU9_OXLD1_HUMAN_.pdf")</f>
        <v>Melting_Curves/meltCurve_sp_Q5BKU9_OXLD1_HUMAN_.pdf</v>
      </c>
      <c r="AA1695" t="s">
        <v>12550</v>
      </c>
      <c r="AB1695" t="s">
        <v>16120</v>
      </c>
    </row>
    <row r="1696" spans="1:28" x14ac:dyDescent="0.25">
      <c r="A1696" t="s">
        <v>1700</v>
      </c>
      <c r="B1696">
        <v>0.98018197421672304</v>
      </c>
      <c r="C1696">
        <v>0.72317893376703501</v>
      </c>
      <c r="D1696">
        <v>0.81096960081122704</v>
      </c>
      <c r="E1696">
        <v>0.93834338098888703</v>
      </c>
      <c r="F1696">
        <v>0.81069193571161102</v>
      </c>
      <c r="G1696">
        <v>0.49600797311220102</v>
      </c>
      <c r="H1696">
        <v>0.95389969851737699</v>
      </c>
      <c r="I1696">
        <v>0.26558285452455399</v>
      </c>
      <c r="J1696">
        <v>1.8494135396824201</v>
      </c>
      <c r="K1696">
        <v>1.91109771260385</v>
      </c>
      <c r="L1696">
        <v>5503.3587452328802</v>
      </c>
      <c r="M1696">
        <v>83.671238658063601</v>
      </c>
      <c r="O1696">
        <v>65.736057482945895</v>
      </c>
      <c r="P1696">
        <v>0.15910455191011499</v>
      </c>
      <c r="Q1696">
        <v>1.5</v>
      </c>
      <c r="R1696">
        <v>0.44658935936772098</v>
      </c>
      <c r="S1696" t="s">
        <v>5325</v>
      </c>
      <c r="T1696" t="s">
        <v>7256</v>
      </c>
      <c r="U1696" t="s">
        <v>7256</v>
      </c>
      <c r="V1696" t="s">
        <v>7256</v>
      </c>
      <c r="W1696">
        <v>1</v>
      </c>
      <c r="X1696" t="s">
        <v>8952</v>
      </c>
      <c r="Y1696">
        <v>1.0700209480275651</v>
      </c>
      <c r="Z1696" t="str">
        <f>HYPERLINK("Melting_Curves/meltCurve_sp_Q5D862_FILA2_HUMAN_.pdf", "Melting_Curves/meltCurve_sp_Q5D862_FILA2_HUMAN_.pdf")</f>
        <v>Melting_Curves/meltCurve_sp_Q5D862_FILA2_HUMAN_.pdf</v>
      </c>
      <c r="AA1696" t="s">
        <v>12551</v>
      </c>
      <c r="AB1696" t="s">
        <v>16121</v>
      </c>
    </row>
    <row r="1697" spans="1:28" x14ac:dyDescent="0.25">
      <c r="A1697" t="s">
        <v>1701</v>
      </c>
      <c r="B1697">
        <v>0.98018197421672304</v>
      </c>
      <c r="C1697">
        <v>0.96441390629462298</v>
      </c>
      <c r="D1697">
        <v>0.90653971745904904</v>
      </c>
      <c r="E1697">
        <v>0.72846165244811101</v>
      </c>
      <c r="F1697">
        <v>0.52273808257767695</v>
      </c>
      <c r="G1697">
        <v>0.180932760191999</v>
      </c>
      <c r="H1697">
        <v>0.102050536470289</v>
      </c>
      <c r="I1697">
        <v>7.5951829747293503E-2</v>
      </c>
      <c r="J1697">
        <v>0.113392932073667</v>
      </c>
      <c r="K1697">
        <v>1.79615281234187E-2</v>
      </c>
      <c r="L1697">
        <v>967.02830888566905</v>
      </c>
      <c r="M1697">
        <v>18.392780742449101</v>
      </c>
      <c r="N1697">
        <v>52.812671269717399</v>
      </c>
      <c r="O1697">
        <v>51.966804101817701</v>
      </c>
      <c r="P1697">
        <v>-8.4994206289878693E-2</v>
      </c>
      <c r="Q1697">
        <v>3.9475486254996001E-2</v>
      </c>
      <c r="R1697">
        <v>0.99376785556035396</v>
      </c>
      <c r="S1697" t="s">
        <v>5326</v>
      </c>
      <c r="T1697" t="s">
        <v>7256</v>
      </c>
      <c r="U1697" t="s">
        <v>7256</v>
      </c>
      <c r="V1697" t="s">
        <v>7256</v>
      </c>
      <c r="W1697">
        <v>2</v>
      </c>
      <c r="X1697" t="s">
        <v>8953</v>
      </c>
      <c r="Y1697">
        <v>0.4574330808838914</v>
      </c>
      <c r="Z1697" t="str">
        <f>HYPERLINK("Melting_Curves/meltCurve_sp_Q5EBM0_CMPK2_HUMAN_.pdf", "Melting_Curves/meltCurve_sp_Q5EBM0_CMPK2_HUMAN_.pdf")</f>
        <v>Melting_Curves/meltCurve_sp_Q5EBM0_CMPK2_HUMAN_.pdf</v>
      </c>
      <c r="AA1697" t="s">
        <v>12552</v>
      </c>
      <c r="AB1697" t="s">
        <v>16122</v>
      </c>
    </row>
    <row r="1698" spans="1:28" x14ac:dyDescent="0.25">
      <c r="A1698" t="s">
        <v>1702</v>
      </c>
      <c r="B1698">
        <v>0.98018197421672304</v>
      </c>
      <c r="C1698">
        <v>0.94768625785794103</v>
      </c>
      <c r="D1698">
        <v>0.81458470963768503</v>
      </c>
      <c r="E1698">
        <v>0.66263490231123301</v>
      </c>
      <c r="F1698">
        <v>0.41023711495651</v>
      </c>
      <c r="G1698">
        <v>0.21840022619150101</v>
      </c>
      <c r="H1698">
        <v>0.14366769086120099</v>
      </c>
      <c r="I1698">
        <v>9.8164232899477705E-2</v>
      </c>
      <c r="J1698">
        <v>4.45275723079731E-2</v>
      </c>
      <c r="K1698">
        <v>6.0376023610728698E-2</v>
      </c>
      <c r="L1698">
        <v>707.80812266043699</v>
      </c>
      <c r="M1698">
        <v>13.7018318623642</v>
      </c>
      <c r="N1698">
        <v>51.840923956925003</v>
      </c>
      <c r="O1698">
        <v>50.594843752961701</v>
      </c>
      <c r="P1698">
        <v>-6.6114794654275194E-2</v>
      </c>
      <c r="Q1698">
        <v>2.3608985185995999E-2</v>
      </c>
      <c r="R1698">
        <v>0.996749243666745</v>
      </c>
      <c r="S1698" t="s">
        <v>5327</v>
      </c>
      <c r="T1698" t="s">
        <v>7256</v>
      </c>
      <c r="U1698" t="s">
        <v>7256</v>
      </c>
      <c r="V1698" t="s">
        <v>7256</v>
      </c>
      <c r="W1698">
        <v>5</v>
      </c>
      <c r="X1698" t="s">
        <v>8954</v>
      </c>
      <c r="Y1698">
        <v>0.42838770654681979</v>
      </c>
      <c r="Z1698" t="str">
        <f>HYPERLINK("Melting_Curves/meltCurve_sp_Q5GLZ8_6_HERC4_HUMAN_.pdf", "Melting_Curves/meltCurve_sp_Q5GLZ8_6_HERC4_HUMAN_.pdf")</f>
        <v>Melting_Curves/meltCurve_sp_Q5GLZ8_6_HERC4_HUMAN_.pdf</v>
      </c>
      <c r="AA1698" t="s">
        <v>12553</v>
      </c>
      <c r="AB1698" t="s">
        <v>16123</v>
      </c>
    </row>
    <row r="1699" spans="1:28" x14ac:dyDescent="0.25">
      <c r="A1699" t="s">
        <v>1703</v>
      </c>
      <c r="B1699">
        <v>0.98018197421672304</v>
      </c>
      <c r="C1699">
        <v>0.94648750468384102</v>
      </c>
      <c r="D1699">
        <v>0.71678863236064805</v>
      </c>
      <c r="E1699">
        <v>0.59386087771442198</v>
      </c>
      <c r="F1699">
        <v>0.39057235365010901</v>
      </c>
      <c r="G1699">
        <v>0.19704567129035799</v>
      </c>
      <c r="H1699">
        <v>0.184242433630772</v>
      </c>
      <c r="I1699">
        <v>0.12051311209806299</v>
      </c>
      <c r="J1699">
        <v>0.12880571108463901</v>
      </c>
      <c r="K1699">
        <v>0.15762886472016999</v>
      </c>
      <c r="L1699">
        <v>684.02624990652703</v>
      </c>
      <c r="M1699">
        <v>13.7193632668814</v>
      </c>
      <c r="N1699">
        <v>50.733786828433502</v>
      </c>
      <c r="O1699">
        <v>48.834943239254798</v>
      </c>
      <c r="P1699">
        <v>-6.2840555017462094E-2</v>
      </c>
      <c r="Q1699">
        <v>0.10538836245795501</v>
      </c>
      <c r="R1699">
        <v>0.98814439710514501</v>
      </c>
      <c r="S1699" t="s">
        <v>5328</v>
      </c>
      <c r="T1699" t="s">
        <v>7256</v>
      </c>
      <c r="U1699" t="s">
        <v>7256</v>
      </c>
      <c r="V1699" t="s">
        <v>7256</v>
      </c>
      <c r="W1699">
        <v>4</v>
      </c>
      <c r="X1699" t="s">
        <v>8955</v>
      </c>
      <c r="Y1699">
        <v>0.4244238413711604</v>
      </c>
      <c r="Z1699" t="str">
        <f>HYPERLINK("Melting_Curves/meltCurve_sp_Q5HYK7_3_SH319_HUMAN_.pdf", "Melting_Curves/meltCurve_sp_Q5HYK7_3_SH319_HUMAN_.pdf")</f>
        <v>Melting_Curves/meltCurve_sp_Q5HYK7_3_SH319_HUMAN_.pdf</v>
      </c>
      <c r="AA1699" t="s">
        <v>12554</v>
      </c>
      <c r="AB1699" t="s">
        <v>16124</v>
      </c>
    </row>
    <row r="1700" spans="1:28" x14ac:dyDescent="0.25">
      <c r="A1700" t="s">
        <v>1704</v>
      </c>
      <c r="B1700">
        <v>0.98018197421672304</v>
      </c>
      <c r="C1700">
        <v>0.94677322827860599</v>
      </c>
      <c r="D1700">
        <v>0.91852398137567903</v>
      </c>
      <c r="E1700">
        <v>0.72122727299231304</v>
      </c>
      <c r="F1700">
        <v>0.51655992419673702</v>
      </c>
      <c r="G1700">
        <v>0.271307358339339</v>
      </c>
      <c r="H1700">
        <v>0.106161590338407</v>
      </c>
      <c r="I1700">
        <v>7.6426181893838596E-2</v>
      </c>
      <c r="J1700">
        <v>7.6531635216948293E-2</v>
      </c>
      <c r="K1700">
        <v>7.1373386324878094E-2</v>
      </c>
      <c r="L1700">
        <v>847.94840115832403</v>
      </c>
      <c r="M1700">
        <v>16.044605215943498</v>
      </c>
      <c r="N1700">
        <v>53.083446468774802</v>
      </c>
      <c r="O1700">
        <v>52.048911081490701</v>
      </c>
      <c r="P1700">
        <v>-7.4439410632373304E-2</v>
      </c>
      <c r="Q1700">
        <v>3.4145338848263401E-2</v>
      </c>
      <c r="R1700">
        <v>0.99798394000712398</v>
      </c>
      <c r="S1700" t="s">
        <v>5329</v>
      </c>
      <c r="T1700" t="s">
        <v>7256</v>
      </c>
      <c r="U1700" t="s">
        <v>7256</v>
      </c>
      <c r="V1700" t="s">
        <v>7256</v>
      </c>
      <c r="W1700">
        <v>33</v>
      </c>
      <c r="X1700" t="s">
        <v>8956</v>
      </c>
      <c r="Y1700">
        <v>0.4668007554201033</v>
      </c>
      <c r="Z1700" t="str">
        <f>HYPERLINK("Melting_Curves/meltCurve_sp_Q5JRX3_PREP_HUMAN_.pdf", "Melting_Curves/meltCurve_sp_Q5JRX3_PREP_HUMAN_.pdf")</f>
        <v>Melting_Curves/meltCurve_sp_Q5JRX3_PREP_HUMAN_.pdf</v>
      </c>
      <c r="AA1700" t="s">
        <v>12555</v>
      </c>
      <c r="AB1700" t="s">
        <v>16125</v>
      </c>
    </row>
    <row r="1701" spans="1:28" x14ac:dyDescent="0.25">
      <c r="A1701" t="s">
        <v>1705</v>
      </c>
      <c r="B1701">
        <v>0.98018197421672304</v>
      </c>
      <c r="C1701">
        <v>0.97826876887012304</v>
      </c>
      <c r="D1701">
        <v>0.96604510184872106</v>
      </c>
      <c r="E1701">
        <v>0.88459330069154596</v>
      </c>
      <c r="F1701">
        <v>0.78738403936841606</v>
      </c>
      <c r="G1701">
        <v>0.661105377116321</v>
      </c>
      <c r="H1701">
        <v>0.45247071737814798</v>
      </c>
      <c r="I1701">
        <v>0.46904508934692501</v>
      </c>
      <c r="J1701">
        <v>0.44571952432255402</v>
      </c>
      <c r="K1701">
        <v>0.52716290814784705</v>
      </c>
      <c r="L1701">
        <v>972.08127939421297</v>
      </c>
      <c r="M1701">
        <v>17.915737897323201</v>
      </c>
      <c r="N1701">
        <v>62.386503755383501</v>
      </c>
      <c r="O1701">
        <v>53.596053705695198</v>
      </c>
      <c r="P1701">
        <v>-4.5835102647833199E-2</v>
      </c>
      <c r="Q1701">
        <v>0.45155321894565098</v>
      </c>
      <c r="R1701">
        <v>0.97318317010253697</v>
      </c>
      <c r="S1701" t="s">
        <v>5330</v>
      </c>
      <c r="T1701" t="s">
        <v>7256</v>
      </c>
      <c r="U1701" t="s">
        <v>7256</v>
      </c>
      <c r="V1701" t="s">
        <v>7256</v>
      </c>
      <c r="W1701">
        <v>3</v>
      </c>
      <c r="X1701" t="s">
        <v>8957</v>
      </c>
      <c r="Y1701">
        <v>0.72098971440321791</v>
      </c>
      <c r="Z1701" t="str">
        <f>HYPERLINK("Melting_Curves/meltCurve_sp_Q5JS37_NHLC3_HUMAN_.pdf", "Melting_Curves/meltCurve_sp_Q5JS37_NHLC3_HUMAN_.pdf")</f>
        <v>Melting_Curves/meltCurve_sp_Q5JS37_NHLC3_HUMAN_.pdf</v>
      </c>
      <c r="AA1701" t="s">
        <v>12556</v>
      </c>
      <c r="AB1701" t="s">
        <v>16126</v>
      </c>
    </row>
    <row r="1702" spans="1:28" x14ac:dyDescent="0.25">
      <c r="A1702" t="s">
        <v>1706</v>
      </c>
      <c r="B1702">
        <v>0.98018197421672304</v>
      </c>
      <c r="C1702">
        <v>0.92463970266471196</v>
      </c>
      <c r="D1702">
        <v>0.86552576852486296</v>
      </c>
      <c r="E1702">
        <v>0.73773421436721498</v>
      </c>
      <c r="F1702">
        <v>0.63206407457975899</v>
      </c>
      <c r="G1702">
        <v>0.45132562797326897</v>
      </c>
      <c r="H1702">
        <v>0.34968506136196298</v>
      </c>
      <c r="I1702">
        <v>0.35541623817581602</v>
      </c>
      <c r="J1702">
        <v>0.43144115127791999</v>
      </c>
      <c r="K1702">
        <v>0.50893690635245903</v>
      </c>
      <c r="L1702">
        <v>787.80096857443095</v>
      </c>
      <c r="M1702">
        <v>15.623343367416201</v>
      </c>
      <c r="N1702">
        <v>56.016055944177197</v>
      </c>
      <c r="O1702">
        <v>49.620158484601099</v>
      </c>
      <c r="P1702">
        <v>-4.76359767126718E-2</v>
      </c>
      <c r="Q1702">
        <v>0.39487954556494997</v>
      </c>
      <c r="R1702">
        <v>0.94594212623061302</v>
      </c>
      <c r="S1702" t="s">
        <v>5331</v>
      </c>
      <c r="T1702" t="s">
        <v>7256</v>
      </c>
      <c r="U1702" t="s">
        <v>7256</v>
      </c>
      <c r="V1702" t="s">
        <v>7256</v>
      </c>
      <c r="W1702">
        <v>13</v>
      </c>
      <c r="X1702" t="s">
        <v>8958</v>
      </c>
      <c r="Y1702">
        <v>0.61841395590263282</v>
      </c>
      <c r="Z1702" t="str">
        <f>HYPERLINK("Melting_Curves/meltCurve_sp_Q5JSH3_2_WDR44_HUMAN_.pdf", "Melting_Curves/meltCurve_sp_Q5JSH3_2_WDR44_HUMAN_.pdf")</f>
        <v>Melting_Curves/meltCurve_sp_Q5JSH3_2_WDR44_HUMAN_.pdf</v>
      </c>
      <c r="AA1702" t="s">
        <v>12557</v>
      </c>
      <c r="AB1702" t="s">
        <v>16127</v>
      </c>
    </row>
    <row r="1703" spans="1:28" x14ac:dyDescent="0.25">
      <c r="A1703" t="s">
        <v>1707</v>
      </c>
      <c r="B1703">
        <v>0.98018197421672304</v>
      </c>
      <c r="C1703">
        <v>1.0241801205219101</v>
      </c>
      <c r="D1703">
        <v>0.84419566830916104</v>
      </c>
      <c r="E1703">
        <v>0.85883802749041904</v>
      </c>
      <c r="F1703">
        <v>0.88053269508604204</v>
      </c>
      <c r="G1703">
        <v>0.73182303677884597</v>
      </c>
      <c r="H1703">
        <v>0.49039131568906602</v>
      </c>
      <c r="I1703">
        <v>0.52727515164889105</v>
      </c>
      <c r="J1703">
        <v>0.50954485529460303</v>
      </c>
      <c r="K1703">
        <v>0.91046810693409197</v>
      </c>
      <c r="L1703">
        <v>843.98556147049703</v>
      </c>
      <c r="M1703">
        <v>16.1302446083352</v>
      </c>
      <c r="O1703">
        <v>51.538814994599797</v>
      </c>
      <c r="P1703">
        <v>-3.03372809783879E-2</v>
      </c>
      <c r="Q1703">
        <v>0.61229898232262803</v>
      </c>
      <c r="R1703">
        <v>0.55661781514203101</v>
      </c>
      <c r="S1703" t="s">
        <v>5332</v>
      </c>
      <c r="T1703" t="s">
        <v>7256</v>
      </c>
      <c r="U1703" t="s">
        <v>7256</v>
      </c>
      <c r="V1703" t="s">
        <v>7256</v>
      </c>
      <c r="W1703">
        <v>3</v>
      </c>
      <c r="X1703" t="s">
        <v>8959</v>
      </c>
      <c r="Y1703">
        <v>0.77922539768455013</v>
      </c>
      <c r="Z1703" t="str">
        <f>HYPERLINK("Melting_Curves/meltCurve_sp_Q5JSZ5_5_PRC2B_HUMAN_.pdf", "Melting_Curves/meltCurve_sp_Q5JSZ5_5_PRC2B_HUMAN_.pdf")</f>
        <v>Melting_Curves/meltCurve_sp_Q5JSZ5_5_PRC2B_HUMAN_.pdf</v>
      </c>
      <c r="AA1703" t="s">
        <v>12558</v>
      </c>
      <c r="AB1703" t="s">
        <v>16128</v>
      </c>
    </row>
    <row r="1704" spans="1:28" x14ac:dyDescent="0.25">
      <c r="A1704" t="s">
        <v>1708</v>
      </c>
      <c r="B1704">
        <v>0.98018197421672304</v>
      </c>
      <c r="C1704">
        <v>1.0397844084358701</v>
      </c>
      <c r="D1704">
        <v>0.94601554885716999</v>
      </c>
      <c r="E1704">
        <v>0.85039320154151299</v>
      </c>
      <c r="F1704">
        <v>0.78831779965200099</v>
      </c>
      <c r="G1704">
        <v>0.64461956641683005</v>
      </c>
      <c r="H1704">
        <v>0.49028920303656898</v>
      </c>
      <c r="I1704">
        <v>0.55325034200662204</v>
      </c>
      <c r="J1704">
        <v>0.560062467443186</v>
      </c>
      <c r="K1704">
        <v>0.79902125224860698</v>
      </c>
      <c r="L1704">
        <v>1191.4851622231899</v>
      </c>
      <c r="M1704">
        <v>23.062186315680499</v>
      </c>
      <c r="O1704">
        <v>51.280266857202797</v>
      </c>
      <c r="P1704">
        <v>-4.47490236098382E-2</v>
      </c>
      <c r="Q1704">
        <v>0.60199794756008795</v>
      </c>
      <c r="R1704">
        <v>0.81169149716104205</v>
      </c>
      <c r="S1704" t="s">
        <v>5333</v>
      </c>
      <c r="T1704" t="s">
        <v>7256</v>
      </c>
      <c r="U1704" t="s">
        <v>7256</v>
      </c>
      <c r="V1704" t="s">
        <v>7256</v>
      </c>
      <c r="W1704">
        <v>8</v>
      </c>
      <c r="X1704" t="s">
        <v>8960</v>
      </c>
      <c r="Y1704">
        <v>0.76097000592313746</v>
      </c>
      <c r="Z1704" t="str">
        <f>HYPERLINK("Melting_Curves/meltCurve_sp_Q5JTJ3_3_COA6_HUMAN_.pdf", "Melting_Curves/meltCurve_sp_Q5JTJ3_3_COA6_HUMAN_.pdf")</f>
        <v>Melting_Curves/meltCurve_sp_Q5JTJ3_3_COA6_HUMAN_.pdf</v>
      </c>
      <c r="AA1704" t="s">
        <v>12559</v>
      </c>
      <c r="AB1704" t="s">
        <v>16129</v>
      </c>
    </row>
    <row r="1705" spans="1:28" x14ac:dyDescent="0.25">
      <c r="A1705" t="s">
        <v>1709</v>
      </c>
      <c r="B1705">
        <v>0.98018197421672304</v>
      </c>
      <c r="C1705">
        <v>0.83602989845600995</v>
      </c>
      <c r="D1705">
        <v>1.15647385447801</v>
      </c>
      <c r="E1705">
        <v>0.84189938144212295</v>
      </c>
      <c r="F1705">
        <v>0.929564974550672</v>
      </c>
      <c r="G1705">
        <v>0.72617297144752602</v>
      </c>
      <c r="H1705">
        <v>0.70670117365907303</v>
      </c>
      <c r="I1705">
        <v>0.72996029360712</v>
      </c>
      <c r="J1705">
        <v>0.67863893603696501</v>
      </c>
      <c r="K1705">
        <v>0.67034065517658104</v>
      </c>
      <c r="L1705">
        <v>1047.3770995208999</v>
      </c>
      <c r="M1705">
        <v>19.4546049641284</v>
      </c>
      <c r="O1705">
        <v>53.277820618248001</v>
      </c>
      <c r="P1705">
        <v>-2.9238659627009202E-2</v>
      </c>
      <c r="Q1705">
        <v>0.67972302597210699</v>
      </c>
      <c r="R1705">
        <v>0.67973034832480805</v>
      </c>
      <c r="S1705" t="s">
        <v>5334</v>
      </c>
      <c r="T1705" t="s">
        <v>7256</v>
      </c>
      <c r="U1705" t="s">
        <v>7256</v>
      </c>
      <c r="V1705" t="s">
        <v>7256</v>
      </c>
      <c r="W1705">
        <v>2</v>
      </c>
      <c r="X1705" t="s">
        <v>8961</v>
      </c>
      <c r="Y1705">
        <v>0.83200768973213046</v>
      </c>
      <c r="Z1705" t="str">
        <f>HYPERLINK("Melting_Curves/meltCurve_sp_Q5JTV8_2_TOIP1_HUMAN_.pdf", "Melting_Curves/meltCurve_sp_Q5JTV8_2_TOIP1_HUMAN_.pdf")</f>
        <v>Melting_Curves/meltCurve_sp_Q5JTV8_2_TOIP1_HUMAN_.pdf</v>
      </c>
      <c r="AA1705" t="s">
        <v>12560</v>
      </c>
      <c r="AB1705" t="s">
        <v>16130</v>
      </c>
    </row>
    <row r="1706" spans="1:28" x14ac:dyDescent="0.25">
      <c r="A1706" t="s">
        <v>1710</v>
      </c>
      <c r="B1706">
        <v>0.98018197421672304</v>
      </c>
      <c r="C1706">
        <v>0.79512183597625796</v>
      </c>
      <c r="D1706">
        <v>0.52947841870641799</v>
      </c>
      <c r="E1706">
        <v>0.26088276373760599</v>
      </c>
      <c r="F1706">
        <v>0.177414396620064</v>
      </c>
      <c r="G1706">
        <v>0.112535083415787</v>
      </c>
      <c r="H1706">
        <v>7.1522526585612201E-2</v>
      </c>
      <c r="I1706">
        <v>6.6632567178325899E-2</v>
      </c>
      <c r="J1706">
        <v>5.4980421604914301E-2</v>
      </c>
      <c r="K1706">
        <v>6.0445395785151602E-2</v>
      </c>
      <c r="L1706">
        <v>795.68084954818801</v>
      </c>
      <c r="M1706">
        <v>17.238446247333801</v>
      </c>
      <c r="N1706">
        <v>46.524351218303899</v>
      </c>
      <c r="O1706">
        <v>45.5496251218756</v>
      </c>
      <c r="P1706">
        <v>-8.8603886201295598E-2</v>
      </c>
      <c r="Q1706">
        <v>6.3572754395564507E-2</v>
      </c>
      <c r="R1706">
        <v>0.99707444647509502</v>
      </c>
      <c r="S1706" t="s">
        <v>5335</v>
      </c>
      <c r="T1706" t="s">
        <v>7256</v>
      </c>
      <c r="U1706" t="s">
        <v>7256</v>
      </c>
      <c r="V1706" t="s">
        <v>7256</v>
      </c>
      <c r="W1706">
        <v>8</v>
      </c>
      <c r="X1706" t="s">
        <v>8962</v>
      </c>
      <c r="Y1706">
        <v>0.2757722993771205</v>
      </c>
      <c r="Z1706" t="str">
        <f>HYPERLINK("Melting_Curves/meltCurve_sp_Q5JTZ9_SYAM_HUMAN_.pdf", "Melting_Curves/meltCurve_sp_Q5JTZ9_SYAM_HUMAN_.pdf")</f>
        <v>Melting_Curves/meltCurve_sp_Q5JTZ9_SYAM_HUMAN_.pdf</v>
      </c>
      <c r="AA1706" t="s">
        <v>12561</v>
      </c>
      <c r="AB1706" t="s">
        <v>16131</v>
      </c>
    </row>
    <row r="1707" spans="1:28" x14ac:dyDescent="0.25">
      <c r="A1707" t="s">
        <v>1711</v>
      </c>
      <c r="B1707">
        <v>0.98018197421672304</v>
      </c>
      <c r="C1707">
        <v>0.98015917429507204</v>
      </c>
      <c r="D1707">
        <v>0.90744474004494702</v>
      </c>
      <c r="E1707">
        <v>0.75667606261913001</v>
      </c>
      <c r="F1707">
        <v>0.63806450843117601</v>
      </c>
      <c r="G1707">
        <v>0.48729852143039798</v>
      </c>
      <c r="H1707">
        <v>0.36012752489230898</v>
      </c>
      <c r="I1707">
        <v>0.23674031143717</v>
      </c>
      <c r="J1707">
        <v>0.224293122563792</v>
      </c>
      <c r="K1707">
        <v>9.9978682808557706E-2</v>
      </c>
      <c r="L1707">
        <v>531.89493284226796</v>
      </c>
      <c r="M1707">
        <v>9.4018231275858195</v>
      </c>
      <c r="N1707">
        <v>56.573611775252601</v>
      </c>
      <c r="O1707">
        <v>54.191277093521101</v>
      </c>
      <c r="P1707">
        <v>-4.3400023824036203E-2</v>
      </c>
      <c r="Q1707">
        <v>0</v>
      </c>
      <c r="R1707">
        <v>0.99463654413069202</v>
      </c>
      <c r="S1707" t="s">
        <v>5336</v>
      </c>
      <c r="T1707" t="s">
        <v>7256</v>
      </c>
      <c r="U1707" t="s">
        <v>7256</v>
      </c>
      <c r="V1707" t="s">
        <v>7256</v>
      </c>
      <c r="W1707">
        <v>1</v>
      </c>
      <c r="X1707" t="s">
        <v>8963</v>
      </c>
      <c r="Y1707">
        <v>0.57009239458005623</v>
      </c>
      <c r="Z1707" t="str">
        <f>HYPERLINK("Melting_Curves/meltCurve_sp_Q5MNZ6_WIPI3_HUMAN_.pdf", "Melting_Curves/meltCurve_sp_Q5MNZ6_WIPI3_HUMAN_.pdf")</f>
        <v>Melting_Curves/meltCurve_sp_Q5MNZ6_WIPI3_HUMAN_.pdf</v>
      </c>
      <c r="AA1707" t="s">
        <v>12562</v>
      </c>
      <c r="AB1707" t="s">
        <v>16132</v>
      </c>
    </row>
    <row r="1708" spans="1:28" x14ac:dyDescent="0.25">
      <c r="A1708" t="s">
        <v>1712</v>
      </c>
      <c r="B1708">
        <v>0.98018197421672304</v>
      </c>
      <c r="C1708">
        <v>0.92272688219902099</v>
      </c>
      <c r="D1708">
        <v>0.84535742075273201</v>
      </c>
      <c r="E1708">
        <v>0.45298072733836597</v>
      </c>
      <c r="F1708">
        <v>0.20133858395532001</v>
      </c>
      <c r="G1708">
        <v>0.14354054978085501</v>
      </c>
      <c r="H1708">
        <v>8.6466919670199593E-2</v>
      </c>
      <c r="I1708">
        <v>8.3165495903782305E-2</v>
      </c>
      <c r="J1708">
        <v>0.129570461794942</v>
      </c>
      <c r="K1708">
        <v>6.8200989362883394E-2</v>
      </c>
      <c r="L1708">
        <v>1119.54364560416</v>
      </c>
      <c r="M1708">
        <v>22.844152762101398</v>
      </c>
      <c r="N1708">
        <v>49.429484852818703</v>
      </c>
      <c r="O1708">
        <v>48.636964779488999</v>
      </c>
      <c r="P1708">
        <v>-0.10702982386916</v>
      </c>
      <c r="Q1708">
        <v>8.8518356002061205E-2</v>
      </c>
      <c r="R1708">
        <v>0.99568329793788102</v>
      </c>
      <c r="S1708" t="s">
        <v>5337</v>
      </c>
      <c r="T1708" t="s">
        <v>7256</v>
      </c>
      <c r="U1708" t="s">
        <v>7256</v>
      </c>
      <c r="V1708" t="s">
        <v>7256</v>
      </c>
      <c r="W1708">
        <v>4</v>
      </c>
      <c r="X1708" t="s">
        <v>8964</v>
      </c>
      <c r="Y1708">
        <v>0.3719279817415066</v>
      </c>
      <c r="Z1708" t="str">
        <f>HYPERLINK("Melting_Curves/meltCurve_sp_Q5QJ74_TBCEL_HUMAN_.pdf", "Melting_Curves/meltCurve_sp_Q5QJ74_TBCEL_HUMAN_.pdf")</f>
        <v>Melting_Curves/meltCurve_sp_Q5QJ74_TBCEL_HUMAN_.pdf</v>
      </c>
      <c r="AA1708" t="s">
        <v>12563</v>
      </c>
      <c r="AB1708" t="s">
        <v>16133</v>
      </c>
    </row>
    <row r="1709" spans="1:28" x14ac:dyDescent="0.25">
      <c r="A1709" t="s">
        <v>1713</v>
      </c>
      <c r="B1709">
        <v>0.98018197421672304</v>
      </c>
      <c r="C1709">
        <v>0.96324987400596696</v>
      </c>
      <c r="D1709">
        <v>0.91058819191830398</v>
      </c>
      <c r="E1709">
        <v>0.483356534813772</v>
      </c>
      <c r="F1709">
        <v>0.14806869839012499</v>
      </c>
      <c r="G1709">
        <v>5.9647401709165902E-2</v>
      </c>
      <c r="H1709">
        <v>3.0768501202108601E-2</v>
      </c>
      <c r="I1709">
        <v>2.4916118714258299E-2</v>
      </c>
      <c r="J1709">
        <v>2.2648500329490898E-2</v>
      </c>
      <c r="K1709">
        <v>1.78489707456976E-2</v>
      </c>
      <c r="L1709">
        <v>1434.48394209568</v>
      </c>
      <c r="M1709">
        <v>28.842533745051799</v>
      </c>
      <c r="N1709">
        <v>49.816123850622098</v>
      </c>
      <c r="O1709">
        <v>49.497775461116298</v>
      </c>
      <c r="P1709">
        <v>-0.14233570877628501</v>
      </c>
      <c r="Q1709">
        <v>2.2936427000665401E-2</v>
      </c>
      <c r="R1709">
        <v>0.99900471173587702</v>
      </c>
      <c r="S1709" t="s">
        <v>5338</v>
      </c>
      <c r="T1709" t="s">
        <v>7256</v>
      </c>
      <c r="U1709" t="s">
        <v>7256</v>
      </c>
      <c r="V1709" t="s">
        <v>7256</v>
      </c>
      <c r="W1709">
        <v>17</v>
      </c>
      <c r="X1709" t="s">
        <v>8965</v>
      </c>
      <c r="Y1709">
        <v>0.34651213555540888</v>
      </c>
      <c r="Z1709" t="str">
        <f>HYPERLINK("Melting_Curves/meltCurve_sp_Q5R3I4_TTC38_HUMAN_.pdf", "Melting_Curves/meltCurve_sp_Q5R3I4_TTC38_HUMAN_.pdf")</f>
        <v>Melting_Curves/meltCurve_sp_Q5R3I4_TTC38_HUMAN_.pdf</v>
      </c>
      <c r="AA1709" t="s">
        <v>12564</v>
      </c>
      <c r="AB1709" t="s">
        <v>16134</v>
      </c>
    </row>
    <row r="1710" spans="1:28" x14ac:dyDescent="0.25">
      <c r="A1710" t="s">
        <v>1714</v>
      </c>
      <c r="B1710">
        <v>0.98018197421672304</v>
      </c>
      <c r="C1710">
        <v>1.00373397698922</v>
      </c>
      <c r="D1710">
        <v>0.89632964094759704</v>
      </c>
      <c r="E1710">
        <v>0.755796273043567</v>
      </c>
      <c r="F1710">
        <v>0.68605291628104803</v>
      </c>
      <c r="G1710">
        <v>0.47608799343060398</v>
      </c>
      <c r="H1710">
        <v>0.37773304479969999</v>
      </c>
      <c r="I1710">
        <v>0.39850531580155202</v>
      </c>
      <c r="J1710">
        <v>0.45949386522076302</v>
      </c>
      <c r="K1710">
        <v>0.40667177556369799</v>
      </c>
      <c r="L1710">
        <v>838.85467859449398</v>
      </c>
      <c r="M1710">
        <v>16.2482341660236</v>
      </c>
      <c r="N1710">
        <v>56.907943452542398</v>
      </c>
      <c r="O1710">
        <v>50.864434312145697</v>
      </c>
      <c r="P1710">
        <v>-4.8775313321517098E-2</v>
      </c>
      <c r="Q1710">
        <v>0.38928882728926301</v>
      </c>
      <c r="R1710">
        <v>0.97830681472456504</v>
      </c>
      <c r="S1710" t="s">
        <v>5339</v>
      </c>
      <c r="T1710" t="s">
        <v>7256</v>
      </c>
      <c r="U1710" t="s">
        <v>7256</v>
      </c>
      <c r="V1710" t="s">
        <v>7256</v>
      </c>
      <c r="W1710">
        <v>1</v>
      </c>
      <c r="X1710" t="s">
        <v>8966</v>
      </c>
      <c r="Y1710">
        <v>0.63814197353174895</v>
      </c>
      <c r="Z1710" t="str">
        <f>HYPERLINK("Melting_Curves/meltCurve_sp_Q5RHP9_CA173_HUMAN_.pdf", "Melting_Curves/meltCurve_sp_Q5RHP9_CA173_HUMAN_.pdf")</f>
        <v>Melting_Curves/meltCurve_sp_Q5RHP9_CA173_HUMAN_.pdf</v>
      </c>
      <c r="AA1710" t="s">
        <v>12565</v>
      </c>
      <c r="AB1710" t="s">
        <v>16135</v>
      </c>
    </row>
    <row r="1711" spans="1:28" x14ac:dyDescent="0.25">
      <c r="A1711" t="s">
        <v>1715</v>
      </c>
      <c r="B1711">
        <v>0.98018197421672304</v>
      </c>
      <c r="C1711">
        <v>0.87237294382074804</v>
      </c>
      <c r="D1711">
        <v>0.89155373526850801</v>
      </c>
      <c r="E1711">
        <v>0.74382035661148505</v>
      </c>
      <c r="F1711">
        <v>0.63906229829100902</v>
      </c>
      <c r="G1711">
        <v>0.36024162318288999</v>
      </c>
      <c r="H1711">
        <v>0.174254801126005</v>
      </c>
      <c r="I1711">
        <v>8.5449852766245504E-2</v>
      </c>
      <c r="J1711">
        <v>9.9206801004502701E-2</v>
      </c>
      <c r="K1711">
        <v>7.4612466022501198E-2</v>
      </c>
      <c r="L1711">
        <v>685.61466839167497</v>
      </c>
      <c r="M1711">
        <v>12.604365573428201</v>
      </c>
      <c r="N1711">
        <v>54.395016027078299</v>
      </c>
      <c r="O1711">
        <v>53.080297592834398</v>
      </c>
      <c r="P1711">
        <v>-5.9376442022170697E-2</v>
      </c>
      <c r="Q1711">
        <v>0</v>
      </c>
      <c r="R1711">
        <v>0.987032151068164</v>
      </c>
      <c r="S1711" t="s">
        <v>5340</v>
      </c>
      <c r="T1711" t="s">
        <v>7256</v>
      </c>
      <c r="U1711" t="s">
        <v>7256</v>
      </c>
      <c r="V1711" t="s">
        <v>7256</v>
      </c>
      <c r="W1711">
        <v>3</v>
      </c>
      <c r="X1711" t="s">
        <v>8967</v>
      </c>
      <c r="Y1711">
        <v>0.50388523446512279</v>
      </c>
      <c r="Z1711" t="str">
        <f>HYPERLINK("Melting_Curves/meltCurve_sp_Q5RKV6_EXOS6_HUMAN_.pdf", "Melting_Curves/meltCurve_sp_Q5RKV6_EXOS6_HUMAN_.pdf")</f>
        <v>Melting_Curves/meltCurve_sp_Q5RKV6_EXOS6_HUMAN_.pdf</v>
      </c>
      <c r="AA1711" t="s">
        <v>12566</v>
      </c>
      <c r="AB1711" t="s">
        <v>16136</v>
      </c>
    </row>
    <row r="1712" spans="1:28" x14ac:dyDescent="0.25">
      <c r="A1712" t="s">
        <v>1716</v>
      </c>
      <c r="B1712">
        <v>0.98018197421672304</v>
      </c>
      <c r="C1712">
        <v>0.97337944024136203</v>
      </c>
      <c r="D1712">
        <v>0.751961302305447</v>
      </c>
      <c r="E1712">
        <v>0.34762687993260699</v>
      </c>
      <c r="F1712">
        <v>0.19352448487094001</v>
      </c>
      <c r="G1712">
        <v>0.12947375698264499</v>
      </c>
      <c r="H1712">
        <v>7.67148206418969E-2</v>
      </c>
      <c r="I1712">
        <v>3.5792999430236401E-2</v>
      </c>
      <c r="J1712">
        <v>0</v>
      </c>
      <c r="K1712">
        <v>8.2957152676417803E-2</v>
      </c>
      <c r="L1712">
        <v>1020.22528809929</v>
      </c>
      <c r="M1712">
        <v>21.114234868026401</v>
      </c>
      <c r="N1712">
        <v>48.578573381798797</v>
      </c>
      <c r="O1712">
        <v>47.892145545116897</v>
      </c>
      <c r="P1712">
        <v>-0.104347496288586</v>
      </c>
      <c r="Q1712">
        <v>5.3284369078840599E-2</v>
      </c>
      <c r="R1712">
        <v>0.99426087181008005</v>
      </c>
      <c r="S1712" t="s">
        <v>5341</v>
      </c>
      <c r="T1712" t="s">
        <v>7256</v>
      </c>
      <c r="U1712" t="s">
        <v>7256</v>
      </c>
      <c r="V1712" t="s">
        <v>7256</v>
      </c>
      <c r="W1712">
        <v>1</v>
      </c>
      <c r="X1712" t="s">
        <v>8968</v>
      </c>
      <c r="Y1712">
        <v>0.32775631158269303</v>
      </c>
      <c r="Z1712" t="str">
        <f>HYPERLINK("Melting_Curves/meltCurve_sp_Q5SRE5_2_NU188_HUMAN_.pdf", "Melting_Curves/meltCurve_sp_Q5SRE5_2_NU188_HUMAN_.pdf")</f>
        <v>Melting_Curves/meltCurve_sp_Q5SRE5_2_NU188_HUMAN_.pdf</v>
      </c>
      <c r="AA1712" t="s">
        <v>12567</v>
      </c>
      <c r="AB1712" t="s">
        <v>16137</v>
      </c>
    </row>
    <row r="1713" spans="1:28" x14ac:dyDescent="0.25">
      <c r="A1713" t="s">
        <v>1717</v>
      </c>
      <c r="B1713">
        <v>0.98018197421672304</v>
      </c>
      <c r="C1713">
        <v>0.98275165443177004</v>
      </c>
      <c r="D1713">
        <v>0.89167679722430904</v>
      </c>
      <c r="E1713">
        <v>0.44039268532271503</v>
      </c>
      <c r="F1713">
        <v>0.20434339775920801</v>
      </c>
      <c r="G1713">
        <v>0.128720763723216</v>
      </c>
      <c r="H1713">
        <v>8.0754527668785298E-2</v>
      </c>
      <c r="I1713">
        <v>5.5086398133177499E-2</v>
      </c>
      <c r="J1713">
        <v>6.9564252363832499E-2</v>
      </c>
      <c r="K1713">
        <v>3.6228842643474202E-2</v>
      </c>
      <c r="L1713">
        <v>1273.6459889466701</v>
      </c>
      <c r="M1713">
        <v>25.812397558481599</v>
      </c>
      <c r="N1713">
        <v>49.612592803920798</v>
      </c>
      <c r="O1713">
        <v>49.049121766736</v>
      </c>
      <c r="P1713">
        <v>-0.122939159462742</v>
      </c>
      <c r="Q1713">
        <v>6.5567495160179901E-2</v>
      </c>
      <c r="R1713">
        <v>0.99790426307214097</v>
      </c>
      <c r="S1713" t="s">
        <v>5342</v>
      </c>
      <c r="T1713" t="s">
        <v>7256</v>
      </c>
      <c r="U1713" t="s">
        <v>7256</v>
      </c>
      <c r="V1713" t="s">
        <v>7256</v>
      </c>
      <c r="W1713">
        <v>8</v>
      </c>
      <c r="X1713" t="s">
        <v>8969</v>
      </c>
      <c r="Y1713">
        <v>0.36433877305962858</v>
      </c>
      <c r="Z1713" t="str">
        <f>HYPERLINK("Melting_Curves/meltCurve_sp_Q5SRE7_2_PHYD1_HUMAN_.pdf", "Melting_Curves/meltCurve_sp_Q5SRE7_2_PHYD1_HUMAN_.pdf")</f>
        <v>Melting_Curves/meltCurve_sp_Q5SRE7_2_PHYD1_HUMAN_.pdf</v>
      </c>
      <c r="AA1713" t="s">
        <v>12568</v>
      </c>
      <c r="AB1713" t="s">
        <v>16138</v>
      </c>
    </row>
    <row r="1714" spans="1:28" x14ac:dyDescent="0.25">
      <c r="A1714" t="s">
        <v>1718</v>
      </c>
      <c r="B1714">
        <v>0.98018197421672304</v>
      </c>
      <c r="C1714">
        <v>0.90027476308983501</v>
      </c>
      <c r="D1714">
        <v>0.76695847888227897</v>
      </c>
      <c r="E1714">
        <v>0.60560843642626006</v>
      </c>
      <c r="F1714">
        <v>0.56486691155272495</v>
      </c>
      <c r="G1714">
        <v>0.37212063782500099</v>
      </c>
      <c r="H1714">
        <v>0.253403304829387</v>
      </c>
      <c r="I1714">
        <v>0.24333404256489199</v>
      </c>
      <c r="J1714">
        <v>0.34422632595414598</v>
      </c>
      <c r="K1714">
        <v>0.40591698631029799</v>
      </c>
      <c r="L1714">
        <v>642.67029063966595</v>
      </c>
      <c r="M1714">
        <v>13.0729487625978</v>
      </c>
      <c r="N1714">
        <v>52.670676342064702</v>
      </c>
      <c r="O1714">
        <v>48.052642543459797</v>
      </c>
      <c r="P1714">
        <v>-4.8244188613754999E-2</v>
      </c>
      <c r="Q1714">
        <v>0.29079160807564097</v>
      </c>
      <c r="R1714">
        <v>0.94830412286268895</v>
      </c>
      <c r="S1714" t="s">
        <v>5343</v>
      </c>
      <c r="T1714" t="s">
        <v>7256</v>
      </c>
      <c r="U1714" t="s">
        <v>7256</v>
      </c>
      <c r="V1714" t="s">
        <v>7256</v>
      </c>
      <c r="W1714">
        <v>4</v>
      </c>
      <c r="X1714" t="s">
        <v>8970</v>
      </c>
      <c r="Y1714">
        <v>0.52964981492077268</v>
      </c>
      <c r="Z1714" t="str">
        <f>HYPERLINK("Melting_Curves/meltCurve_sp_Q5SSJ5_HP1B3_HUMAN_.pdf", "Melting_Curves/meltCurve_sp_Q5SSJ5_HP1B3_HUMAN_.pdf")</f>
        <v>Melting_Curves/meltCurve_sp_Q5SSJ5_HP1B3_HUMAN_.pdf</v>
      </c>
      <c r="AA1714" t="s">
        <v>12569</v>
      </c>
      <c r="AB1714" t="s">
        <v>16139</v>
      </c>
    </row>
    <row r="1715" spans="1:28" x14ac:dyDescent="0.25">
      <c r="A1715" t="s">
        <v>1719</v>
      </c>
      <c r="B1715">
        <v>0.98018197421672304</v>
      </c>
      <c r="C1715">
        <v>0.91870758138351405</v>
      </c>
      <c r="D1715">
        <v>0.37545359901369102</v>
      </c>
      <c r="E1715">
        <v>0.52089444664304696</v>
      </c>
      <c r="F1715">
        <v>0.16717610532858801</v>
      </c>
      <c r="G1715">
        <v>0.10804058635462099</v>
      </c>
      <c r="H1715">
        <v>6.6713616513516399E-2</v>
      </c>
      <c r="I1715">
        <v>5.29692574182015E-2</v>
      </c>
      <c r="J1715">
        <v>4.4627888576238998E-2</v>
      </c>
      <c r="K1715">
        <v>5.01458402416032E-2</v>
      </c>
      <c r="L1715">
        <v>643.25731135943397</v>
      </c>
      <c r="M1715">
        <v>13.634501656720399</v>
      </c>
      <c r="N1715">
        <v>47.419951330401801</v>
      </c>
      <c r="O1715">
        <v>46.198466950436398</v>
      </c>
      <c r="P1715">
        <v>-7.1319658785888904E-2</v>
      </c>
      <c r="Q1715">
        <v>3.3517881154403198E-2</v>
      </c>
      <c r="R1715">
        <v>0.91395312073156598</v>
      </c>
      <c r="S1715" t="s">
        <v>5344</v>
      </c>
      <c r="T1715" t="s">
        <v>7256</v>
      </c>
      <c r="U1715" t="s">
        <v>7256</v>
      </c>
      <c r="V1715" t="s">
        <v>7256</v>
      </c>
      <c r="W1715">
        <v>10</v>
      </c>
      <c r="X1715" t="s">
        <v>8971</v>
      </c>
      <c r="Y1715">
        <v>0.29623462434315972</v>
      </c>
      <c r="Z1715" t="str">
        <f>HYPERLINK("Melting_Curves/meltCurve_sp_Q5ST30_SYVM_HUMAN_.pdf", "Melting_Curves/meltCurve_sp_Q5ST30_SYVM_HUMAN_.pdf")</f>
        <v>Melting_Curves/meltCurve_sp_Q5ST30_SYVM_HUMAN_.pdf</v>
      </c>
      <c r="AA1715" t="s">
        <v>12570</v>
      </c>
      <c r="AB1715" t="s">
        <v>16140</v>
      </c>
    </row>
    <row r="1716" spans="1:28" x14ac:dyDescent="0.25">
      <c r="A1716" t="s">
        <v>1720</v>
      </c>
      <c r="B1716">
        <v>0.98018197421672304</v>
      </c>
      <c r="C1716">
        <v>0.82629588098491602</v>
      </c>
      <c r="D1716">
        <v>0.87692591528279895</v>
      </c>
      <c r="E1716">
        <v>0.69935632647169199</v>
      </c>
      <c r="F1716">
        <v>0.57282901195531</v>
      </c>
      <c r="G1716">
        <v>0.48549844509832601</v>
      </c>
      <c r="H1716">
        <v>0.410134580232563</v>
      </c>
      <c r="I1716">
        <v>0.384740088116303</v>
      </c>
      <c r="J1716">
        <v>0.492679908171544</v>
      </c>
      <c r="K1716">
        <v>0.47048289950294298</v>
      </c>
      <c r="L1716">
        <v>626.80351671158598</v>
      </c>
      <c r="M1716">
        <v>12.765387264083801</v>
      </c>
      <c r="N1716">
        <v>56.979253961186402</v>
      </c>
      <c r="O1716">
        <v>47.943594880592698</v>
      </c>
      <c r="P1716">
        <v>-3.8988136932062302E-2</v>
      </c>
      <c r="Q1716">
        <v>0.41439213235154598</v>
      </c>
      <c r="R1716">
        <v>0.941335975583656</v>
      </c>
      <c r="S1716" t="s">
        <v>5345</v>
      </c>
      <c r="T1716" t="s">
        <v>7256</v>
      </c>
      <c r="U1716" t="s">
        <v>7256</v>
      </c>
      <c r="V1716" t="s">
        <v>7256</v>
      </c>
      <c r="W1716">
        <v>3</v>
      </c>
      <c r="X1716" t="s">
        <v>8972</v>
      </c>
      <c r="Y1716">
        <v>0.6113157648305747</v>
      </c>
      <c r="Z1716" t="str">
        <f>HYPERLINK("Melting_Curves/meltCurve_sp_Q5SW79_2_CE170_HUMAN_.pdf", "Melting_Curves/meltCurve_sp_Q5SW79_2_CE170_HUMAN_.pdf")</f>
        <v>Melting_Curves/meltCurve_sp_Q5SW79_2_CE170_HUMAN_.pdf</v>
      </c>
      <c r="AA1716" t="s">
        <v>12571</v>
      </c>
      <c r="AB1716" t="s">
        <v>16141</v>
      </c>
    </row>
    <row r="1717" spans="1:28" x14ac:dyDescent="0.25">
      <c r="A1717" t="s">
        <v>1721</v>
      </c>
      <c r="B1717">
        <v>0.98018197421672304</v>
      </c>
      <c r="C1717">
        <v>0.886935722437866</v>
      </c>
      <c r="D1717">
        <v>0.86584311952000503</v>
      </c>
      <c r="E1717">
        <v>0.79870858003825795</v>
      </c>
      <c r="F1717">
        <v>0.69028141488608896</v>
      </c>
      <c r="G1717">
        <v>0.58265968901785603</v>
      </c>
      <c r="H1717">
        <v>0.42876093867562098</v>
      </c>
      <c r="I1717">
        <v>0.458838701755728</v>
      </c>
      <c r="J1717">
        <v>0.59815830527000002</v>
      </c>
      <c r="K1717">
        <v>0.75226505166073399</v>
      </c>
      <c r="L1717">
        <v>716.24868269753495</v>
      </c>
      <c r="M1717">
        <v>14.626706636206601</v>
      </c>
      <c r="O1717">
        <v>48.080519754748501</v>
      </c>
      <c r="P1717">
        <v>-3.3910777608776997E-2</v>
      </c>
      <c r="Q1717">
        <v>0.55416707841063995</v>
      </c>
      <c r="R1717">
        <v>0.738832001780237</v>
      </c>
      <c r="S1717" t="s">
        <v>5346</v>
      </c>
      <c r="T1717" t="s">
        <v>7256</v>
      </c>
      <c r="U1717" t="s">
        <v>7256</v>
      </c>
      <c r="V1717" t="s">
        <v>7256</v>
      </c>
      <c r="W1717">
        <v>2</v>
      </c>
      <c r="X1717" t="s">
        <v>8973</v>
      </c>
      <c r="Y1717">
        <v>0.69899879137424437</v>
      </c>
      <c r="Z1717" t="str">
        <f>HYPERLINK("Melting_Curves/meltCurve_sp_Q5SXM8_DNLZ_HUMAN_.pdf", "Melting_Curves/meltCurve_sp_Q5SXM8_DNLZ_HUMAN_.pdf")</f>
        <v>Melting_Curves/meltCurve_sp_Q5SXM8_DNLZ_HUMAN_.pdf</v>
      </c>
      <c r="AA1717" t="s">
        <v>12572</v>
      </c>
      <c r="AB1717" t="s">
        <v>16142</v>
      </c>
    </row>
    <row r="1718" spans="1:28" x14ac:dyDescent="0.25">
      <c r="A1718" t="s">
        <v>1722</v>
      </c>
      <c r="B1718">
        <v>0.98018197421672304</v>
      </c>
      <c r="C1718">
        <v>1.0006652386091699</v>
      </c>
      <c r="D1718">
        <v>0.97150865747144799</v>
      </c>
      <c r="E1718">
        <v>0.732483810361231</v>
      </c>
      <c r="F1718">
        <v>0.50205147548163498</v>
      </c>
      <c r="G1718">
        <v>0.33402094984205399</v>
      </c>
      <c r="H1718">
        <v>0.26992687256947001</v>
      </c>
      <c r="I1718">
        <v>0.25354175038640298</v>
      </c>
      <c r="J1718">
        <v>0.30724758317060002</v>
      </c>
      <c r="K1718">
        <v>0.31951304985906598</v>
      </c>
      <c r="L1718">
        <v>1311.2176655522001</v>
      </c>
      <c r="M1718">
        <v>25.645549871169699</v>
      </c>
      <c r="N1718">
        <v>52.867078496743702</v>
      </c>
      <c r="O1718">
        <v>50.820609912532603</v>
      </c>
      <c r="P1718">
        <v>-9.0219189700181002E-2</v>
      </c>
      <c r="Q1718">
        <v>0.28487552380246201</v>
      </c>
      <c r="R1718">
        <v>0.99537893401630195</v>
      </c>
      <c r="S1718" t="s">
        <v>5347</v>
      </c>
      <c r="T1718" t="s">
        <v>7256</v>
      </c>
      <c r="U1718" t="s">
        <v>7256</v>
      </c>
      <c r="V1718" t="s">
        <v>7256</v>
      </c>
      <c r="W1718">
        <v>3</v>
      </c>
      <c r="X1718" t="s">
        <v>8974</v>
      </c>
      <c r="Y1718">
        <v>0.5563033651656013</v>
      </c>
      <c r="Z1718" t="str">
        <f>HYPERLINK("Melting_Curves/meltCurve_sp_Q5SYE7_2_NHSL1_HUMAN_.pdf", "Melting_Curves/meltCurve_sp_Q5SYE7_2_NHSL1_HUMAN_.pdf")</f>
        <v>Melting_Curves/meltCurve_sp_Q5SYE7_2_NHSL1_HUMAN_.pdf</v>
      </c>
      <c r="AA1718" t="s">
        <v>12573</v>
      </c>
      <c r="AB1718" t="s">
        <v>16143</v>
      </c>
    </row>
    <row r="1719" spans="1:28" x14ac:dyDescent="0.25">
      <c r="A1719" t="s">
        <v>1723</v>
      </c>
      <c r="B1719">
        <v>0.98018197421672304</v>
      </c>
      <c r="C1719">
        <v>0.94271704413438195</v>
      </c>
      <c r="D1719">
        <v>0.92610582844349598</v>
      </c>
      <c r="E1719">
        <v>0.717257631212596</v>
      </c>
      <c r="F1719">
        <v>0.579758979281494</v>
      </c>
      <c r="G1719">
        <v>0.39607573471847601</v>
      </c>
      <c r="H1719">
        <v>0.27295815276340901</v>
      </c>
      <c r="I1719">
        <v>0.33321704006214398</v>
      </c>
      <c r="J1719">
        <v>0.21643502068010601</v>
      </c>
      <c r="K1719">
        <v>0.36658183978339098</v>
      </c>
      <c r="L1719">
        <v>873.32776303227695</v>
      </c>
      <c r="M1719">
        <v>16.9470327674834</v>
      </c>
      <c r="N1719">
        <v>54.104228685706801</v>
      </c>
      <c r="O1719">
        <v>50.831288028782197</v>
      </c>
      <c r="P1719">
        <v>-6.0302251388588198E-2</v>
      </c>
      <c r="Q1719">
        <v>0.27655787468232801</v>
      </c>
      <c r="R1719">
        <v>0.97721329820439595</v>
      </c>
      <c r="S1719" t="s">
        <v>5348</v>
      </c>
      <c r="T1719" t="s">
        <v>7256</v>
      </c>
      <c r="U1719" t="s">
        <v>7256</v>
      </c>
      <c r="V1719" t="s">
        <v>7256</v>
      </c>
      <c r="W1719">
        <v>4</v>
      </c>
      <c r="X1719" t="s">
        <v>8975</v>
      </c>
      <c r="Y1719">
        <v>0.56810908694214135</v>
      </c>
      <c r="Z1719" t="str">
        <f>HYPERLINK("Melting_Curves/meltCurve_sp_Q5T0N5_3_FBP1L_HUMAN_.pdf", "Melting_Curves/meltCurve_sp_Q5T0N5_3_FBP1L_HUMAN_.pdf")</f>
        <v>Melting_Curves/meltCurve_sp_Q5T0N5_3_FBP1L_HUMAN_.pdf</v>
      </c>
      <c r="AA1719" t="s">
        <v>12574</v>
      </c>
      <c r="AB1719" t="s">
        <v>16144</v>
      </c>
    </row>
    <row r="1720" spans="1:28" x14ac:dyDescent="0.25">
      <c r="A1720" t="s">
        <v>1724</v>
      </c>
      <c r="B1720">
        <v>0.98018197421672304</v>
      </c>
      <c r="C1720">
        <v>0.87910853895383101</v>
      </c>
      <c r="D1720">
        <v>0.771990779881359</v>
      </c>
      <c r="E1720">
        <v>0.49917733348447502</v>
      </c>
      <c r="F1720">
        <v>0.24473516835654599</v>
      </c>
      <c r="G1720">
        <v>0.14702038861493499</v>
      </c>
      <c r="H1720">
        <v>9.1622772929765006E-2</v>
      </c>
      <c r="I1720">
        <v>9.9498792427470603E-2</v>
      </c>
      <c r="J1720">
        <v>9.3515931151587101E-2</v>
      </c>
      <c r="K1720">
        <v>6.5193823563227005E-2</v>
      </c>
      <c r="L1720">
        <v>798.87352324778601</v>
      </c>
      <c r="M1720">
        <v>16.2729759989864</v>
      </c>
      <c r="N1720">
        <v>49.512014751031401</v>
      </c>
      <c r="O1720">
        <v>48.3686332011997</v>
      </c>
      <c r="P1720">
        <v>-7.8692803306621997E-2</v>
      </c>
      <c r="Q1720">
        <v>6.4465116755733007E-2</v>
      </c>
      <c r="R1720">
        <v>0.99591727708181998</v>
      </c>
      <c r="S1720" t="s">
        <v>5349</v>
      </c>
      <c r="T1720" t="s">
        <v>7256</v>
      </c>
      <c r="U1720" t="s">
        <v>7256</v>
      </c>
      <c r="V1720" t="s">
        <v>7256</v>
      </c>
      <c r="W1720">
        <v>6</v>
      </c>
      <c r="X1720" t="s">
        <v>8976</v>
      </c>
      <c r="Y1720">
        <v>0.3677056610646155</v>
      </c>
      <c r="Z1720" t="str">
        <f>HYPERLINK("Melting_Curves/meltCurve_sp_Q5T160_SYRM_HUMAN_.pdf", "Melting_Curves/meltCurve_sp_Q5T160_SYRM_HUMAN_.pdf")</f>
        <v>Melting_Curves/meltCurve_sp_Q5T160_SYRM_HUMAN_.pdf</v>
      </c>
      <c r="AA1720" t="s">
        <v>12575</v>
      </c>
      <c r="AB1720" t="s">
        <v>16145</v>
      </c>
    </row>
    <row r="1721" spans="1:28" x14ac:dyDescent="0.25">
      <c r="A1721" t="s">
        <v>1725</v>
      </c>
      <c r="B1721">
        <v>0.98018197421672304</v>
      </c>
      <c r="C1721">
        <v>0.95869007219245095</v>
      </c>
      <c r="D1721">
        <v>0.85951652117890998</v>
      </c>
      <c r="E1721">
        <v>0.67305413836436301</v>
      </c>
      <c r="F1721">
        <v>0.44454133868784201</v>
      </c>
      <c r="G1721">
        <v>0.25156581368375802</v>
      </c>
      <c r="H1721">
        <v>0.199433445196503</v>
      </c>
      <c r="I1721">
        <v>0.18829557139209999</v>
      </c>
      <c r="J1721">
        <v>0.199319221140866</v>
      </c>
      <c r="K1721">
        <v>0.17061171029889499</v>
      </c>
      <c r="L1721">
        <v>880.356742166201</v>
      </c>
      <c r="M1721">
        <v>17.295443440066901</v>
      </c>
      <c r="N1721">
        <v>52.094451581428203</v>
      </c>
      <c r="O1721">
        <v>50.235235009145597</v>
      </c>
      <c r="P1721">
        <v>-7.1998291397908906E-2</v>
      </c>
      <c r="Q1721">
        <v>0.163562080889426</v>
      </c>
      <c r="R1721">
        <v>0.99724361176586296</v>
      </c>
      <c r="S1721" t="s">
        <v>5350</v>
      </c>
      <c r="T1721" t="s">
        <v>7256</v>
      </c>
      <c r="U1721" t="s">
        <v>7256</v>
      </c>
      <c r="V1721" t="s">
        <v>7256</v>
      </c>
      <c r="W1721">
        <v>8</v>
      </c>
      <c r="X1721" t="s">
        <v>8977</v>
      </c>
      <c r="Y1721">
        <v>0.48265832817640419</v>
      </c>
      <c r="Z1721" t="str">
        <f>HYPERLINK("Melting_Curves/meltCurve_sp_Q5T1M5_FKB15_HUMAN_.pdf", "Melting_Curves/meltCurve_sp_Q5T1M5_FKB15_HUMAN_.pdf")</f>
        <v>Melting_Curves/meltCurve_sp_Q5T1M5_FKB15_HUMAN_.pdf</v>
      </c>
      <c r="AA1721" t="s">
        <v>12576</v>
      </c>
      <c r="AB1721" t="s">
        <v>16146</v>
      </c>
    </row>
    <row r="1722" spans="1:28" x14ac:dyDescent="0.25">
      <c r="A1722" t="s">
        <v>1726</v>
      </c>
      <c r="B1722">
        <v>0.98018197421672304</v>
      </c>
      <c r="C1722">
        <v>0.93387630291143697</v>
      </c>
      <c r="D1722">
        <v>0.89187082796988204</v>
      </c>
      <c r="E1722">
        <v>0.81475235720053796</v>
      </c>
      <c r="F1722">
        <v>0.58163323150577295</v>
      </c>
      <c r="G1722">
        <v>0.40899484892419002</v>
      </c>
      <c r="H1722">
        <v>0.30176026125833899</v>
      </c>
      <c r="I1722">
        <v>0.221859067596924</v>
      </c>
      <c r="J1722">
        <v>0.211221202666073</v>
      </c>
      <c r="K1722">
        <v>0.164536841057775</v>
      </c>
      <c r="L1722">
        <v>682.298333651804</v>
      </c>
      <c r="M1722">
        <v>12.6660645475965</v>
      </c>
      <c r="N1722">
        <v>55.159682599757097</v>
      </c>
      <c r="O1722">
        <v>52.578386319948102</v>
      </c>
      <c r="P1722">
        <v>-5.2507394915070497E-2</v>
      </c>
      <c r="Q1722">
        <v>0.12831186465084801</v>
      </c>
      <c r="R1722">
        <v>0.99413360114867899</v>
      </c>
      <c r="S1722" t="s">
        <v>5351</v>
      </c>
      <c r="T1722" t="s">
        <v>7256</v>
      </c>
      <c r="U1722" t="s">
        <v>7256</v>
      </c>
      <c r="V1722" t="s">
        <v>7256</v>
      </c>
      <c r="W1722">
        <v>1</v>
      </c>
      <c r="X1722" t="s">
        <v>8978</v>
      </c>
      <c r="Y1722">
        <v>0.55312310930481867</v>
      </c>
      <c r="Z1722" t="str">
        <f>HYPERLINK("Melting_Curves/meltCurve_sp_Q5T2E6_CJ076_HUMAN_.pdf", "Melting_Curves/meltCurve_sp_Q5T2E6_CJ076_HUMAN_.pdf")</f>
        <v>Melting_Curves/meltCurve_sp_Q5T2E6_CJ076_HUMAN_.pdf</v>
      </c>
      <c r="AA1722" t="s">
        <v>12577</v>
      </c>
      <c r="AB1722" t="s">
        <v>16147</v>
      </c>
    </row>
    <row r="1723" spans="1:28" x14ac:dyDescent="0.25">
      <c r="A1723" t="s">
        <v>1727</v>
      </c>
      <c r="B1723">
        <v>0.98018197421672304</v>
      </c>
      <c r="C1723">
        <v>0.956263950901731</v>
      </c>
      <c r="D1723">
        <v>0.89042106091131001</v>
      </c>
      <c r="E1723">
        <v>0.74911815217681199</v>
      </c>
      <c r="F1723">
        <v>0.617545700434179</v>
      </c>
      <c r="G1723">
        <v>0.41392724545486997</v>
      </c>
      <c r="H1723">
        <v>0.27186105441493202</v>
      </c>
      <c r="I1723">
        <v>0.26965184683974902</v>
      </c>
      <c r="J1723">
        <v>0.21823481781556101</v>
      </c>
      <c r="K1723">
        <v>0.273465795365394</v>
      </c>
      <c r="L1723">
        <v>734.65896996023798</v>
      </c>
      <c r="M1723">
        <v>13.9136987320824</v>
      </c>
      <c r="N1723">
        <v>54.858577177468902</v>
      </c>
      <c r="O1723">
        <v>51.746283927556597</v>
      </c>
      <c r="P1723">
        <v>-5.3563208955170097E-2</v>
      </c>
      <c r="Q1723">
        <v>0.20328264389355899</v>
      </c>
      <c r="R1723">
        <v>0.99378169012390705</v>
      </c>
      <c r="S1723" t="s">
        <v>5352</v>
      </c>
      <c r="T1723" t="s">
        <v>7256</v>
      </c>
      <c r="U1723" t="s">
        <v>7256</v>
      </c>
      <c r="V1723" t="s">
        <v>7256</v>
      </c>
      <c r="W1723">
        <v>13</v>
      </c>
      <c r="X1723" t="s">
        <v>8979</v>
      </c>
      <c r="Y1723">
        <v>0.56241395279796558</v>
      </c>
      <c r="Z1723" t="str">
        <f>HYPERLINK("Melting_Curves/meltCurve_sp_Q5T2W1_NHRF3_HUMAN_.pdf", "Melting_Curves/meltCurve_sp_Q5T2W1_NHRF3_HUMAN_.pdf")</f>
        <v>Melting_Curves/meltCurve_sp_Q5T2W1_NHRF3_HUMAN_.pdf</v>
      </c>
      <c r="AA1723" t="s">
        <v>12578</v>
      </c>
      <c r="AB1723" t="s">
        <v>16148</v>
      </c>
    </row>
    <row r="1724" spans="1:28" x14ac:dyDescent="0.25">
      <c r="A1724" t="s">
        <v>1728</v>
      </c>
      <c r="B1724">
        <v>0.98018197421672304</v>
      </c>
      <c r="C1724">
        <v>1.11131817915714</v>
      </c>
      <c r="D1724">
        <v>0.91763694419305497</v>
      </c>
      <c r="E1724">
        <v>0.68548935692856405</v>
      </c>
      <c r="F1724">
        <v>0.39839598506926099</v>
      </c>
      <c r="G1724">
        <v>0.107885897177108</v>
      </c>
      <c r="H1724">
        <v>5.7047297397095999E-2</v>
      </c>
      <c r="I1724">
        <v>4.1692509102143602E-2</v>
      </c>
      <c r="J1724">
        <v>5.5572083423725403E-2</v>
      </c>
      <c r="K1724">
        <v>3.7620181316862102E-2</v>
      </c>
      <c r="L1724">
        <v>1212.59430443922</v>
      </c>
      <c r="M1724">
        <v>23.477166683829299</v>
      </c>
      <c r="N1724">
        <v>51.8086799026809</v>
      </c>
      <c r="O1724">
        <v>51.279580225929301</v>
      </c>
      <c r="P1724">
        <v>-0.110486634898494</v>
      </c>
      <c r="Q1724">
        <v>3.4702854019319801E-2</v>
      </c>
      <c r="R1724">
        <v>0.99037452136433601</v>
      </c>
      <c r="S1724" t="s">
        <v>5353</v>
      </c>
      <c r="T1724" t="s">
        <v>7256</v>
      </c>
      <c r="U1724" t="s">
        <v>7256</v>
      </c>
      <c r="V1724" t="s">
        <v>7256</v>
      </c>
      <c r="W1724">
        <v>9</v>
      </c>
      <c r="X1724" t="s">
        <v>8980</v>
      </c>
      <c r="Y1724">
        <v>0.4194698611459759</v>
      </c>
      <c r="Z1724" t="str">
        <f>HYPERLINK("Melting_Curves/meltCurve_sp_Q5T440_CAF17_HUMAN_.pdf", "Melting_Curves/meltCurve_sp_Q5T440_CAF17_HUMAN_.pdf")</f>
        <v>Melting_Curves/meltCurve_sp_Q5T440_CAF17_HUMAN_.pdf</v>
      </c>
      <c r="AA1724" t="s">
        <v>12579</v>
      </c>
      <c r="AB1724" t="s">
        <v>16149</v>
      </c>
    </row>
    <row r="1725" spans="1:28" x14ac:dyDescent="0.25">
      <c r="A1725" t="s">
        <v>1729</v>
      </c>
      <c r="B1725">
        <v>0.98018197421672304</v>
      </c>
      <c r="C1725">
        <v>0.86161732447802197</v>
      </c>
      <c r="D1725">
        <v>0.74171581862688196</v>
      </c>
      <c r="E1725">
        <v>0.55456997109044304</v>
      </c>
      <c r="F1725">
        <v>0.204404363878506</v>
      </c>
      <c r="G1725">
        <v>0.10344887157829299</v>
      </c>
      <c r="H1725">
        <v>4.7741799566123497E-2</v>
      </c>
      <c r="I1725">
        <v>1.55026148623819E-2</v>
      </c>
      <c r="J1725">
        <v>0.10454499090726301</v>
      </c>
      <c r="K1725">
        <v>5.18755154755541E-2</v>
      </c>
      <c r="L1725">
        <v>779.71522120768395</v>
      </c>
      <c r="M1725">
        <v>15.8090238552402</v>
      </c>
      <c r="N1725">
        <v>49.478481234555801</v>
      </c>
      <c r="O1725">
        <v>48.551961528975397</v>
      </c>
      <c r="P1725">
        <v>-7.9410544720867393E-2</v>
      </c>
      <c r="Q1725">
        <v>2.4551983112743599E-2</v>
      </c>
      <c r="R1725">
        <v>0.98180241495980403</v>
      </c>
      <c r="S1725" t="s">
        <v>5354</v>
      </c>
      <c r="T1725" t="s">
        <v>7256</v>
      </c>
      <c r="U1725" t="s">
        <v>7256</v>
      </c>
      <c r="V1725" t="s">
        <v>7256</v>
      </c>
      <c r="W1725">
        <v>2</v>
      </c>
      <c r="X1725" t="s">
        <v>8981</v>
      </c>
      <c r="Y1725">
        <v>0.34919437826378991</v>
      </c>
      <c r="Z1725" t="str">
        <f>HYPERLINK("Melting_Curves/meltCurve_sp_Q5T447_HECD3_HUMAN_.pdf", "Melting_Curves/meltCurve_sp_Q5T447_HECD3_HUMAN_.pdf")</f>
        <v>Melting_Curves/meltCurve_sp_Q5T447_HECD3_HUMAN_.pdf</v>
      </c>
      <c r="AA1725" t="s">
        <v>12580</v>
      </c>
      <c r="AB1725" t="s">
        <v>16150</v>
      </c>
    </row>
    <row r="1726" spans="1:28" x14ac:dyDescent="0.25">
      <c r="A1726" t="s">
        <v>1730</v>
      </c>
      <c r="B1726">
        <v>0.98018197421672304</v>
      </c>
      <c r="C1726">
        <v>0.92505847685659304</v>
      </c>
      <c r="D1726">
        <v>0.91184863792825699</v>
      </c>
      <c r="E1726">
        <v>0.75636395009855995</v>
      </c>
      <c r="F1726">
        <v>0.62885039972490198</v>
      </c>
      <c r="G1726">
        <v>0.60908190264039497</v>
      </c>
      <c r="H1726">
        <v>0.53103172982392099</v>
      </c>
      <c r="I1726">
        <v>0.50163643477307795</v>
      </c>
      <c r="J1726">
        <v>0.85240465347140704</v>
      </c>
      <c r="K1726">
        <v>0.74321918533082398</v>
      </c>
      <c r="L1726">
        <v>1209.6313566621</v>
      </c>
      <c r="M1726">
        <v>25.325769687936599</v>
      </c>
      <c r="O1726">
        <v>47.468057974594203</v>
      </c>
      <c r="P1726">
        <v>-4.7682949272599501E-2</v>
      </c>
      <c r="Q1726">
        <v>0.642516207431307</v>
      </c>
      <c r="R1726">
        <v>0.643235787410398</v>
      </c>
      <c r="S1726" t="s">
        <v>5355</v>
      </c>
      <c r="T1726" t="s">
        <v>7256</v>
      </c>
      <c r="U1726" t="s">
        <v>7256</v>
      </c>
      <c r="V1726" t="s">
        <v>7256</v>
      </c>
      <c r="W1726">
        <v>1</v>
      </c>
      <c r="X1726" t="s">
        <v>8982</v>
      </c>
      <c r="Y1726">
        <v>0.73809563398250355</v>
      </c>
      <c r="Z1726" t="str">
        <f>HYPERLINK("Melting_Curves/meltCurve_sp_Q5T4F4_6_ZFY27_HUMAN_.pdf", "Melting_Curves/meltCurve_sp_Q5T4F4_6_ZFY27_HUMAN_.pdf")</f>
        <v>Melting_Curves/meltCurve_sp_Q5T4F4_6_ZFY27_HUMAN_.pdf</v>
      </c>
      <c r="AA1726" t="s">
        <v>12581</v>
      </c>
      <c r="AB1726" t="s">
        <v>16151</v>
      </c>
    </row>
    <row r="1727" spans="1:28" x14ac:dyDescent="0.25">
      <c r="A1727" t="s">
        <v>1731</v>
      </c>
      <c r="B1727">
        <v>0.98018197421672304</v>
      </c>
      <c r="C1727">
        <v>0.91946984922990505</v>
      </c>
      <c r="D1727">
        <v>0.81560407950132197</v>
      </c>
      <c r="E1727">
        <v>0.57627167635707099</v>
      </c>
      <c r="F1727">
        <v>0.23859698684959599</v>
      </c>
      <c r="G1727">
        <v>0.13583381576512699</v>
      </c>
      <c r="H1727">
        <v>9.0611309563349701E-2</v>
      </c>
      <c r="I1727">
        <v>7.7186826267213293E-2</v>
      </c>
      <c r="J1727">
        <v>0.113442609630103</v>
      </c>
      <c r="K1727">
        <v>7.8933578923739298E-2</v>
      </c>
      <c r="L1727">
        <v>959.15084114031401</v>
      </c>
      <c r="M1727">
        <v>19.277221387035802</v>
      </c>
      <c r="N1727">
        <v>50.162132020399902</v>
      </c>
      <c r="O1727">
        <v>49.229495548701102</v>
      </c>
      <c r="P1727">
        <v>-9.08194180367249E-2</v>
      </c>
      <c r="Q1727">
        <v>7.2308892889449305E-2</v>
      </c>
      <c r="R1727">
        <v>0.99202624807143602</v>
      </c>
      <c r="S1727" t="s">
        <v>5356</v>
      </c>
      <c r="T1727" t="s">
        <v>7256</v>
      </c>
      <c r="U1727" t="s">
        <v>7256</v>
      </c>
      <c r="V1727" t="s">
        <v>7256</v>
      </c>
      <c r="W1727">
        <v>23</v>
      </c>
      <c r="X1727" t="s">
        <v>8983</v>
      </c>
      <c r="Y1727">
        <v>0.38788035884848238</v>
      </c>
      <c r="Z1727" t="str">
        <f>HYPERLINK("Melting_Curves/meltCurve_sp_Q5T4S7_3_UBR4_HUMAN_.pdf", "Melting_Curves/meltCurve_sp_Q5T4S7_3_UBR4_HUMAN_.pdf")</f>
        <v>Melting_Curves/meltCurve_sp_Q5T4S7_3_UBR4_HUMAN_.pdf</v>
      </c>
      <c r="AA1727" t="s">
        <v>12582</v>
      </c>
      <c r="AB1727" t="s">
        <v>16152</v>
      </c>
    </row>
    <row r="1728" spans="1:28" x14ac:dyDescent="0.25">
      <c r="A1728" t="s">
        <v>1732</v>
      </c>
      <c r="B1728">
        <v>0.98018197421672304</v>
      </c>
      <c r="C1728">
        <v>0.96292336404546996</v>
      </c>
      <c r="D1728">
        <v>0.90680455131214199</v>
      </c>
      <c r="E1728">
        <v>0.76834780298449901</v>
      </c>
      <c r="F1728">
        <v>0.60572304825911605</v>
      </c>
      <c r="G1728">
        <v>0.43880756938125098</v>
      </c>
      <c r="H1728">
        <v>0.40723040168192398</v>
      </c>
      <c r="I1728">
        <v>0.419569104002259</v>
      </c>
      <c r="J1728">
        <v>0.50070758525096204</v>
      </c>
      <c r="K1728">
        <v>0.56441117268396201</v>
      </c>
      <c r="L1728">
        <v>1161.7315008225</v>
      </c>
      <c r="M1728">
        <v>23.103686606806502</v>
      </c>
      <c r="N1728">
        <v>56.534251628449702</v>
      </c>
      <c r="O1728">
        <v>49.911211850294897</v>
      </c>
      <c r="P1728">
        <v>-6.2360687164948102E-2</v>
      </c>
      <c r="Q1728">
        <v>0.461135306998885</v>
      </c>
      <c r="R1728">
        <v>0.94893548503909597</v>
      </c>
      <c r="S1728" t="s">
        <v>5357</v>
      </c>
      <c r="T1728" t="s">
        <v>7256</v>
      </c>
      <c r="U1728" t="s">
        <v>7256</v>
      </c>
      <c r="V1728" t="s">
        <v>7256</v>
      </c>
      <c r="W1728">
        <v>27</v>
      </c>
      <c r="X1728" t="s">
        <v>8984</v>
      </c>
      <c r="Y1728">
        <v>0.65149840870820064</v>
      </c>
      <c r="Z1728" t="str">
        <f>HYPERLINK("Melting_Curves/meltCurve_sp_Q5T5P2_SKT_HUMAN_.pdf", "Melting_Curves/meltCurve_sp_Q5T5P2_SKT_HUMAN_.pdf")</f>
        <v>Melting_Curves/meltCurve_sp_Q5T5P2_SKT_HUMAN_.pdf</v>
      </c>
      <c r="AA1728" t="s">
        <v>12583</v>
      </c>
      <c r="AB1728" t="s">
        <v>16153</v>
      </c>
    </row>
    <row r="1729" spans="1:28" x14ac:dyDescent="0.25">
      <c r="A1729" t="s">
        <v>1733</v>
      </c>
      <c r="B1729">
        <v>0.98018197421672304</v>
      </c>
      <c r="C1729">
        <v>1.0116632578920699</v>
      </c>
      <c r="D1729">
        <v>0.96346452185229503</v>
      </c>
      <c r="E1729">
        <v>0.92443061604751398</v>
      </c>
      <c r="F1729">
        <v>0.81565417795015105</v>
      </c>
      <c r="G1729">
        <v>0.571664150071587</v>
      </c>
      <c r="H1729">
        <v>0.58261916563670701</v>
      </c>
      <c r="I1729">
        <v>0.66525483565137999</v>
      </c>
      <c r="J1729">
        <v>0.83826457327007098</v>
      </c>
      <c r="K1729">
        <v>0.75326207089823105</v>
      </c>
      <c r="L1729">
        <v>2185.5202339037701</v>
      </c>
      <c r="M1729">
        <v>42.008712295328301</v>
      </c>
      <c r="O1729">
        <v>51.907929830364203</v>
      </c>
      <c r="P1729">
        <v>-6.3820244210327198E-2</v>
      </c>
      <c r="Q1729">
        <v>0.68456345012345199</v>
      </c>
      <c r="R1729">
        <v>0.76100064864587302</v>
      </c>
      <c r="S1729" t="s">
        <v>5358</v>
      </c>
      <c r="T1729" t="s">
        <v>7256</v>
      </c>
      <c r="U1729" t="s">
        <v>7256</v>
      </c>
      <c r="V1729" t="s">
        <v>7256</v>
      </c>
      <c r="W1729">
        <v>7</v>
      </c>
      <c r="X1729" t="s">
        <v>8985</v>
      </c>
      <c r="Y1729">
        <v>0.81203259498918845</v>
      </c>
      <c r="Z1729" t="str">
        <f>HYPERLINK("Melting_Curves/meltCurve_sp_Q5T6F2_UBAP2_HUMAN_.pdf", "Melting_Curves/meltCurve_sp_Q5T6F2_UBAP2_HUMAN_.pdf")</f>
        <v>Melting_Curves/meltCurve_sp_Q5T6F2_UBAP2_HUMAN_.pdf</v>
      </c>
      <c r="AA1729" t="s">
        <v>12584</v>
      </c>
      <c r="AB1729" t="s">
        <v>16154</v>
      </c>
    </row>
    <row r="1730" spans="1:28" x14ac:dyDescent="0.25">
      <c r="A1730" t="s">
        <v>1734</v>
      </c>
      <c r="B1730">
        <v>0.98018197421672304</v>
      </c>
      <c r="C1730">
        <v>0.95951986883852203</v>
      </c>
      <c r="D1730">
        <v>0.82747060417116003</v>
      </c>
      <c r="E1730">
        <v>0.27854948541058699</v>
      </c>
      <c r="F1730">
        <v>0.10530204002558501</v>
      </c>
      <c r="G1730">
        <v>6.8104876573298403E-2</v>
      </c>
      <c r="H1730">
        <v>6.2490662772948097E-2</v>
      </c>
      <c r="I1730">
        <v>5.4244269890699297E-2</v>
      </c>
      <c r="J1730">
        <v>5.6363077741179199E-2</v>
      </c>
      <c r="K1730">
        <v>6.0970022922844098E-2</v>
      </c>
      <c r="L1730">
        <v>1513.1325103931699</v>
      </c>
      <c r="M1730">
        <v>31.438196354368898</v>
      </c>
      <c r="N1730">
        <v>48.320122120065498</v>
      </c>
      <c r="O1730">
        <v>47.936919382729002</v>
      </c>
      <c r="P1730">
        <v>-0.154436731785457</v>
      </c>
      <c r="Q1730">
        <v>5.8065784609752903E-2</v>
      </c>
      <c r="R1730">
        <v>0.99943124809769202</v>
      </c>
      <c r="S1730" t="s">
        <v>5359</v>
      </c>
      <c r="T1730" t="s">
        <v>7256</v>
      </c>
      <c r="U1730" t="s">
        <v>7256</v>
      </c>
      <c r="V1730" t="s">
        <v>7256</v>
      </c>
      <c r="W1730">
        <v>2</v>
      </c>
      <c r="X1730" t="s">
        <v>8986</v>
      </c>
      <c r="Y1730">
        <v>0.31849172628090899</v>
      </c>
      <c r="Z1730" t="str">
        <f>HYPERLINK("Melting_Curves/meltCurve_sp_Q5T6J7_GNTK_HUMAN_.pdf", "Melting_Curves/meltCurve_sp_Q5T6J7_GNTK_HUMAN_.pdf")</f>
        <v>Melting_Curves/meltCurve_sp_Q5T6J7_GNTK_HUMAN_.pdf</v>
      </c>
      <c r="AA1730" t="s">
        <v>12585</v>
      </c>
      <c r="AB1730" t="s">
        <v>16155</v>
      </c>
    </row>
    <row r="1731" spans="1:28" x14ac:dyDescent="0.25">
      <c r="A1731" t="s">
        <v>1735</v>
      </c>
      <c r="B1731">
        <v>0.98018197421672304</v>
      </c>
      <c r="C1731">
        <v>0.96402396639561805</v>
      </c>
      <c r="D1731">
        <v>0.91841201377456205</v>
      </c>
      <c r="E1731">
        <v>0.69640766919423103</v>
      </c>
      <c r="F1731">
        <v>0.161490377069921</v>
      </c>
      <c r="G1731">
        <v>8.9248846954951402E-2</v>
      </c>
      <c r="H1731">
        <v>4.2597969894238703E-2</v>
      </c>
      <c r="I1731">
        <v>2.8361028584423999E-2</v>
      </c>
      <c r="J1731">
        <v>3.3351203043332299E-2</v>
      </c>
      <c r="K1731">
        <v>2.1830189334243501E-2</v>
      </c>
      <c r="L1731">
        <v>2212.8091212014301</v>
      </c>
      <c r="M1731">
        <v>43.5338257605938</v>
      </c>
      <c r="N1731">
        <v>50.9245370815838</v>
      </c>
      <c r="O1731">
        <v>50.722725955134301</v>
      </c>
      <c r="P1731">
        <v>-0.206209043935593</v>
      </c>
      <c r="Q1731">
        <v>3.8956670539805303E-2</v>
      </c>
      <c r="R1731">
        <v>0.99451629343646597</v>
      </c>
      <c r="S1731" t="s">
        <v>5360</v>
      </c>
      <c r="T1731" t="s">
        <v>7256</v>
      </c>
      <c r="U1731" t="s">
        <v>7256</v>
      </c>
      <c r="V1731" t="s">
        <v>7256</v>
      </c>
      <c r="W1731">
        <v>13</v>
      </c>
      <c r="X1731" t="s">
        <v>8987</v>
      </c>
      <c r="Y1731">
        <v>0.3887293160378536</v>
      </c>
      <c r="Z1731" t="str">
        <f>HYPERLINK("Melting_Curves/meltCurve_sp_Q5T6V5_CI064_HUMAN_.pdf", "Melting_Curves/meltCurve_sp_Q5T6V5_CI064_HUMAN_.pdf")</f>
        <v>Melting_Curves/meltCurve_sp_Q5T6V5_CI064_HUMAN_.pdf</v>
      </c>
      <c r="AA1731" t="s">
        <v>12586</v>
      </c>
      <c r="AB1731" t="s">
        <v>16156</v>
      </c>
    </row>
    <row r="1732" spans="1:28" x14ac:dyDescent="0.25">
      <c r="A1732" t="s">
        <v>1736</v>
      </c>
      <c r="B1732">
        <v>0.98018197421672304</v>
      </c>
      <c r="C1732">
        <v>0.753920496642005</v>
      </c>
      <c r="D1732">
        <v>0.78147614766104101</v>
      </c>
      <c r="E1732">
        <v>0.52363639643830395</v>
      </c>
      <c r="F1732">
        <v>0.482113319512743</v>
      </c>
      <c r="G1732">
        <v>0.29565832690862998</v>
      </c>
      <c r="H1732">
        <v>2.2863976809335802</v>
      </c>
      <c r="I1732">
        <v>0.414035836275786</v>
      </c>
      <c r="J1732">
        <v>2.0394347871379201</v>
      </c>
      <c r="K1732">
        <v>3.0397169829734998</v>
      </c>
      <c r="L1732">
        <v>14731.795903890399</v>
      </c>
      <c r="M1732">
        <v>250</v>
      </c>
      <c r="O1732">
        <v>58.923412678333399</v>
      </c>
      <c r="P1732">
        <v>0.53034945910911402</v>
      </c>
      <c r="Q1732">
        <v>1.5</v>
      </c>
      <c r="R1732">
        <v>0.31226492176389598</v>
      </c>
      <c r="S1732" t="s">
        <v>5361</v>
      </c>
      <c r="T1732" t="s">
        <v>7256</v>
      </c>
      <c r="U1732" t="s">
        <v>7256</v>
      </c>
      <c r="V1732" t="s">
        <v>7256</v>
      </c>
      <c r="W1732">
        <v>2</v>
      </c>
      <c r="X1732" t="s">
        <v>8988</v>
      </c>
      <c r="Y1732">
        <v>1.184495231595551</v>
      </c>
      <c r="Z1732" t="str">
        <f>HYPERLINK("Melting_Curves/meltCurve_sp_Q5T749_KPRP_HUMAN_.pdf", "Melting_Curves/meltCurve_sp_Q5T749_KPRP_HUMAN_.pdf")</f>
        <v>Melting_Curves/meltCurve_sp_Q5T749_KPRP_HUMAN_.pdf</v>
      </c>
      <c r="AA1732" t="s">
        <v>12587</v>
      </c>
      <c r="AB1732" t="s">
        <v>16157</v>
      </c>
    </row>
    <row r="1733" spans="1:28" x14ac:dyDescent="0.25">
      <c r="A1733" t="s">
        <v>1737</v>
      </c>
      <c r="B1733">
        <v>0.98018197421672304</v>
      </c>
      <c r="C1733">
        <v>0.98685414538447003</v>
      </c>
      <c r="D1733">
        <v>0.98074903327623797</v>
      </c>
      <c r="E1733">
        <v>0.80022759530443699</v>
      </c>
      <c r="F1733">
        <v>0.67824905727035301</v>
      </c>
      <c r="G1733">
        <v>0.42032597960649898</v>
      </c>
      <c r="H1733">
        <v>0.33607067761883003</v>
      </c>
      <c r="I1733">
        <v>0.34608499910660001</v>
      </c>
      <c r="J1733">
        <v>0.36936529741413299</v>
      </c>
      <c r="K1733">
        <v>0.46900257907021897</v>
      </c>
      <c r="L1733">
        <v>1248.87981444666</v>
      </c>
      <c r="M1733">
        <v>23.921394280038299</v>
      </c>
      <c r="N1733">
        <v>55.356044661967601</v>
      </c>
      <c r="O1733">
        <v>51.846907064113203</v>
      </c>
      <c r="P1733">
        <v>-7.2468793170291201E-2</v>
      </c>
      <c r="Q1733">
        <v>0.37173852718196998</v>
      </c>
      <c r="R1733">
        <v>0.97430379766804898</v>
      </c>
      <c r="S1733" t="s">
        <v>5362</v>
      </c>
      <c r="T1733" t="s">
        <v>7256</v>
      </c>
      <c r="U1733" t="s">
        <v>7256</v>
      </c>
      <c r="V1733" t="s">
        <v>7256</v>
      </c>
      <c r="W1733">
        <v>10</v>
      </c>
      <c r="X1733" t="s">
        <v>8989</v>
      </c>
      <c r="Y1733">
        <v>0.63364213960408855</v>
      </c>
      <c r="Z1733" t="str">
        <f>HYPERLINK("Melting_Curves/meltCurve_sp_Q5T8D3_2_ACBD5_HUMAN_.pdf", "Melting_Curves/meltCurve_sp_Q5T8D3_2_ACBD5_HUMAN_.pdf")</f>
        <v>Melting_Curves/meltCurve_sp_Q5T8D3_2_ACBD5_HUMAN_.pdf</v>
      </c>
      <c r="AA1733" t="s">
        <v>12588</v>
      </c>
      <c r="AB1733" t="s">
        <v>16158</v>
      </c>
    </row>
    <row r="1734" spans="1:28" x14ac:dyDescent="0.25">
      <c r="A1734" t="s">
        <v>1738</v>
      </c>
      <c r="B1734">
        <v>0.98018197421672304</v>
      </c>
      <c r="C1734">
        <v>1.20551978716065</v>
      </c>
      <c r="D1734">
        <v>1.11401124945376</v>
      </c>
      <c r="E1734">
        <v>0.99654684469745303</v>
      </c>
      <c r="F1734">
        <v>0.78518514400212502</v>
      </c>
      <c r="G1734">
        <v>0.56784114700426203</v>
      </c>
      <c r="H1734">
        <v>0.51919917071019595</v>
      </c>
      <c r="I1734">
        <v>0.54665050818144201</v>
      </c>
      <c r="J1734">
        <v>0.61189049175285404</v>
      </c>
      <c r="K1734">
        <v>0.76927002429564195</v>
      </c>
      <c r="L1734">
        <v>11123.3812621077</v>
      </c>
      <c r="M1734">
        <v>210.03970844702101</v>
      </c>
      <c r="O1734">
        <v>52.953667442333703</v>
      </c>
      <c r="P1734">
        <v>-0.39370272598605</v>
      </c>
      <c r="Q1734">
        <v>0.60297025123175796</v>
      </c>
      <c r="R1734">
        <v>0.83271508850285003</v>
      </c>
      <c r="S1734" t="s">
        <v>5363</v>
      </c>
      <c r="T1734" t="s">
        <v>7256</v>
      </c>
      <c r="U1734" t="s">
        <v>7256</v>
      </c>
      <c r="V1734" t="s">
        <v>7256</v>
      </c>
      <c r="W1734">
        <v>9</v>
      </c>
      <c r="X1734" t="s">
        <v>8990</v>
      </c>
      <c r="Y1734">
        <v>0.77451911459432088</v>
      </c>
      <c r="Z1734" t="str">
        <f>HYPERLINK("Melting_Curves/meltCurve_sp_Q5T8D3_ACBD5_HUMAN_.pdf", "Melting_Curves/meltCurve_sp_Q5T8D3_ACBD5_HUMAN_.pdf")</f>
        <v>Melting_Curves/meltCurve_sp_Q5T8D3_ACBD5_HUMAN_.pdf</v>
      </c>
      <c r="AA1734" t="s">
        <v>12588</v>
      </c>
      <c r="AB1734" t="s">
        <v>16159</v>
      </c>
    </row>
    <row r="1735" spans="1:28" x14ac:dyDescent="0.25">
      <c r="A1735" t="s">
        <v>1739</v>
      </c>
      <c r="B1735">
        <v>0.98018197421672304</v>
      </c>
      <c r="C1735">
        <v>0.94110203215861998</v>
      </c>
      <c r="D1735">
        <v>0.86335258910344503</v>
      </c>
      <c r="E1735">
        <v>0.69572540275688299</v>
      </c>
      <c r="F1735">
        <v>0.54590220165180603</v>
      </c>
      <c r="G1735">
        <v>0.35287652389490898</v>
      </c>
      <c r="H1735">
        <v>0.27971892245832802</v>
      </c>
      <c r="I1735">
        <v>0.23338138419403801</v>
      </c>
      <c r="J1735">
        <v>0.26750555848334601</v>
      </c>
      <c r="K1735">
        <v>0.22376627818346101</v>
      </c>
      <c r="L1735">
        <v>711.16327836760797</v>
      </c>
      <c r="M1735">
        <v>13.787801470311001</v>
      </c>
      <c r="N1735">
        <v>53.6056763715155</v>
      </c>
      <c r="O1735">
        <v>50.530463773749098</v>
      </c>
      <c r="P1735">
        <v>-5.4367954596109401E-2</v>
      </c>
      <c r="Q1735">
        <v>0.20310656285888801</v>
      </c>
      <c r="R1735">
        <v>0.99694651152033098</v>
      </c>
      <c r="S1735" t="s">
        <v>5364</v>
      </c>
      <c r="T1735" t="s">
        <v>7256</v>
      </c>
      <c r="U1735" t="s">
        <v>7256</v>
      </c>
      <c r="V1735" t="s">
        <v>7256</v>
      </c>
      <c r="W1735">
        <v>7</v>
      </c>
      <c r="X1735" t="s">
        <v>8991</v>
      </c>
      <c r="Y1735">
        <v>0.53126036348954142</v>
      </c>
      <c r="Z1735" t="str">
        <f>HYPERLINK("Melting_Curves/meltCurve_sp_Q5T8P6_2_RBM26_HUMAN_.pdf", "Melting_Curves/meltCurve_sp_Q5T8P6_2_RBM26_HUMAN_.pdf")</f>
        <v>Melting_Curves/meltCurve_sp_Q5T8P6_2_RBM26_HUMAN_.pdf</v>
      </c>
      <c r="AA1735" t="s">
        <v>12589</v>
      </c>
      <c r="AB1735" t="s">
        <v>16160</v>
      </c>
    </row>
    <row r="1736" spans="1:28" x14ac:dyDescent="0.25">
      <c r="A1736" t="s">
        <v>1740</v>
      </c>
      <c r="B1736">
        <v>0.98018197421672304</v>
      </c>
      <c r="C1736">
        <v>1.04699262301694</v>
      </c>
      <c r="D1736">
        <v>0.77459664993125898</v>
      </c>
      <c r="E1736">
        <v>0.35730649049562102</v>
      </c>
      <c r="F1736">
        <v>0.120989292048108</v>
      </c>
      <c r="G1736">
        <v>8.5181241452978507E-2</v>
      </c>
      <c r="H1736">
        <v>4.8042689901748897E-2</v>
      </c>
      <c r="I1736">
        <v>3.4887281661064501E-2</v>
      </c>
      <c r="J1736">
        <v>9.6201741916455197E-2</v>
      </c>
      <c r="K1736">
        <v>7.4222247235585695E-2</v>
      </c>
      <c r="L1736">
        <v>1297.66674846605</v>
      </c>
      <c r="M1736">
        <v>26.849015126678299</v>
      </c>
      <c r="N1736">
        <v>48.5712933633638</v>
      </c>
      <c r="O1736">
        <v>48.066294492236203</v>
      </c>
      <c r="P1736">
        <v>-0.130996242665747</v>
      </c>
      <c r="Q1736">
        <v>6.1948859467984903E-2</v>
      </c>
      <c r="R1736">
        <v>0.99283455544668497</v>
      </c>
      <c r="S1736" t="s">
        <v>5365</v>
      </c>
      <c r="T1736" t="s">
        <v>7256</v>
      </c>
      <c r="U1736" t="s">
        <v>7256</v>
      </c>
      <c r="V1736" t="s">
        <v>7256</v>
      </c>
      <c r="W1736">
        <v>1</v>
      </c>
      <c r="X1736" t="s">
        <v>8992</v>
      </c>
      <c r="Y1736">
        <v>0.32961499681953599</v>
      </c>
      <c r="Z1736" t="str">
        <f>HYPERLINK("Melting_Curves/meltCurve_sp_Q5TA50_GLTD1_HUMAN_.pdf", "Melting_Curves/meltCurve_sp_Q5TA50_GLTD1_HUMAN_.pdf")</f>
        <v>Melting_Curves/meltCurve_sp_Q5TA50_GLTD1_HUMAN_.pdf</v>
      </c>
      <c r="AA1736" t="s">
        <v>12590</v>
      </c>
      <c r="AB1736" t="s">
        <v>16161</v>
      </c>
    </row>
    <row r="1737" spans="1:28" x14ac:dyDescent="0.25">
      <c r="A1737" t="s">
        <v>1741</v>
      </c>
      <c r="B1737">
        <v>0.98018197421672304</v>
      </c>
      <c r="C1737">
        <v>0.90909704635862199</v>
      </c>
      <c r="D1737">
        <v>0.87361879211347804</v>
      </c>
      <c r="E1737">
        <v>0.73818228881078096</v>
      </c>
      <c r="F1737">
        <v>0.55652857983493198</v>
      </c>
      <c r="G1737">
        <v>0.29976615721717398</v>
      </c>
      <c r="H1737">
        <v>0.20930680293054699</v>
      </c>
      <c r="I1737">
        <v>0.11279814737372799</v>
      </c>
      <c r="J1737">
        <v>8.4400058627215294E-2</v>
      </c>
      <c r="K1737">
        <v>6.4793502834462599E-2</v>
      </c>
      <c r="L1737">
        <v>649.01545507554295</v>
      </c>
      <c r="M1737">
        <v>12.0768516657254</v>
      </c>
      <c r="N1737">
        <v>53.740450448012702</v>
      </c>
      <c r="O1737">
        <v>52.330609401828603</v>
      </c>
      <c r="P1737">
        <v>-5.7708539025371999E-2</v>
      </c>
      <c r="Q1737">
        <v>0</v>
      </c>
      <c r="R1737">
        <v>0.99607095559154302</v>
      </c>
      <c r="S1737" t="s">
        <v>5366</v>
      </c>
      <c r="T1737" t="s">
        <v>7256</v>
      </c>
      <c r="U1737" t="s">
        <v>7256</v>
      </c>
      <c r="V1737" t="s">
        <v>7256</v>
      </c>
      <c r="W1737">
        <v>7</v>
      </c>
      <c r="X1737" t="s">
        <v>8993</v>
      </c>
      <c r="Y1737">
        <v>0.48460280307912651</v>
      </c>
      <c r="Z1737" t="str">
        <f>HYPERLINK("Melting_Curves/meltCurve_sp_Q5TC12_ATPF1_HUMAN_.pdf", "Melting_Curves/meltCurve_sp_Q5TC12_ATPF1_HUMAN_.pdf")</f>
        <v>Melting_Curves/meltCurve_sp_Q5TC12_ATPF1_HUMAN_.pdf</v>
      </c>
      <c r="AA1737" t="s">
        <v>12591</v>
      </c>
      <c r="AB1737" t="s">
        <v>16162</v>
      </c>
    </row>
    <row r="1738" spans="1:28" x14ac:dyDescent="0.25">
      <c r="A1738" t="s">
        <v>1742</v>
      </c>
      <c r="B1738">
        <v>0.98018197421672304</v>
      </c>
      <c r="C1738">
        <v>0.92717000261419502</v>
      </c>
      <c r="D1738">
        <v>0.87810346131297801</v>
      </c>
      <c r="E1738">
        <v>0.73463216336103698</v>
      </c>
      <c r="F1738">
        <v>0.55473719823312995</v>
      </c>
      <c r="G1738">
        <v>0.32273321751733097</v>
      </c>
      <c r="H1738">
        <v>0.25519138561712401</v>
      </c>
      <c r="I1738">
        <v>0.20620615686476701</v>
      </c>
      <c r="J1738">
        <v>0.225855395671888</v>
      </c>
      <c r="K1738">
        <v>0.277968872667123</v>
      </c>
      <c r="L1738">
        <v>833.65758439069998</v>
      </c>
      <c r="M1738">
        <v>16.108801074680599</v>
      </c>
      <c r="N1738">
        <v>53.533380829253097</v>
      </c>
      <c r="O1738">
        <v>50.973880063369897</v>
      </c>
      <c r="P1738">
        <v>-6.2616657588818597E-2</v>
      </c>
      <c r="Q1738">
        <v>0.207496875957807</v>
      </c>
      <c r="R1738">
        <v>0.98877667288917404</v>
      </c>
      <c r="S1738" t="s">
        <v>5367</v>
      </c>
      <c r="T1738" t="s">
        <v>7256</v>
      </c>
      <c r="U1738" t="s">
        <v>7256</v>
      </c>
      <c r="V1738" t="s">
        <v>7256</v>
      </c>
      <c r="W1738">
        <v>3</v>
      </c>
      <c r="X1738" t="s">
        <v>8994</v>
      </c>
      <c r="Y1738">
        <v>0.53388559914278078</v>
      </c>
      <c r="Z1738" t="str">
        <f>HYPERLINK("Melting_Curves/meltCurve_sp_Q5TCQ9_4_MAGI3_HUMAN_.pdf", "Melting_Curves/meltCurve_sp_Q5TCQ9_4_MAGI3_HUMAN_.pdf")</f>
        <v>Melting_Curves/meltCurve_sp_Q5TCQ9_4_MAGI3_HUMAN_.pdf</v>
      </c>
      <c r="AA1738" t="s">
        <v>12592</v>
      </c>
      <c r="AB1738" t="s">
        <v>16163</v>
      </c>
    </row>
    <row r="1739" spans="1:28" x14ac:dyDescent="0.25">
      <c r="A1739" t="s">
        <v>1743</v>
      </c>
      <c r="B1739">
        <v>0.98018197421672304</v>
      </c>
      <c r="C1739">
        <v>1.03559648737511</v>
      </c>
      <c r="D1739">
        <v>0.96922677809502999</v>
      </c>
      <c r="E1739">
        <v>0.85722674742410498</v>
      </c>
      <c r="F1739">
        <v>0.737745875389618</v>
      </c>
      <c r="G1739">
        <v>0.47438567711534202</v>
      </c>
      <c r="H1739">
        <v>0.31815193494479899</v>
      </c>
      <c r="I1739">
        <v>0.23863179692258099</v>
      </c>
      <c r="J1739">
        <v>0.27388890685976502</v>
      </c>
      <c r="K1739">
        <v>0.19148188944569799</v>
      </c>
      <c r="L1739">
        <v>943.28626004754301</v>
      </c>
      <c r="M1739">
        <v>17.1575764412379</v>
      </c>
      <c r="N1739">
        <v>56.599708934323402</v>
      </c>
      <c r="O1739">
        <v>54.247288614855897</v>
      </c>
      <c r="P1739">
        <v>-6.3719826280740396E-2</v>
      </c>
      <c r="Q1739">
        <v>0.19419346315941299</v>
      </c>
      <c r="R1739">
        <v>0.99461670655944101</v>
      </c>
      <c r="S1739" t="s">
        <v>5368</v>
      </c>
      <c r="T1739" t="s">
        <v>7256</v>
      </c>
      <c r="U1739" t="s">
        <v>7256</v>
      </c>
      <c r="V1739" t="s">
        <v>7256</v>
      </c>
      <c r="W1739">
        <v>8</v>
      </c>
      <c r="X1739" t="s">
        <v>8995</v>
      </c>
      <c r="Y1739">
        <v>0.60979071188015321</v>
      </c>
      <c r="Z1739" t="str">
        <f>HYPERLINK("Melting_Curves/meltCurve_sp_Q5TDH0_DDI2_HUMAN_.pdf", "Melting_Curves/meltCurve_sp_Q5TDH0_DDI2_HUMAN_.pdf")</f>
        <v>Melting_Curves/meltCurve_sp_Q5TDH0_DDI2_HUMAN_.pdf</v>
      </c>
      <c r="AA1739" t="s">
        <v>12593</v>
      </c>
      <c r="AB1739" t="s">
        <v>16164</v>
      </c>
    </row>
    <row r="1740" spans="1:28" x14ac:dyDescent="0.25">
      <c r="A1740" t="s">
        <v>1744</v>
      </c>
      <c r="B1740">
        <v>0.98018197421672304</v>
      </c>
      <c r="C1740">
        <v>1.2729206815326199</v>
      </c>
      <c r="D1740">
        <v>0.99897796564765995</v>
      </c>
      <c r="E1740">
        <v>0.43677649861177398</v>
      </c>
      <c r="F1740">
        <v>0.17261446328958899</v>
      </c>
      <c r="G1740">
        <v>0.115609938770097</v>
      </c>
      <c r="H1740">
        <v>4.2478207822267799E-2</v>
      </c>
      <c r="I1740">
        <v>2.7679999759821799E-2</v>
      </c>
      <c r="J1740">
        <v>1.5539214618479799E-2</v>
      </c>
      <c r="K1740">
        <v>1.0919984769590199E-2</v>
      </c>
      <c r="L1740">
        <v>1915.96785065116</v>
      </c>
      <c r="M1740">
        <v>38.576451647334999</v>
      </c>
      <c r="N1740">
        <v>49.794871159847602</v>
      </c>
      <c r="O1740">
        <v>49.533875510133797</v>
      </c>
      <c r="P1740">
        <v>-0.18550116326042501</v>
      </c>
      <c r="Q1740">
        <v>4.72355368509483E-2</v>
      </c>
      <c r="R1740">
        <v>0.95952322232793097</v>
      </c>
      <c r="S1740" t="s">
        <v>5369</v>
      </c>
      <c r="T1740" t="s">
        <v>7256</v>
      </c>
      <c r="U1740" t="s">
        <v>7256</v>
      </c>
      <c r="V1740" t="s">
        <v>7256</v>
      </c>
      <c r="W1740">
        <v>2</v>
      </c>
      <c r="X1740" t="s">
        <v>8996</v>
      </c>
      <c r="Y1740">
        <v>0.35776204677475842</v>
      </c>
      <c r="Z1740" t="str">
        <f>HYPERLINK("Melting_Curves/meltCurve_sp_Q5TEU4_NDUF5_HUMAN_.pdf", "Melting_Curves/meltCurve_sp_Q5TEU4_NDUF5_HUMAN_.pdf")</f>
        <v>Melting_Curves/meltCurve_sp_Q5TEU4_NDUF5_HUMAN_.pdf</v>
      </c>
      <c r="AA1740" t="s">
        <v>12594</v>
      </c>
      <c r="AB1740" t="s">
        <v>16165</v>
      </c>
    </row>
    <row r="1741" spans="1:28" x14ac:dyDescent="0.25">
      <c r="A1741" t="s">
        <v>1745</v>
      </c>
      <c r="B1741">
        <v>0.98018197421672304</v>
      </c>
      <c r="C1741">
        <v>0.96858484332596495</v>
      </c>
      <c r="D1741">
        <v>0.96390865751351895</v>
      </c>
      <c r="E1741">
        <v>0.80391346458028101</v>
      </c>
      <c r="F1741">
        <v>0.69029717607780505</v>
      </c>
      <c r="G1741">
        <v>0.327038752397044</v>
      </c>
      <c r="H1741">
        <v>9.0589688563746204E-2</v>
      </c>
      <c r="I1741">
        <v>6.9520440645971696E-2</v>
      </c>
      <c r="J1741">
        <v>8.0107291782546802E-2</v>
      </c>
      <c r="K1741">
        <v>5.5373861250748301E-2</v>
      </c>
      <c r="L1741">
        <v>1048.5912410788001</v>
      </c>
      <c r="M1741">
        <v>19.227779110891401</v>
      </c>
      <c r="N1741">
        <v>54.691171482950402</v>
      </c>
      <c r="O1741">
        <v>53.955612711427101</v>
      </c>
      <c r="P1741">
        <v>-8.6717509291384803E-2</v>
      </c>
      <c r="Q1741">
        <v>2.6675261862127601E-2</v>
      </c>
      <c r="R1741">
        <v>0.99407200296355203</v>
      </c>
      <c r="S1741" t="s">
        <v>5370</v>
      </c>
      <c r="T1741" t="s">
        <v>7256</v>
      </c>
      <c r="U1741" t="s">
        <v>7256</v>
      </c>
      <c r="V1741" t="s">
        <v>7256</v>
      </c>
      <c r="W1741">
        <v>13</v>
      </c>
      <c r="X1741" t="s">
        <v>8997</v>
      </c>
      <c r="Y1741">
        <v>0.51217146771572331</v>
      </c>
      <c r="Z1741" t="str">
        <f>HYPERLINK("Melting_Curves/meltCurve_sp_Q5TFE4_NT5D1_HUMAN_.pdf", "Melting_Curves/meltCurve_sp_Q5TFE4_NT5D1_HUMAN_.pdf")</f>
        <v>Melting_Curves/meltCurve_sp_Q5TFE4_NT5D1_HUMAN_.pdf</v>
      </c>
      <c r="AA1741" t="s">
        <v>12595</v>
      </c>
      <c r="AB1741" t="s">
        <v>16166</v>
      </c>
    </row>
    <row r="1742" spans="1:28" x14ac:dyDescent="0.25">
      <c r="A1742" t="s">
        <v>1746</v>
      </c>
      <c r="B1742">
        <v>0.98018197421672304</v>
      </c>
      <c r="C1742">
        <v>0.90749318877938001</v>
      </c>
      <c r="D1742">
        <v>0.92844868030199601</v>
      </c>
      <c r="E1742">
        <v>0.73798159432472399</v>
      </c>
      <c r="F1742">
        <v>0.56587151689288195</v>
      </c>
      <c r="G1742">
        <v>0.35430565416654403</v>
      </c>
      <c r="H1742">
        <v>0.23998977637496999</v>
      </c>
      <c r="I1742">
        <v>0.159695967527437</v>
      </c>
      <c r="J1742">
        <v>0.19092269638475501</v>
      </c>
      <c r="K1742">
        <v>0.18704417989672001</v>
      </c>
      <c r="L1742">
        <v>778.27271377403804</v>
      </c>
      <c r="M1742">
        <v>14.750163918137901</v>
      </c>
      <c r="N1742">
        <v>53.971754264497797</v>
      </c>
      <c r="O1742">
        <v>51.822313141020203</v>
      </c>
      <c r="P1742">
        <v>-6.1159519100418697E-2</v>
      </c>
      <c r="Q1742">
        <v>0.14059645219351999</v>
      </c>
      <c r="R1742">
        <v>0.99305761122339398</v>
      </c>
      <c r="S1742" t="s">
        <v>5371</v>
      </c>
      <c r="T1742" t="s">
        <v>7256</v>
      </c>
      <c r="U1742" t="s">
        <v>7256</v>
      </c>
      <c r="V1742" t="s">
        <v>7256</v>
      </c>
      <c r="W1742">
        <v>5</v>
      </c>
      <c r="X1742" t="s">
        <v>8998</v>
      </c>
      <c r="Y1742">
        <v>0.52535751751339987</v>
      </c>
      <c r="Z1742" t="str">
        <f>HYPERLINK("Melting_Curves/meltCurve_sp_Q5U5X0_LYRM7_HUMAN_.pdf", "Melting_Curves/meltCurve_sp_Q5U5X0_LYRM7_HUMAN_.pdf")</f>
        <v>Melting_Curves/meltCurve_sp_Q5U5X0_LYRM7_HUMAN_.pdf</v>
      </c>
      <c r="AA1742" t="s">
        <v>12596</v>
      </c>
      <c r="AB1742" t="s">
        <v>16167</v>
      </c>
    </row>
    <row r="1743" spans="1:28" x14ac:dyDescent="0.25">
      <c r="A1743" t="s">
        <v>1747</v>
      </c>
      <c r="B1743">
        <v>0.98018197421672304</v>
      </c>
      <c r="C1743">
        <v>0.98336637048213804</v>
      </c>
      <c r="D1743">
        <v>1.08065185892455</v>
      </c>
      <c r="E1743">
        <v>0.766444584607473</v>
      </c>
      <c r="F1743">
        <v>0.845209958996327</v>
      </c>
      <c r="G1743">
        <v>0.84493167827445104</v>
      </c>
      <c r="H1743">
        <v>0.74164651182141805</v>
      </c>
      <c r="I1743">
        <v>0.83622477014810404</v>
      </c>
      <c r="J1743">
        <v>0.66878926833255603</v>
      </c>
      <c r="K1743">
        <v>0.72634316990067205</v>
      </c>
      <c r="L1743">
        <v>12031.994022272</v>
      </c>
      <c r="M1743">
        <v>250</v>
      </c>
      <c r="O1743">
        <v>48.124892461749397</v>
      </c>
      <c r="P1743">
        <v>-0.291360147419917</v>
      </c>
      <c r="Q1743">
        <v>0.77565317053591498</v>
      </c>
      <c r="R1743">
        <v>0.77042220693875296</v>
      </c>
      <c r="S1743" t="s">
        <v>5372</v>
      </c>
      <c r="T1743" t="s">
        <v>7256</v>
      </c>
      <c r="U1743" t="s">
        <v>7256</v>
      </c>
      <c r="V1743" t="s">
        <v>7256</v>
      </c>
      <c r="W1743">
        <v>1</v>
      </c>
      <c r="X1743" t="s">
        <v>8999</v>
      </c>
      <c r="Y1743">
        <v>0.83645497525086843</v>
      </c>
      <c r="Z1743" t="str">
        <f>HYPERLINK("Melting_Curves/meltCurve_sp_Q5UIP0_2_RIF1_HUMAN_.pdf", "Melting_Curves/meltCurve_sp_Q5UIP0_2_RIF1_HUMAN_.pdf")</f>
        <v>Melting_Curves/meltCurve_sp_Q5UIP0_2_RIF1_HUMAN_.pdf</v>
      </c>
      <c r="AA1743" t="s">
        <v>12597</v>
      </c>
      <c r="AB1743" t="s">
        <v>16168</v>
      </c>
    </row>
    <row r="1744" spans="1:28" x14ac:dyDescent="0.25">
      <c r="A1744" t="s">
        <v>1748</v>
      </c>
      <c r="B1744">
        <v>0.98018197421672304</v>
      </c>
      <c r="C1744">
        <v>0.92840640112134298</v>
      </c>
      <c r="D1744">
        <v>0.81081339231787097</v>
      </c>
      <c r="E1744">
        <v>0.58980010879364198</v>
      </c>
      <c r="F1744">
        <v>0.22845645579787599</v>
      </c>
      <c r="G1744">
        <v>0.112165498517866</v>
      </c>
      <c r="H1744">
        <v>7.3874233351746199E-2</v>
      </c>
      <c r="I1744">
        <v>4.2825104177036603E-2</v>
      </c>
      <c r="J1744">
        <v>3.98676181037112E-2</v>
      </c>
      <c r="K1744">
        <v>3.1328825562635602E-2</v>
      </c>
      <c r="L1744">
        <v>925.35902665828905</v>
      </c>
      <c r="M1744">
        <v>18.467107158424</v>
      </c>
      <c r="N1744">
        <v>50.246871647751902</v>
      </c>
      <c r="O1744">
        <v>49.532020191675201</v>
      </c>
      <c r="P1744">
        <v>-9.0900876219738094E-2</v>
      </c>
      <c r="Q1744">
        <v>2.47952962933186E-2</v>
      </c>
      <c r="R1744">
        <v>0.99289794444132695</v>
      </c>
      <c r="S1744" t="s">
        <v>5373</v>
      </c>
      <c r="T1744" t="s">
        <v>7256</v>
      </c>
      <c r="U1744" t="s">
        <v>7256</v>
      </c>
      <c r="V1744" t="s">
        <v>7256</v>
      </c>
      <c r="W1744">
        <v>6</v>
      </c>
      <c r="X1744" t="s">
        <v>9000</v>
      </c>
      <c r="Y1744">
        <v>0.36921058913192778</v>
      </c>
      <c r="Z1744" t="str">
        <f>HYPERLINK("Melting_Curves/meltCurve_sp_Q5VIR6_4_VPS53_HUMAN_.pdf", "Melting_Curves/meltCurve_sp_Q5VIR6_4_VPS53_HUMAN_.pdf")</f>
        <v>Melting_Curves/meltCurve_sp_Q5VIR6_4_VPS53_HUMAN_.pdf</v>
      </c>
      <c r="AA1744" t="s">
        <v>12598</v>
      </c>
      <c r="AB1744" t="s">
        <v>16169</v>
      </c>
    </row>
    <row r="1745" spans="1:28" x14ac:dyDescent="0.25">
      <c r="A1745" t="s">
        <v>1749</v>
      </c>
      <c r="B1745">
        <v>0.98018197421672304</v>
      </c>
      <c r="C1745">
        <v>0.83026213591195697</v>
      </c>
      <c r="D1745">
        <v>0.80483151032649403</v>
      </c>
      <c r="E1745">
        <v>0.64770862214092695</v>
      </c>
      <c r="F1745">
        <v>0.379173638624695</v>
      </c>
      <c r="G1745">
        <v>0.209742913963888</v>
      </c>
      <c r="H1745">
        <v>0.15733935855663</v>
      </c>
      <c r="I1745">
        <v>7.2401138683908794E-2</v>
      </c>
      <c r="J1745">
        <v>0.213085273229314</v>
      </c>
      <c r="K1745">
        <v>0</v>
      </c>
      <c r="L1745">
        <v>608.66891999733002</v>
      </c>
      <c r="M1745">
        <v>11.917761230565199</v>
      </c>
      <c r="N1745">
        <v>51.348342834582603</v>
      </c>
      <c r="O1745">
        <v>49.698159716353899</v>
      </c>
      <c r="P1745">
        <v>-5.8105645529090102E-2</v>
      </c>
      <c r="Q1745">
        <v>3.1016442855549699E-2</v>
      </c>
      <c r="R1745">
        <v>0.96765258219248795</v>
      </c>
      <c r="S1745" t="s">
        <v>5374</v>
      </c>
      <c r="T1745" t="s">
        <v>7256</v>
      </c>
      <c r="U1745" t="s">
        <v>7256</v>
      </c>
      <c r="V1745" t="s">
        <v>7256</v>
      </c>
      <c r="W1745">
        <v>4</v>
      </c>
      <c r="X1745" t="s">
        <v>9001</v>
      </c>
      <c r="Y1745">
        <v>0.42042125765288052</v>
      </c>
      <c r="Z1745" t="str">
        <f>HYPERLINK("Melting_Curves/meltCurve_sp_Q5VSL9_STRP1_HUMAN_.pdf", "Melting_Curves/meltCurve_sp_Q5VSL9_STRP1_HUMAN_.pdf")</f>
        <v>Melting_Curves/meltCurve_sp_Q5VSL9_STRP1_HUMAN_.pdf</v>
      </c>
      <c r="AA1745" t="s">
        <v>12599</v>
      </c>
      <c r="AB1745" t="s">
        <v>16170</v>
      </c>
    </row>
    <row r="1746" spans="1:28" x14ac:dyDescent="0.25">
      <c r="A1746" t="s">
        <v>1750</v>
      </c>
      <c r="B1746">
        <v>0.98018197421672304</v>
      </c>
      <c r="C1746">
        <v>1.10114427948438</v>
      </c>
      <c r="D1746">
        <v>0.88960017051320905</v>
      </c>
      <c r="E1746">
        <v>0.64305284624784098</v>
      </c>
      <c r="F1746">
        <v>0.39842367247034299</v>
      </c>
      <c r="G1746">
        <v>0.27058235885728199</v>
      </c>
      <c r="H1746">
        <v>0.204684700765879</v>
      </c>
      <c r="I1746">
        <v>0.21335637610600799</v>
      </c>
      <c r="J1746">
        <v>0.30683299068331898</v>
      </c>
      <c r="K1746">
        <v>0.35448148933059898</v>
      </c>
      <c r="L1746">
        <v>1362.8143603179001</v>
      </c>
      <c r="M1746">
        <v>27.2645031547735</v>
      </c>
      <c r="N1746">
        <v>51.4089953103379</v>
      </c>
      <c r="O1746">
        <v>49.718330376632302</v>
      </c>
      <c r="P1746">
        <v>-0.100758498598262</v>
      </c>
      <c r="Q1746">
        <v>0.26505191347367102</v>
      </c>
      <c r="R1746">
        <v>0.96942612404497996</v>
      </c>
      <c r="S1746" t="s">
        <v>5375</v>
      </c>
      <c r="T1746" t="s">
        <v>7256</v>
      </c>
      <c r="U1746" t="s">
        <v>7256</v>
      </c>
      <c r="V1746" t="s">
        <v>7256</v>
      </c>
      <c r="W1746">
        <v>1</v>
      </c>
      <c r="X1746" t="s">
        <v>9002</v>
      </c>
      <c r="Y1746">
        <v>0.51517972253225441</v>
      </c>
      <c r="Z1746" t="str">
        <f>HYPERLINK("Melting_Curves/meltCurve_sp_Q5VTB9_RN220_HUMAN_.pdf", "Melting_Curves/meltCurve_sp_Q5VTB9_RN220_HUMAN_.pdf")</f>
        <v>Melting_Curves/meltCurve_sp_Q5VTB9_RN220_HUMAN_.pdf</v>
      </c>
      <c r="AA1746" t="s">
        <v>12600</v>
      </c>
      <c r="AB1746" t="s">
        <v>16171</v>
      </c>
    </row>
    <row r="1747" spans="1:28" x14ac:dyDescent="0.25">
      <c r="A1747" t="s">
        <v>1751</v>
      </c>
      <c r="B1747">
        <v>0.98018197421672304</v>
      </c>
      <c r="C1747">
        <v>0.85284721249497297</v>
      </c>
      <c r="D1747">
        <v>0.63777641917038097</v>
      </c>
      <c r="E1747">
        <v>0.304855025170091</v>
      </c>
      <c r="F1747">
        <v>0.114139801646372</v>
      </c>
      <c r="G1747">
        <v>6.3577605935002501E-2</v>
      </c>
      <c r="H1747">
        <v>4.11504056597582E-2</v>
      </c>
      <c r="I1747">
        <v>3.3382546269976103E-2</v>
      </c>
      <c r="J1747">
        <v>4.3843119888912298E-2</v>
      </c>
      <c r="K1747">
        <v>4.2992848748396699E-2</v>
      </c>
      <c r="L1747">
        <v>880.76069042351196</v>
      </c>
      <c r="M1747">
        <v>18.6468023952261</v>
      </c>
      <c r="N1747">
        <v>47.389496674567297</v>
      </c>
      <c r="O1747">
        <v>46.700684906208799</v>
      </c>
      <c r="P1747">
        <v>-9.6860412556588601E-2</v>
      </c>
      <c r="Q1747">
        <v>2.9698853455308899E-2</v>
      </c>
      <c r="R1747">
        <v>0.99838053415814698</v>
      </c>
      <c r="S1747" t="s">
        <v>5376</v>
      </c>
      <c r="T1747" t="s">
        <v>7256</v>
      </c>
      <c r="U1747" t="s">
        <v>7256</v>
      </c>
      <c r="V1747" t="s">
        <v>7256</v>
      </c>
      <c r="W1747">
        <v>22</v>
      </c>
      <c r="X1747" t="s">
        <v>9003</v>
      </c>
      <c r="Y1747">
        <v>0.28007200207103411</v>
      </c>
      <c r="Z1747" t="str">
        <f>HYPERLINK("Melting_Curves/meltCurve_sp_Q5VTE0_EF1A3_HUMAN_.pdf", "Melting_Curves/meltCurve_sp_Q5VTE0_EF1A3_HUMAN_.pdf")</f>
        <v>Melting_Curves/meltCurve_sp_Q5VTE0_EF1A3_HUMAN_.pdf</v>
      </c>
      <c r="AA1747" t="s">
        <v>12601</v>
      </c>
      <c r="AB1747" t="s">
        <v>16172</v>
      </c>
    </row>
    <row r="1748" spans="1:28" x14ac:dyDescent="0.25">
      <c r="A1748" t="s">
        <v>1752</v>
      </c>
      <c r="B1748">
        <v>0.98018197421672304</v>
      </c>
      <c r="C1748">
        <v>0.96119863938362904</v>
      </c>
      <c r="D1748">
        <v>0.85745676344785504</v>
      </c>
      <c r="E1748">
        <v>0.70819156737567901</v>
      </c>
      <c r="F1748">
        <v>0.51852266518160295</v>
      </c>
      <c r="G1748">
        <v>0.28751134232373599</v>
      </c>
      <c r="H1748">
        <v>0.143081131847281</v>
      </c>
      <c r="I1748">
        <v>9.7685660433360799E-2</v>
      </c>
      <c r="J1748">
        <v>0.11000315491790399</v>
      </c>
      <c r="K1748">
        <v>6.7106638513853706E-2</v>
      </c>
      <c r="L1748">
        <v>721.09870044490299</v>
      </c>
      <c r="M1748">
        <v>13.649173087051601</v>
      </c>
      <c r="N1748">
        <v>53.081956956003602</v>
      </c>
      <c r="O1748">
        <v>51.735612324667699</v>
      </c>
      <c r="P1748">
        <v>-6.3904276609265898E-2</v>
      </c>
      <c r="Q1748">
        <v>3.1254462916987198E-2</v>
      </c>
      <c r="R1748">
        <v>0.99776911733185802</v>
      </c>
      <c r="S1748" t="s">
        <v>5377</v>
      </c>
      <c r="T1748" t="s">
        <v>7256</v>
      </c>
      <c r="U1748" t="s">
        <v>7256</v>
      </c>
      <c r="V1748" t="s">
        <v>7256</v>
      </c>
      <c r="W1748">
        <v>7</v>
      </c>
      <c r="X1748" t="s">
        <v>9004</v>
      </c>
      <c r="Y1748">
        <v>0.4694514720559565</v>
      </c>
      <c r="Z1748" t="str">
        <f>HYPERLINK("Melting_Curves/meltCurve_sp_Q5VTR2_BRE1A_HUMAN_.pdf", "Melting_Curves/meltCurve_sp_Q5VTR2_BRE1A_HUMAN_.pdf")</f>
        <v>Melting_Curves/meltCurve_sp_Q5VTR2_BRE1A_HUMAN_.pdf</v>
      </c>
      <c r="AA1748" t="s">
        <v>12602</v>
      </c>
      <c r="AB1748" t="s">
        <v>16173</v>
      </c>
    </row>
    <row r="1749" spans="1:28" x14ac:dyDescent="0.25">
      <c r="A1749" t="s">
        <v>1753</v>
      </c>
      <c r="B1749">
        <v>0.98018197421672304</v>
      </c>
      <c r="C1749">
        <v>0.93547113266650295</v>
      </c>
      <c r="D1749">
        <v>0.94304823146403804</v>
      </c>
      <c r="E1749">
        <v>0.81314820764274098</v>
      </c>
      <c r="F1749">
        <v>0.783977476848985</v>
      </c>
      <c r="G1749">
        <v>0.62614580814607601</v>
      </c>
      <c r="H1749">
        <v>0.465328385421586</v>
      </c>
      <c r="I1749">
        <v>0.46433706853358597</v>
      </c>
      <c r="J1749">
        <v>0.34898664850889199</v>
      </c>
      <c r="K1749">
        <v>0.62069078810995904</v>
      </c>
      <c r="L1749">
        <v>777.99507266557998</v>
      </c>
      <c r="M1749">
        <v>14.599495506503599</v>
      </c>
      <c r="N1749">
        <v>62.754757403125701</v>
      </c>
      <c r="O1749">
        <v>52.319317116999102</v>
      </c>
      <c r="P1749">
        <v>-3.8741860906843603E-2</v>
      </c>
      <c r="Q1749">
        <v>0.44471506033025499</v>
      </c>
      <c r="R1749">
        <v>0.88854156494992798</v>
      </c>
      <c r="S1749" t="s">
        <v>5378</v>
      </c>
      <c r="T1749" t="s">
        <v>7256</v>
      </c>
      <c r="U1749" t="s">
        <v>7256</v>
      </c>
      <c r="V1749" t="s">
        <v>7256</v>
      </c>
      <c r="W1749">
        <v>1</v>
      </c>
      <c r="X1749" t="s">
        <v>9005</v>
      </c>
      <c r="Y1749">
        <v>0.70292365253257882</v>
      </c>
      <c r="Z1749" t="str">
        <f>HYPERLINK("Melting_Curves/meltCurve_sp_Q5VUE5_CA053_HUMAN_.pdf", "Melting_Curves/meltCurve_sp_Q5VUE5_CA053_HUMAN_.pdf")</f>
        <v>Melting_Curves/meltCurve_sp_Q5VUE5_CA053_HUMAN_.pdf</v>
      </c>
      <c r="AA1749" t="s">
        <v>12603</v>
      </c>
      <c r="AB1749" t="s">
        <v>16174</v>
      </c>
    </row>
    <row r="1750" spans="1:28" x14ac:dyDescent="0.25">
      <c r="A1750" t="s">
        <v>1754</v>
      </c>
      <c r="B1750">
        <v>0.98018197421672304</v>
      </c>
      <c r="C1750">
        <v>0.92661397224876596</v>
      </c>
      <c r="D1750">
        <v>0.90341865726035198</v>
      </c>
      <c r="E1750">
        <v>0.73488160405522596</v>
      </c>
      <c r="F1750">
        <v>0.23665778359029399</v>
      </c>
      <c r="G1750">
        <v>0.12587818638547199</v>
      </c>
      <c r="H1750">
        <v>7.7661722088763999E-2</v>
      </c>
      <c r="I1750">
        <v>5.9252566777801802E-2</v>
      </c>
      <c r="J1750">
        <v>8.5512599555217506E-2</v>
      </c>
      <c r="K1750">
        <v>5.3278200162394297E-2</v>
      </c>
      <c r="L1750">
        <v>1955.93144093567</v>
      </c>
      <c r="M1750">
        <v>38.301023711667</v>
      </c>
      <c r="N1750">
        <v>51.281398884950399</v>
      </c>
      <c r="O1750">
        <v>50.928728999650303</v>
      </c>
      <c r="P1750">
        <v>-0.17412380643056899</v>
      </c>
      <c r="Q1750">
        <v>7.3875244065073606E-2</v>
      </c>
      <c r="R1750">
        <v>0.98984748372917897</v>
      </c>
      <c r="S1750" t="s">
        <v>5379</v>
      </c>
      <c r="T1750" t="s">
        <v>7256</v>
      </c>
      <c r="U1750" t="s">
        <v>7256</v>
      </c>
      <c r="V1750" t="s">
        <v>7256</v>
      </c>
      <c r="W1750">
        <v>6</v>
      </c>
      <c r="X1750" t="s">
        <v>9006</v>
      </c>
      <c r="Y1750">
        <v>0.41910067823851438</v>
      </c>
      <c r="Z1750" t="str">
        <f>HYPERLINK("Melting_Curves/meltCurve_sp_Q5VW32_BROX_HUMAN_.pdf", "Melting_Curves/meltCurve_sp_Q5VW32_BROX_HUMAN_.pdf")</f>
        <v>Melting_Curves/meltCurve_sp_Q5VW32_BROX_HUMAN_.pdf</v>
      </c>
      <c r="AA1750" t="s">
        <v>12604</v>
      </c>
      <c r="AB1750" t="s">
        <v>16175</v>
      </c>
    </row>
    <row r="1751" spans="1:28" x14ac:dyDescent="0.25">
      <c r="A1751" t="s">
        <v>1755</v>
      </c>
      <c r="B1751">
        <v>0.98018197421672304</v>
      </c>
      <c r="C1751">
        <v>0.91965450461355602</v>
      </c>
      <c r="D1751">
        <v>0.88285069121892601</v>
      </c>
      <c r="E1751">
        <v>0.79891010252832895</v>
      </c>
      <c r="F1751">
        <v>0.65191971870614096</v>
      </c>
      <c r="G1751">
        <v>0.51434403846843002</v>
      </c>
      <c r="H1751">
        <v>0.44959072697429803</v>
      </c>
      <c r="I1751">
        <v>0.40882014958883101</v>
      </c>
      <c r="J1751">
        <v>0.472798158569188</v>
      </c>
      <c r="K1751">
        <v>0.63794921721282605</v>
      </c>
      <c r="L1751">
        <v>852.87016007169302</v>
      </c>
      <c r="M1751">
        <v>16.930280268891</v>
      </c>
      <c r="N1751">
        <v>62.108665287492002</v>
      </c>
      <c r="O1751">
        <v>49.688378723512102</v>
      </c>
      <c r="P1751">
        <v>-4.43328692100491E-2</v>
      </c>
      <c r="Q1751">
        <v>0.47958584859796399</v>
      </c>
      <c r="R1751">
        <v>0.89760439587971796</v>
      </c>
      <c r="S1751" t="s">
        <v>5380</v>
      </c>
      <c r="T1751" t="s">
        <v>7256</v>
      </c>
      <c r="U1751" t="s">
        <v>7256</v>
      </c>
      <c r="V1751" t="s">
        <v>7256</v>
      </c>
      <c r="W1751">
        <v>4</v>
      </c>
      <c r="X1751" t="s">
        <v>9007</v>
      </c>
      <c r="Y1751">
        <v>0.669459234678346</v>
      </c>
      <c r="Z1751" t="str">
        <f>HYPERLINK("Melting_Curves/meltCurve_sp_Q5VWP3_MLIP_HUMAN_.pdf", "Melting_Curves/meltCurve_sp_Q5VWP3_MLIP_HUMAN_.pdf")</f>
        <v>Melting_Curves/meltCurve_sp_Q5VWP3_MLIP_HUMAN_.pdf</v>
      </c>
      <c r="AA1751" t="s">
        <v>12605</v>
      </c>
      <c r="AB1751" t="s">
        <v>16176</v>
      </c>
    </row>
    <row r="1752" spans="1:28" x14ac:dyDescent="0.25">
      <c r="A1752" t="s">
        <v>1756</v>
      </c>
      <c r="B1752">
        <v>0.98018197421672304</v>
      </c>
      <c r="C1752">
        <v>1.0142496225047699</v>
      </c>
      <c r="D1752">
        <v>0.94843718799265098</v>
      </c>
      <c r="E1752">
        <v>0.77290484901341305</v>
      </c>
      <c r="F1752">
        <v>0.69966064885646895</v>
      </c>
      <c r="G1752">
        <v>0.25671484759400698</v>
      </c>
      <c r="H1752">
        <v>0.14053442125684801</v>
      </c>
      <c r="I1752">
        <v>0.121195758123069</v>
      </c>
      <c r="J1752">
        <v>0.12786670952072299</v>
      </c>
      <c r="K1752">
        <v>0.10916311205699999</v>
      </c>
      <c r="L1752">
        <v>1126.1224430029199</v>
      </c>
      <c r="M1752">
        <v>20.936252691936399</v>
      </c>
      <c r="N1752">
        <v>54.307378899602298</v>
      </c>
      <c r="O1752">
        <v>53.304639202725099</v>
      </c>
      <c r="P1752">
        <v>-8.9287652763532205E-2</v>
      </c>
      <c r="Q1752">
        <v>9.0703129395986098E-2</v>
      </c>
      <c r="R1752">
        <v>0.988050398500671</v>
      </c>
      <c r="S1752" t="s">
        <v>5381</v>
      </c>
      <c r="T1752" t="s">
        <v>7256</v>
      </c>
      <c r="U1752" t="s">
        <v>7256</v>
      </c>
      <c r="V1752" t="s">
        <v>7256</v>
      </c>
      <c r="W1752">
        <v>8</v>
      </c>
      <c r="X1752" t="s">
        <v>9008</v>
      </c>
      <c r="Y1752">
        <v>0.520113468131573</v>
      </c>
      <c r="Z1752" t="str">
        <f>HYPERLINK("Melting_Curves/meltCurve_sp_Q5VWZ2_LYPL1_HUMAN_.pdf", "Melting_Curves/meltCurve_sp_Q5VWZ2_LYPL1_HUMAN_.pdf")</f>
        <v>Melting_Curves/meltCurve_sp_Q5VWZ2_LYPL1_HUMAN_.pdf</v>
      </c>
      <c r="AA1752" t="s">
        <v>12606</v>
      </c>
      <c r="AB1752" t="s">
        <v>16177</v>
      </c>
    </row>
    <row r="1753" spans="1:28" x14ac:dyDescent="0.25">
      <c r="A1753" t="s">
        <v>1757</v>
      </c>
      <c r="B1753">
        <v>0.98018197421672304</v>
      </c>
      <c r="C1753">
        <v>0.88050181293867402</v>
      </c>
      <c r="D1753">
        <v>0.73491227486502597</v>
      </c>
      <c r="E1753">
        <v>0.38881815901436201</v>
      </c>
      <c r="F1753">
        <v>0.187042855246982</v>
      </c>
      <c r="G1753">
        <v>0.11927483271216301</v>
      </c>
      <c r="H1753">
        <v>7.8351431172219196E-2</v>
      </c>
      <c r="I1753">
        <v>5.9179809265271603E-2</v>
      </c>
      <c r="J1753">
        <v>6.4617811730404803E-2</v>
      </c>
      <c r="K1753">
        <v>4.0199924420000303E-2</v>
      </c>
      <c r="L1753">
        <v>855.45289783909197</v>
      </c>
      <c r="M1753">
        <v>17.7248182512621</v>
      </c>
      <c r="N1753">
        <v>48.543202146676897</v>
      </c>
      <c r="O1753">
        <v>47.661244214217</v>
      </c>
      <c r="P1753">
        <v>-8.84568055184278E-2</v>
      </c>
      <c r="Q1753">
        <v>4.8624291814657099E-2</v>
      </c>
      <c r="R1753">
        <v>0.99843650074189405</v>
      </c>
      <c r="S1753" t="s">
        <v>5382</v>
      </c>
      <c r="T1753" t="s">
        <v>7256</v>
      </c>
      <c r="U1753" t="s">
        <v>7256</v>
      </c>
      <c r="V1753" t="s">
        <v>7256</v>
      </c>
      <c r="W1753">
        <v>10</v>
      </c>
      <c r="X1753" t="s">
        <v>9009</v>
      </c>
      <c r="Y1753">
        <v>0.3279591602013075</v>
      </c>
      <c r="Z1753" t="str">
        <f>HYPERLINK("Melting_Curves/meltCurve_sp_Q5VYK3_ECM29_HUMAN_.pdf", "Melting_Curves/meltCurve_sp_Q5VYK3_ECM29_HUMAN_.pdf")</f>
        <v>Melting_Curves/meltCurve_sp_Q5VYK3_ECM29_HUMAN_.pdf</v>
      </c>
      <c r="AA1753" t="s">
        <v>12607</v>
      </c>
      <c r="AB1753" t="s">
        <v>16178</v>
      </c>
    </row>
    <row r="1754" spans="1:28" x14ac:dyDescent="0.25">
      <c r="A1754" t="s">
        <v>1758</v>
      </c>
      <c r="B1754">
        <v>0.98018197421672304</v>
      </c>
      <c r="C1754">
        <v>0.98425173065565996</v>
      </c>
      <c r="D1754">
        <v>0.715163333178232</v>
      </c>
      <c r="E1754">
        <v>0.50378655010148798</v>
      </c>
      <c r="F1754">
        <v>0.39113821363706702</v>
      </c>
      <c r="G1754">
        <v>0.25782069360747101</v>
      </c>
      <c r="H1754">
        <v>0.21470514912035499</v>
      </c>
      <c r="I1754">
        <v>0.152386081201213</v>
      </c>
      <c r="J1754">
        <v>0.16617809276966899</v>
      </c>
      <c r="K1754">
        <v>0.22947043619967999</v>
      </c>
      <c r="L1754">
        <v>768.86028770008295</v>
      </c>
      <c r="M1754">
        <v>15.7766771700372</v>
      </c>
      <c r="N1754">
        <v>50.134873171630602</v>
      </c>
      <c r="O1754">
        <v>47.971152732733003</v>
      </c>
      <c r="P1754">
        <v>-6.7569410051809706E-2</v>
      </c>
      <c r="Q1754">
        <v>0.17825184086023199</v>
      </c>
      <c r="R1754">
        <v>0.98586919644763704</v>
      </c>
      <c r="S1754" t="s">
        <v>5383</v>
      </c>
      <c r="T1754" t="s">
        <v>7256</v>
      </c>
      <c r="U1754" t="s">
        <v>7256</v>
      </c>
      <c r="V1754" t="s">
        <v>7256</v>
      </c>
      <c r="W1754">
        <v>1</v>
      </c>
      <c r="X1754" t="s">
        <v>9010</v>
      </c>
      <c r="Y1754">
        <v>0.43607907578725202</v>
      </c>
      <c r="Z1754" t="str">
        <f>HYPERLINK("Melting_Curves/meltCurve_sp_Q5VYS8_6_TUT7_HUMAN_.pdf", "Melting_Curves/meltCurve_sp_Q5VYS8_6_TUT7_HUMAN_.pdf")</f>
        <v>Melting_Curves/meltCurve_sp_Q5VYS8_6_TUT7_HUMAN_.pdf</v>
      </c>
      <c r="AA1754" t="s">
        <v>12608</v>
      </c>
      <c r="AB1754" t="s">
        <v>16179</v>
      </c>
    </row>
    <row r="1755" spans="1:28" x14ac:dyDescent="0.25">
      <c r="A1755" t="s">
        <v>1759</v>
      </c>
      <c r="B1755">
        <v>0.98018197421672304</v>
      </c>
      <c r="C1755">
        <v>0.92447501088786899</v>
      </c>
      <c r="D1755">
        <v>0.90857126097174601</v>
      </c>
      <c r="E1755">
        <v>0.71959926751421899</v>
      </c>
      <c r="F1755">
        <v>0.48115737268359299</v>
      </c>
      <c r="G1755">
        <v>0.26350254127483203</v>
      </c>
      <c r="H1755">
        <v>0.104014338693527</v>
      </c>
      <c r="I1755">
        <v>5.2129046292099503E-2</v>
      </c>
      <c r="J1755">
        <v>0.112092706467352</v>
      </c>
      <c r="K1755">
        <v>5.7159968274336399E-2</v>
      </c>
      <c r="L1755">
        <v>842.97023838205496</v>
      </c>
      <c r="M1755">
        <v>16.042708791800599</v>
      </c>
      <c r="N1755">
        <v>52.796417243981402</v>
      </c>
      <c r="O1755">
        <v>51.749267098534702</v>
      </c>
      <c r="P1755">
        <v>-7.4661698523313405E-2</v>
      </c>
      <c r="Q1755">
        <v>3.6724196765346002E-2</v>
      </c>
      <c r="R1755">
        <v>0.99470360958319604</v>
      </c>
      <c r="S1755" t="s">
        <v>5384</v>
      </c>
      <c r="T1755" t="s">
        <v>7256</v>
      </c>
      <c r="U1755" t="s">
        <v>7256</v>
      </c>
      <c r="V1755" t="s">
        <v>7256</v>
      </c>
      <c r="W1755">
        <v>2</v>
      </c>
      <c r="X1755" t="s">
        <v>9011</v>
      </c>
      <c r="Y1755">
        <v>0.45864158838807428</v>
      </c>
      <c r="Z1755" t="str">
        <f>HYPERLINK("Melting_Curves/meltCurve_sp_Q5VYX0_2_RNLS_HUMAN_.pdf", "Melting_Curves/meltCurve_sp_Q5VYX0_2_RNLS_HUMAN_.pdf")</f>
        <v>Melting_Curves/meltCurve_sp_Q5VYX0_2_RNLS_HUMAN_.pdf</v>
      </c>
      <c r="AA1755" t="s">
        <v>12609</v>
      </c>
      <c r="AB1755" t="s">
        <v>16180</v>
      </c>
    </row>
    <row r="1756" spans="1:28" x14ac:dyDescent="0.25">
      <c r="A1756" t="s">
        <v>1760</v>
      </c>
      <c r="B1756">
        <v>0.98018197421672304</v>
      </c>
      <c r="C1756">
        <v>1.18941342674312</v>
      </c>
      <c r="D1756">
        <v>0.95165062361255504</v>
      </c>
      <c r="E1756">
        <v>0.81319872142051097</v>
      </c>
      <c r="F1756">
        <v>0.81274135349452503</v>
      </c>
      <c r="G1756">
        <v>0.49046363210793698</v>
      </c>
      <c r="H1756">
        <v>0.56291292611399901</v>
      </c>
      <c r="I1756">
        <v>0.42539424562707101</v>
      </c>
      <c r="J1756">
        <v>0.36748778567203499</v>
      </c>
      <c r="K1756">
        <v>0.42724819593449598</v>
      </c>
      <c r="L1756">
        <v>928.38260282795795</v>
      </c>
      <c r="M1756">
        <v>17.222531468184599</v>
      </c>
      <c r="N1756">
        <v>59.425684487375598</v>
      </c>
      <c r="O1756">
        <v>53.1941051452445</v>
      </c>
      <c r="P1756">
        <v>-4.8645205309125701E-2</v>
      </c>
      <c r="Q1756">
        <v>0.39904619279362302</v>
      </c>
      <c r="R1756">
        <v>0.90991857045608604</v>
      </c>
      <c r="S1756" t="s">
        <v>5385</v>
      </c>
      <c r="T1756" t="s">
        <v>7256</v>
      </c>
      <c r="U1756" t="s">
        <v>7256</v>
      </c>
      <c r="V1756" t="s">
        <v>7256</v>
      </c>
      <c r="W1756">
        <v>1</v>
      </c>
      <c r="X1756" t="s">
        <v>9012</v>
      </c>
      <c r="Y1756">
        <v>0.6878763886996101</v>
      </c>
      <c r="Z1756" t="str">
        <f>HYPERLINK("Melting_Curves/meltCurve_sp_Q5VZL5_4_ZMYM4_HUMAN_.pdf", "Melting_Curves/meltCurve_sp_Q5VZL5_4_ZMYM4_HUMAN_.pdf")</f>
        <v>Melting_Curves/meltCurve_sp_Q5VZL5_4_ZMYM4_HUMAN_.pdf</v>
      </c>
      <c r="AA1756" t="s">
        <v>12610</v>
      </c>
      <c r="AB1756" t="s">
        <v>16181</v>
      </c>
    </row>
    <row r="1757" spans="1:28" x14ac:dyDescent="0.25">
      <c r="A1757" t="s">
        <v>1761</v>
      </c>
      <c r="B1757">
        <v>0.98018197421672304</v>
      </c>
      <c r="C1757">
        <v>0.98877721873255897</v>
      </c>
      <c r="D1757">
        <v>0.93570634518490503</v>
      </c>
      <c r="E1757">
        <v>0.83820290206648795</v>
      </c>
      <c r="F1757">
        <v>0.57547558366319396</v>
      </c>
      <c r="G1757">
        <v>0.36661057949343601</v>
      </c>
      <c r="H1757">
        <v>0.19350690919212399</v>
      </c>
      <c r="I1757">
        <v>9.7604958416126E-2</v>
      </c>
      <c r="J1757">
        <v>0.31671358859009402</v>
      </c>
      <c r="K1757">
        <v>7.5581010020848202E-2</v>
      </c>
      <c r="L1757">
        <v>1015.0219187427</v>
      </c>
      <c r="M1757">
        <v>19.021709867293101</v>
      </c>
      <c r="N1757">
        <v>54.313328447774701</v>
      </c>
      <c r="O1757">
        <v>52.781947706365401</v>
      </c>
      <c r="P1757">
        <v>-7.7325570687558201E-2</v>
      </c>
      <c r="Q1757">
        <v>0.14177352899979401</v>
      </c>
      <c r="R1757">
        <v>0.96799313137670995</v>
      </c>
      <c r="S1757" t="s">
        <v>5386</v>
      </c>
      <c r="T1757" t="s">
        <v>7256</v>
      </c>
      <c r="U1757" t="s">
        <v>7256</v>
      </c>
      <c r="V1757" t="s">
        <v>7256</v>
      </c>
      <c r="W1757">
        <v>7</v>
      </c>
      <c r="X1757" t="s">
        <v>9013</v>
      </c>
      <c r="Y1757">
        <v>0.53678180587865199</v>
      </c>
      <c r="Z1757" t="str">
        <f>HYPERLINK("Melting_Curves/meltCurve_sp_Q5W0V3_F16B1_HUMAN_.pdf", "Melting_Curves/meltCurve_sp_Q5W0V3_F16B1_HUMAN_.pdf")</f>
        <v>Melting_Curves/meltCurve_sp_Q5W0V3_F16B1_HUMAN_.pdf</v>
      </c>
      <c r="AA1757" t="s">
        <v>12611</v>
      </c>
      <c r="AB1757" t="s">
        <v>16182</v>
      </c>
    </row>
    <row r="1758" spans="1:28" x14ac:dyDescent="0.25">
      <c r="A1758" t="s">
        <v>1762</v>
      </c>
      <c r="B1758">
        <v>0.98018197421672304</v>
      </c>
      <c r="C1758">
        <v>0.96964024717277097</v>
      </c>
      <c r="D1758">
        <v>0.92908067396578298</v>
      </c>
      <c r="E1758">
        <v>0.48749034766845101</v>
      </c>
      <c r="F1758">
        <v>0.25393166638660603</v>
      </c>
      <c r="G1758">
        <v>0.17981832271927001</v>
      </c>
      <c r="H1758">
        <v>9.7067920983977499E-2</v>
      </c>
      <c r="I1758">
        <v>5.9349611451006E-2</v>
      </c>
      <c r="J1758">
        <v>6.3545137167002899E-2</v>
      </c>
      <c r="K1758">
        <v>3.7076469004820402E-2</v>
      </c>
      <c r="L1758">
        <v>1176.2543415077701</v>
      </c>
      <c r="M1758">
        <v>23.6056666084569</v>
      </c>
      <c r="N1758">
        <v>50.157823898847802</v>
      </c>
      <c r="O1758">
        <v>49.475849753001697</v>
      </c>
      <c r="P1758">
        <v>-0.110737641649906</v>
      </c>
      <c r="Q1758">
        <v>7.1621863348565698E-2</v>
      </c>
      <c r="R1758">
        <v>0.99392371897531095</v>
      </c>
      <c r="S1758" t="s">
        <v>5387</v>
      </c>
      <c r="T1758" t="s">
        <v>7256</v>
      </c>
      <c r="U1758" t="s">
        <v>7256</v>
      </c>
      <c r="V1758" t="s">
        <v>7256</v>
      </c>
      <c r="W1758">
        <v>4</v>
      </c>
      <c r="X1758" t="s">
        <v>9014</v>
      </c>
      <c r="Y1758">
        <v>0.38509834092317807</v>
      </c>
      <c r="Z1758" t="str">
        <f>HYPERLINK("Melting_Curves/meltCurve_sp_Q63HM1_KFA_HUMAN_.pdf", "Melting_Curves/meltCurve_sp_Q63HM1_KFA_HUMAN_.pdf")</f>
        <v>Melting_Curves/meltCurve_sp_Q63HM1_KFA_HUMAN_.pdf</v>
      </c>
      <c r="AA1758" t="s">
        <v>12612</v>
      </c>
      <c r="AB1758" t="s">
        <v>16183</v>
      </c>
    </row>
    <row r="1759" spans="1:28" x14ac:dyDescent="0.25">
      <c r="A1759" t="s">
        <v>1763</v>
      </c>
      <c r="B1759">
        <v>0.98018197421672304</v>
      </c>
      <c r="C1759">
        <v>0.95099579419179003</v>
      </c>
      <c r="D1759">
        <v>0.80031361001216506</v>
      </c>
      <c r="E1759">
        <v>0.57120808668230405</v>
      </c>
      <c r="F1759">
        <v>0.35833448931774498</v>
      </c>
      <c r="G1759">
        <v>0.23622694719322601</v>
      </c>
      <c r="H1759">
        <v>0.133681477905012</v>
      </c>
      <c r="I1759">
        <v>8.8652322184647497E-2</v>
      </c>
      <c r="J1759">
        <v>7.0358807560532102E-2</v>
      </c>
      <c r="K1759">
        <v>4.9064331369978703E-2</v>
      </c>
      <c r="L1759">
        <v>696.43706410080404</v>
      </c>
      <c r="M1759">
        <v>13.7338349040674</v>
      </c>
      <c r="N1759">
        <v>51.0109712365417</v>
      </c>
      <c r="O1759">
        <v>49.670700446949198</v>
      </c>
      <c r="P1759">
        <v>-6.6440154507433902E-2</v>
      </c>
      <c r="Q1759">
        <v>3.89691733397056E-2</v>
      </c>
      <c r="R1759">
        <v>0.99838303220704205</v>
      </c>
      <c r="S1759" t="s">
        <v>5388</v>
      </c>
      <c r="T1759" t="s">
        <v>7256</v>
      </c>
      <c r="U1759" t="s">
        <v>7256</v>
      </c>
      <c r="V1759" t="s">
        <v>7256</v>
      </c>
      <c r="W1759">
        <v>16</v>
      </c>
      <c r="X1759" t="s">
        <v>9015</v>
      </c>
      <c r="Y1759">
        <v>0.40795780797575559</v>
      </c>
      <c r="Z1759" t="str">
        <f>HYPERLINK("Melting_Curves/meltCurve_sp_Q63HN8_RN213_HUMAN_.pdf", "Melting_Curves/meltCurve_sp_Q63HN8_RN213_HUMAN_.pdf")</f>
        <v>Melting_Curves/meltCurve_sp_Q63HN8_RN213_HUMAN_.pdf</v>
      </c>
      <c r="AA1759" t="s">
        <v>12613</v>
      </c>
      <c r="AB1759" t="s">
        <v>16184</v>
      </c>
    </row>
    <row r="1760" spans="1:28" x14ac:dyDescent="0.25">
      <c r="A1760" t="s">
        <v>1764</v>
      </c>
      <c r="B1760">
        <v>0.98018197421672304</v>
      </c>
      <c r="C1760">
        <v>0.91626958173750095</v>
      </c>
      <c r="D1760">
        <v>0.87633129703677903</v>
      </c>
      <c r="E1760">
        <v>0.66520359871233503</v>
      </c>
      <c r="F1760">
        <v>0.49789274157148899</v>
      </c>
      <c r="G1760">
        <v>0.246288174685898</v>
      </c>
      <c r="H1760">
        <v>0.15063144640995399</v>
      </c>
      <c r="I1760">
        <v>9.97297758799566E-2</v>
      </c>
      <c r="J1760">
        <v>0.12275062649013101</v>
      </c>
      <c r="K1760">
        <v>0.124782353393994</v>
      </c>
      <c r="L1760">
        <v>765.56228076064099</v>
      </c>
      <c r="M1760">
        <v>14.752413280774601</v>
      </c>
      <c r="N1760">
        <v>52.472240068576902</v>
      </c>
      <c r="O1760">
        <v>50.9684729763161</v>
      </c>
      <c r="P1760">
        <v>-6.6939406173053703E-2</v>
      </c>
      <c r="Q1760">
        <v>7.5017376910609501E-2</v>
      </c>
      <c r="R1760">
        <v>0.99519535394140402</v>
      </c>
      <c r="S1760" t="s">
        <v>5389</v>
      </c>
      <c r="T1760" t="s">
        <v>7256</v>
      </c>
      <c r="U1760" t="s">
        <v>7256</v>
      </c>
      <c r="V1760" t="s">
        <v>7256</v>
      </c>
      <c r="W1760">
        <v>10</v>
      </c>
      <c r="X1760" t="s">
        <v>9016</v>
      </c>
      <c r="Y1760">
        <v>0.46303521958250382</v>
      </c>
      <c r="Z1760" t="str">
        <f>HYPERLINK("Melting_Curves/meltCurve_sp_Q63HR2_2_TENC1_HUMAN_.pdf", "Melting_Curves/meltCurve_sp_Q63HR2_2_TENC1_HUMAN_.pdf")</f>
        <v>Melting_Curves/meltCurve_sp_Q63HR2_2_TENC1_HUMAN_.pdf</v>
      </c>
      <c r="AA1760" t="s">
        <v>12614</v>
      </c>
      <c r="AB1760" t="s">
        <v>16185</v>
      </c>
    </row>
    <row r="1761" spans="1:28" x14ac:dyDescent="0.25">
      <c r="A1761" t="s">
        <v>1765</v>
      </c>
      <c r="B1761">
        <v>0.98018197421672304</v>
      </c>
      <c r="C1761">
        <v>0.90226962635223895</v>
      </c>
      <c r="D1761">
        <v>0.80578777398551404</v>
      </c>
      <c r="E1761">
        <v>0.57905837419503703</v>
      </c>
      <c r="F1761">
        <v>0.30968155708446699</v>
      </c>
      <c r="G1761">
        <v>0.13345747930011301</v>
      </c>
      <c r="H1761">
        <v>8.7015976928008998E-2</v>
      </c>
      <c r="I1761">
        <v>8.4780837901506104E-2</v>
      </c>
      <c r="J1761">
        <v>8.4297650665922597E-2</v>
      </c>
      <c r="K1761">
        <v>7.6869013020373703E-2</v>
      </c>
      <c r="L1761">
        <v>822.15180875686099</v>
      </c>
      <c r="M1761">
        <v>16.417945780822802</v>
      </c>
      <c r="N1761">
        <v>50.422308528762798</v>
      </c>
      <c r="O1761">
        <v>49.351168367079303</v>
      </c>
      <c r="P1761">
        <v>-7.8745141214534894E-2</v>
      </c>
      <c r="Q1761">
        <v>5.32580980666559E-2</v>
      </c>
      <c r="R1761">
        <v>0.99515253529397096</v>
      </c>
      <c r="S1761" t="s">
        <v>5390</v>
      </c>
      <c r="T1761" t="s">
        <v>7256</v>
      </c>
      <c r="U1761" t="s">
        <v>7256</v>
      </c>
      <c r="V1761" t="s">
        <v>7256</v>
      </c>
      <c r="W1761">
        <v>6</v>
      </c>
      <c r="X1761" t="s">
        <v>9017</v>
      </c>
      <c r="Y1761">
        <v>0.39039468593115512</v>
      </c>
      <c r="Z1761" t="str">
        <f>HYPERLINK("Melting_Curves/meltCurve_sp_Q63ZY3_3_KANK2_HUMAN_.pdf", "Melting_Curves/meltCurve_sp_Q63ZY3_3_KANK2_HUMAN_.pdf")</f>
        <v>Melting_Curves/meltCurve_sp_Q63ZY3_3_KANK2_HUMAN_.pdf</v>
      </c>
      <c r="AA1761" t="s">
        <v>12615</v>
      </c>
      <c r="AB1761" t="s">
        <v>16186</v>
      </c>
    </row>
    <row r="1762" spans="1:28" x14ac:dyDescent="0.25">
      <c r="A1762" t="s">
        <v>1766</v>
      </c>
      <c r="B1762">
        <v>0.98018197421672304</v>
      </c>
      <c r="C1762">
        <v>0.90450118297749804</v>
      </c>
      <c r="D1762">
        <v>0.81550438832496097</v>
      </c>
      <c r="E1762">
        <v>0.57354705144877804</v>
      </c>
      <c r="F1762">
        <v>0.29250533740461998</v>
      </c>
      <c r="G1762">
        <v>0.185142511776998</v>
      </c>
      <c r="H1762">
        <v>0.12966249483480699</v>
      </c>
      <c r="I1762">
        <v>9.3371177425552995E-2</v>
      </c>
      <c r="J1762">
        <v>8.0422295440915295E-2</v>
      </c>
      <c r="K1762">
        <v>7.5256347400210394E-2</v>
      </c>
      <c r="L1762">
        <v>799.61279856026295</v>
      </c>
      <c r="M1762">
        <v>15.9883716004286</v>
      </c>
      <c r="N1762">
        <v>50.4611255045942</v>
      </c>
      <c r="O1762">
        <v>49.249364611066603</v>
      </c>
      <c r="P1762">
        <v>-7.5785242896105998E-2</v>
      </c>
      <c r="Q1762">
        <v>6.6300634120726704E-2</v>
      </c>
      <c r="R1762">
        <v>0.99607107567935005</v>
      </c>
      <c r="S1762" t="s">
        <v>5391</v>
      </c>
      <c r="T1762" t="s">
        <v>7256</v>
      </c>
      <c r="U1762" t="s">
        <v>7256</v>
      </c>
      <c r="V1762" t="s">
        <v>7256</v>
      </c>
      <c r="W1762">
        <v>4</v>
      </c>
      <c r="X1762" t="s">
        <v>9018</v>
      </c>
      <c r="Y1762">
        <v>0.39775930516988522</v>
      </c>
      <c r="Z1762" t="str">
        <f>HYPERLINK("Melting_Curves/meltCurve_sp_Q66K14_2_TBC9B_HUMAN_.pdf", "Melting_Curves/meltCurve_sp_Q66K14_2_TBC9B_HUMAN_.pdf")</f>
        <v>Melting_Curves/meltCurve_sp_Q66K14_2_TBC9B_HUMAN_.pdf</v>
      </c>
      <c r="AA1762" t="s">
        <v>12616</v>
      </c>
      <c r="AB1762" t="s">
        <v>16187</v>
      </c>
    </row>
    <row r="1763" spans="1:28" x14ac:dyDescent="0.25">
      <c r="A1763" t="s">
        <v>1767</v>
      </c>
      <c r="B1763">
        <v>0.98018197421672304</v>
      </c>
      <c r="C1763">
        <v>0.88897933213941305</v>
      </c>
      <c r="D1763">
        <v>0.83372819226424799</v>
      </c>
      <c r="E1763">
        <v>0.53711753601887602</v>
      </c>
      <c r="F1763">
        <v>0.40519525233853698</v>
      </c>
      <c r="G1763">
        <v>0.21843929589619901</v>
      </c>
      <c r="H1763">
        <v>0.16738562241371599</v>
      </c>
      <c r="I1763">
        <v>0.1315320066699</v>
      </c>
      <c r="J1763">
        <v>0.160500153322506</v>
      </c>
      <c r="K1763">
        <v>0.100543564825988</v>
      </c>
      <c r="L1763">
        <v>715.80236603524099</v>
      </c>
      <c r="M1763">
        <v>14.2906754718546</v>
      </c>
      <c r="N1763">
        <v>50.906898917480603</v>
      </c>
      <c r="O1763">
        <v>49.138591329160498</v>
      </c>
      <c r="P1763">
        <v>-6.5254277258163199E-2</v>
      </c>
      <c r="Q1763">
        <v>0.10260057218851899</v>
      </c>
      <c r="R1763">
        <v>0.99531888665375201</v>
      </c>
      <c r="S1763" t="s">
        <v>5392</v>
      </c>
      <c r="T1763" t="s">
        <v>7256</v>
      </c>
      <c r="U1763" t="s">
        <v>7256</v>
      </c>
      <c r="V1763" t="s">
        <v>7256</v>
      </c>
      <c r="W1763">
        <v>2</v>
      </c>
      <c r="X1763" t="s">
        <v>9019</v>
      </c>
      <c r="Y1763">
        <v>0.42760502418697371</v>
      </c>
      <c r="Z1763" t="str">
        <f>HYPERLINK("Melting_Curves/meltCurve_sp_Q66PJ3_AR6P4_HUMAN_.pdf", "Melting_Curves/meltCurve_sp_Q66PJ3_AR6P4_HUMAN_.pdf")</f>
        <v>Melting_Curves/meltCurve_sp_Q66PJ3_AR6P4_HUMAN_.pdf</v>
      </c>
      <c r="AA1763" t="s">
        <v>12617</v>
      </c>
      <c r="AB1763" t="s">
        <v>16188</v>
      </c>
    </row>
    <row r="1764" spans="1:28" x14ac:dyDescent="0.25">
      <c r="A1764" t="s">
        <v>1768</v>
      </c>
      <c r="B1764">
        <v>0.98018197421672304</v>
      </c>
      <c r="C1764">
        <v>0.91502230540298402</v>
      </c>
      <c r="D1764">
        <v>0.85624001697942898</v>
      </c>
      <c r="E1764">
        <v>0.71707030784697201</v>
      </c>
      <c r="F1764">
        <v>0.56345362642119701</v>
      </c>
      <c r="G1764">
        <v>0.35322595758556402</v>
      </c>
      <c r="H1764">
        <v>0.27665572253616599</v>
      </c>
      <c r="I1764">
        <v>0.182623555209697</v>
      </c>
      <c r="J1764">
        <v>0.13610157353455701</v>
      </c>
      <c r="K1764">
        <v>8.5386112247610196E-2</v>
      </c>
      <c r="L1764">
        <v>539.401015402609</v>
      </c>
      <c r="M1764">
        <v>9.9342977855284698</v>
      </c>
      <c r="N1764">
        <v>54.296843707609497</v>
      </c>
      <c r="O1764">
        <v>52.234124489772199</v>
      </c>
      <c r="P1764">
        <v>-4.7570687888550699E-2</v>
      </c>
      <c r="Q1764">
        <v>0</v>
      </c>
      <c r="R1764">
        <v>0.99770345718633802</v>
      </c>
      <c r="S1764" t="s">
        <v>5393</v>
      </c>
      <c r="T1764" t="s">
        <v>7256</v>
      </c>
      <c r="U1764" t="s">
        <v>7256</v>
      </c>
      <c r="V1764" t="s">
        <v>7256</v>
      </c>
      <c r="W1764">
        <v>6</v>
      </c>
      <c r="X1764" t="s">
        <v>9020</v>
      </c>
      <c r="Y1764">
        <v>0.5056381323829805</v>
      </c>
      <c r="Z1764" t="str">
        <f>HYPERLINK("Melting_Curves/meltCurve_sp_Q676U5_2_A16L1_HUMAN_.pdf", "Melting_Curves/meltCurve_sp_Q676U5_2_A16L1_HUMAN_.pdf")</f>
        <v>Melting_Curves/meltCurve_sp_Q676U5_2_A16L1_HUMAN_.pdf</v>
      </c>
      <c r="AA1764" t="s">
        <v>12618</v>
      </c>
      <c r="AB1764" t="s">
        <v>16189</v>
      </c>
    </row>
    <row r="1765" spans="1:28" x14ac:dyDescent="0.25">
      <c r="A1765" t="s">
        <v>1769</v>
      </c>
      <c r="B1765">
        <v>0.98018197421672304</v>
      </c>
      <c r="C1765">
        <v>0.91169453582252002</v>
      </c>
      <c r="D1765">
        <v>0.74698800676684196</v>
      </c>
      <c r="E1765">
        <v>0.33811906459121999</v>
      </c>
      <c r="F1765">
        <v>0.18210732463610199</v>
      </c>
      <c r="G1765">
        <v>8.8426436137692396E-2</v>
      </c>
      <c r="H1765">
        <v>4.3466169149571701E-2</v>
      </c>
      <c r="I1765">
        <v>3.2577570802207002E-2</v>
      </c>
      <c r="J1765">
        <v>3.4056182877713399E-2</v>
      </c>
      <c r="K1765">
        <v>2.25265181964979E-2</v>
      </c>
      <c r="L1765">
        <v>943.11867486154495</v>
      </c>
      <c r="M1765">
        <v>19.539993814468701</v>
      </c>
      <c r="N1765">
        <v>48.412141731084098</v>
      </c>
      <c r="O1765">
        <v>47.769070514364202</v>
      </c>
      <c r="P1765">
        <v>-9.9339008947516697E-2</v>
      </c>
      <c r="Q1765">
        <v>2.8625543014967898E-2</v>
      </c>
      <c r="R1765">
        <v>0.99924890281267098</v>
      </c>
      <c r="S1765" t="s">
        <v>5394</v>
      </c>
      <c r="T1765" t="s">
        <v>7256</v>
      </c>
      <c r="U1765" t="s">
        <v>7256</v>
      </c>
      <c r="V1765" t="s">
        <v>7256</v>
      </c>
      <c r="W1765">
        <v>25</v>
      </c>
      <c r="X1765" t="s">
        <v>9021</v>
      </c>
      <c r="Y1765">
        <v>0.31069539692287768</v>
      </c>
      <c r="Z1765" t="str">
        <f>HYPERLINK("Melting_Curves/meltCurve_sp_Q68CK6_ACS2B_HUMAN_.pdf", "Melting_Curves/meltCurve_sp_Q68CK6_ACS2B_HUMAN_.pdf")</f>
        <v>Melting_Curves/meltCurve_sp_Q68CK6_ACS2B_HUMAN_.pdf</v>
      </c>
      <c r="AA1765" t="s">
        <v>12619</v>
      </c>
      <c r="AB1765" t="s">
        <v>16190</v>
      </c>
    </row>
    <row r="1766" spans="1:28" x14ac:dyDescent="0.25">
      <c r="A1766" t="s">
        <v>1770</v>
      </c>
      <c r="B1766">
        <v>0.98018197421672304</v>
      </c>
      <c r="C1766">
        <v>0.97145809120285198</v>
      </c>
      <c r="D1766">
        <v>0.89691603711392398</v>
      </c>
      <c r="E1766">
        <v>0.62058693333177395</v>
      </c>
      <c r="F1766">
        <v>0.369578028062092</v>
      </c>
      <c r="G1766">
        <v>0.23992746684475799</v>
      </c>
      <c r="H1766">
        <v>0.284747532604468</v>
      </c>
      <c r="I1766">
        <v>0.30028934501575</v>
      </c>
      <c r="J1766">
        <v>0.42297972923556099</v>
      </c>
      <c r="K1766">
        <v>0.38981562660810898</v>
      </c>
      <c r="L1766">
        <v>1518.9157565287601</v>
      </c>
      <c r="M1766">
        <v>30.809564729811299</v>
      </c>
      <c r="N1766">
        <v>51.027196788492802</v>
      </c>
      <c r="O1766">
        <v>49.093840878208098</v>
      </c>
      <c r="P1766">
        <v>-0.106096293322642</v>
      </c>
      <c r="Q1766">
        <v>0.32376279110532502</v>
      </c>
      <c r="R1766">
        <v>0.96336930085405903</v>
      </c>
      <c r="S1766" t="s">
        <v>5395</v>
      </c>
      <c r="T1766" t="s">
        <v>7256</v>
      </c>
      <c r="U1766" t="s">
        <v>7256</v>
      </c>
      <c r="V1766" t="s">
        <v>7256</v>
      </c>
      <c r="W1766">
        <v>7</v>
      </c>
      <c r="X1766" t="s">
        <v>9022</v>
      </c>
      <c r="Y1766">
        <v>0.53731755392613911</v>
      </c>
      <c r="Z1766" t="str">
        <f>HYPERLINK("Melting_Curves/meltCurve_sp_Q68CZ2_TENS3_HUMAN_.pdf", "Melting_Curves/meltCurve_sp_Q68CZ2_TENS3_HUMAN_.pdf")</f>
        <v>Melting_Curves/meltCurve_sp_Q68CZ2_TENS3_HUMAN_.pdf</v>
      </c>
      <c r="AA1766" t="s">
        <v>12620</v>
      </c>
      <c r="AB1766" t="s">
        <v>16191</v>
      </c>
    </row>
    <row r="1767" spans="1:28" x14ac:dyDescent="0.25">
      <c r="A1767" t="s">
        <v>1771</v>
      </c>
      <c r="B1767">
        <v>0.98018197421672304</v>
      </c>
      <c r="C1767">
        <v>0.98425134089337996</v>
      </c>
      <c r="D1767">
        <v>0.87250926508135496</v>
      </c>
      <c r="E1767">
        <v>0.66453233649610299</v>
      </c>
      <c r="F1767">
        <v>0.37199984626971699</v>
      </c>
      <c r="G1767">
        <v>0.187597758393868</v>
      </c>
      <c r="H1767">
        <v>0.12302812328394799</v>
      </c>
      <c r="I1767">
        <v>9.3078860511797104E-2</v>
      </c>
      <c r="J1767">
        <v>9.9574087166131794E-2</v>
      </c>
      <c r="K1767">
        <v>7.1679463783556899E-2</v>
      </c>
      <c r="L1767">
        <v>968.63867061106703</v>
      </c>
      <c r="M1767">
        <v>18.939674806319701</v>
      </c>
      <c r="N1767">
        <v>51.590518876550703</v>
      </c>
      <c r="O1767">
        <v>50.583439439022399</v>
      </c>
      <c r="P1767">
        <v>-8.6523998528710705E-2</v>
      </c>
      <c r="Q1767">
        <v>7.5695898568397396E-2</v>
      </c>
      <c r="R1767">
        <v>0.99814559209665099</v>
      </c>
      <c r="S1767" t="s">
        <v>5396</v>
      </c>
      <c r="T1767" t="s">
        <v>7256</v>
      </c>
      <c r="U1767" t="s">
        <v>7256</v>
      </c>
      <c r="V1767" t="s">
        <v>7256</v>
      </c>
      <c r="W1767">
        <v>2</v>
      </c>
      <c r="X1767" t="s">
        <v>9023</v>
      </c>
      <c r="Y1767">
        <v>0.4332055675275589</v>
      </c>
      <c r="Z1767" t="str">
        <f>HYPERLINK("Melting_Curves/meltCurve_sp_Q69YN2_C19L1_HUMAN_.pdf", "Melting_Curves/meltCurve_sp_Q69YN2_C19L1_HUMAN_.pdf")</f>
        <v>Melting_Curves/meltCurve_sp_Q69YN2_C19L1_HUMAN_.pdf</v>
      </c>
      <c r="AA1767" t="s">
        <v>12621</v>
      </c>
      <c r="AB1767" t="s">
        <v>16192</v>
      </c>
    </row>
    <row r="1768" spans="1:28" x14ac:dyDescent="0.25">
      <c r="A1768" t="s">
        <v>1772</v>
      </c>
      <c r="B1768">
        <v>0.98018197421672304</v>
      </c>
      <c r="C1768">
        <v>1.0213347912894799</v>
      </c>
      <c r="D1768">
        <v>0.89678022989640904</v>
      </c>
      <c r="E1768">
        <v>0.63747278600902102</v>
      </c>
      <c r="F1768">
        <v>0.25173556350540699</v>
      </c>
      <c r="G1768">
        <v>0.123913054603498</v>
      </c>
      <c r="H1768">
        <v>0.12532281361744901</v>
      </c>
      <c r="I1768">
        <v>0.111855088969359</v>
      </c>
      <c r="J1768">
        <v>8.8054023977743007E-2</v>
      </c>
      <c r="K1768">
        <v>0.11923146538648</v>
      </c>
      <c r="L1768">
        <v>1508.2636193559599</v>
      </c>
      <c r="M1768">
        <v>29.901613668563002</v>
      </c>
      <c r="N1768">
        <v>50.839785206540597</v>
      </c>
      <c r="O1768">
        <v>50.216886035230303</v>
      </c>
      <c r="P1768">
        <v>-0.13329831496736699</v>
      </c>
      <c r="Q1768">
        <v>0.104559082055746</v>
      </c>
      <c r="R1768">
        <v>0.99564125712015905</v>
      </c>
      <c r="S1768" t="s">
        <v>5397</v>
      </c>
      <c r="T1768" t="s">
        <v>7256</v>
      </c>
      <c r="U1768" t="s">
        <v>7256</v>
      </c>
      <c r="V1768" t="s">
        <v>7256</v>
      </c>
      <c r="W1768">
        <v>1</v>
      </c>
      <c r="X1768" t="s">
        <v>9024</v>
      </c>
      <c r="Y1768">
        <v>0.42181420881962389</v>
      </c>
      <c r="Z1768" t="str">
        <f>HYPERLINK("Melting_Curves/meltCurve_sp_Q69YN4_4_VIR_HUMAN_.pdf", "Melting_Curves/meltCurve_sp_Q69YN4_4_VIR_HUMAN_.pdf")</f>
        <v>Melting_Curves/meltCurve_sp_Q69YN4_4_VIR_HUMAN_.pdf</v>
      </c>
      <c r="AA1768" t="s">
        <v>12622</v>
      </c>
      <c r="AB1768" t="s">
        <v>16193</v>
      </c>
    </row>
    <row r="1769" spans="1:28" x14ac:dyDescent="0.25">
      <c r="A1769" t="s">
        <v>1773</v>
      </c>
      <c r="B1769">
        <v>0.98018197421672304</v>
      </c>
      <c r="C1769">
        <v>0.72115238240694501</v>
      </c>
      <c r="D1769">
        <v>0.85118380129381299</v>
      </c>
      <c r="E1769">
        <v>0.62055903738204399</v>
      </c>
      <c r="F1769">
        <v>0.46642437735138098</v>
      </c>
      <c r="G1769">
        <v>0.340520139016325</v>
      </c>
      <c r="H1769">
        <v>0.34933872535955801</v>
      </c>
      <c r="I1769">
        <v>0.28284441653588299</v>
      </c>
      <c r="J1769">
        <v>0.35779715039402499</v>
      </c>
      <c r="K1769">
        <v>0.37757372971318598</v>
      </c>
      <c r="L1769">
        <v>564.84427398820606</v>
      </c>
      <c r="M1769">
        <v>11.6755977409707</v>
      </c>
      <c r="N1769">
        <v>52.465449023180298</v>
      </c>
      <c r="O1769">
        <v>47.024364028763202</v>
      </c>
      <c r="P1769">
        <v>-4.3545830249925199E-2</v>
      </c>
      <c r="Q1769">
        <v>0.29865123877547001</v>
      </c>
      <c r="R1769">
        <v>0.913051253848981</v>
      </c>
      <c r="S1769" t="s">
        <v>5398</v>
      </c>
      <c r="T1769" t="s">
        <v>7256</v>
      </c>
      <c r="U1769" t="s">
        <v>7256</v>
      </c>
      <c r="V1769" t="s">
        <v>7256</v>
      </c>
      <c r="W1769">
        <v>2</v>
      </c>
      <c r="X1769" t="s">
        <v>9025</v>
      </c>
      <c r="Y1769">
        <v>0.52259090438683564</v>
      </c>
      <c r="Z1769" t="str">
        <f>HYPERLINK("Melting_Curves/meltCurve_sp_Q69YQ0_2_CYTSA_HUMAN_.pdf", "Melting_Curves/meltCurve_sp_Q69YQ0_2_CYTSA_HUMAN_.pdf")</f>
        <v>Melting_Curves/meltCurve_sp_Q69YQ0_2_CYTSA_HUMAN_.pdf</v>
      </c>
      <c r="AA1769" t="s">
        <v>12623</v>
      </c>
      <c r="AB1769" t="s">
        <v>16194</v>
      </c>
    </row>
    <row r="1770" spans="1:28" x14ac:dyDescent="0.25">
      <c r="A1770" t="s">
        <v>1774</v>
      </c>
      <c r="B1770">
        <v>0.98018197421672304</v>
      </c>
      <c r="C1770">
        <v>0.95938280550580302</v>
      </c>
      <c r="D1770">
        <v>0.78257003750668996</v>
      </c>
      <c r="E1770">
        <v>0.25194783168905699</v>
      </c>
      <c r="F1770">
        <v>0.17639504264327999</v>
      </c>
      <c r="G1770">
        <v>0.125881211018783</v>
      </c>
      <c r="H1770">
        <v>8.8738864297089506E-2</v>
      </c>
      <c r="I1770">
        <v>0.103332222202883</v>
      </c>
      <c r="J1770">
        <v>0.188915091970632</v>
      </c>
      <c r="K1770">
        <v>0.167124755168366</v>
      </c>
      <c r="L1770">
        <v>1632.15285453965</v>
      </c>
      <c r="M1770">
        <v>34.428858753832003</v>
      </c>
      <c r="N1770">
        <v>47.8492556170239</v>
      </c>
      <c r="O1770">
        <v>47.247452512286998</v>
      </c>
      <c r="P1770">
        <v>-0.15732581002952001</v>
      </c>
      <c r="Q1770">
        <v>0.13639708071024401</v>
      </c>
      <c r="R1770">
        <v>0.99316314994594601</v>
      </c>
      <c r="S1770" t="s">
        <v>5399</v>
      </c>
      <c r="T1770" t="s">
        <v>7256</v>
      </c>
      <c r="U1770" t="s">
        <v>7256</v>
      </c>
      <c r="V1770" t="s">
        <v>7256</v>
      </c>
      <c r="W1770">
        <v>3</v>
      </c>
      <c r="X1770" t="s">
        <v>9026</v>
      </c>
      <c r="Y1770">
        <v>0.35348461712148721</v>
      </c>
      <c r="Z1770" t="str">
        <f>HYPERLINK("Melting_Curves/meltCurve_sp_Q6A1A2_PDPK2_HUMAN_.pdf", "Melting_Curves/meltCurve_sp_Q6A1A2_PDPK2_HUMAN_.pdf")</f>
        <v>Melting_Curves/meltCurve_sp_Q6A1A2_PDPK2_HUMAN_.pdf</v>
      </c>
      <c r="AA1770" t="s">
        <v>12624</v>
      </c>
      <c r="AB1770" t="s">
        <v>16195</v>
      </c>
    </row>
    <row r="1771" spans="1:28" x14ac:dyDescent="0.25">
      <c r="A1771" t="s">
        <v>1775</v>
      </c>
      <c r="B1771">
        <v>0.98018197421672304</v>
      </c>
      <c r="C1771">
        <v>0.91276480533519599</v>
      </c>
      <c r="D1771">
        <v>0.81380531222280605</v>
      </c>
      <c r="E1771">
        <v>0.49577861555275199</v>
      </c>
      <c r="F1771">
        <v>0.28401702539349399</v>
      </c>
      <c r="G1771">
        <v>0.14262005203588701</v>
      </c>
      <c r="H1771">
        <v>9.3519702867705001E-2</v>
      </c>
      <c r="I1771">
        <v>8.6168726878713103E-2</v>
      </c>
      <c r="J1771">
        <v>8.5862521478063406E-2</v>
      </c>
      <c r="K1771">
        <v>0.108172087708371</v>
      </c>
      <c r="L1771">
        <v>886.51881022984605</v>
      </c>
      <c r="M1771">
        <v>17.9536045144078</v>
      </c>
      <c r="N1771">
        <v>49.844668668186699</v>
      </c>
      <c r="O1771">
        <v>48.777934435334501</v>
      </c>
      <c r="P1771">
        <v>-8.4907210162677799E-2</v>
      </c>
      <c r="Q1771">
        <v>7.7312437027598505E-2</v>
      </c>
      <c r="R1771">
        <v>0.99830182265545797</v>
      </c>
      <c r="S1771" t="s">
        <v>5400</v>
      </c>
      <c r="T1771" t="s">
        <v>7256</v>
      </c>
      <c r="U1771" t="s">
        <v>7256</v>
      </c>
      <c r="V1771" t="s">
        <v>7256</v>
      </c>
      <c r="W1771">
        <v>5</v>
      </c>
      <c r="X1771" t="s">
        <v>9027</v>
      </c>
      <c r="Y1771">
        <v>0.38171160120742292</v>
      </c>
      <c r="Z1771" t="str">
        <f>HYPERLINK("Melting_Curves/meltCurve_sp_Q6DD88_ATLA3_HUMAN_.pdf", "Melting_Curves/meltCurve_sp_Q6DD88_ATLA3_HUMAN_.pdf")</f>
        <v>Melting_Curves/meltCurve_sp_Q6DD88_ATLA3_HUMAN_.pdf</v>
      </c>
      <c r="AA1771" t="s">
        <v>12625</v>
      </c>
      <c r="AB1771" t="s">
        <v>16196</v>
      </c>
    </row>
    <row r="1772" spans="1:28" x14ac:dyDescent="0.25">
      <c r="A1772" t="s">
        <v>1776</v>
      </c>
      <c r="B1772">
        <v>0.98018197421672304</v>
      </c>
      <c r="C1772">
        <v>0.96435969646213704</v>
      </c>
      <c r="D1772">
        <v>0.82184457163410896</v>
      </c>
      <c r="E1772">
        <v>0.73033811886924904</v>
      </c>
      <c r="F1772">
        <v>0.55013052127727802</v>
      </c>
      <c r="G1772">
        <v>0.31846901256378701</v>
      </c>
      <c r="H1772">
        <v>0.28597338288511198</v>
      </c>
      <c r="I1772">
        <v>0.28310470975249302</v>
      </c>
      <c r="J1772">
        <v>0.34850181696546101</v>
      </c>
      <c r="K1772">
        <v>0.301316454019043</v>
      </c>
      <c r="L1772">
        <v>817.34986772790899</v>
      </c>
      <c r="M1772">
        <v>16.090482026030799</v>
      </c>
      <c r="N1772">
        <v>53.452944081972099</v>
      </c>
      <c r="O1772">
        <v>50.031926736460399</v>
      </c>
      <c r="P1772">
        <v>-5.8277939461588199E-2</v>
      </c>
      <c r="Q1772">
        <v>0.27521526640885202</v>
      </c>
      <c r="R1772">
        <v>0.97808744240451395</v>
      </c>
      <c r="S1772" t="s">
        <v>5401</v>
      </c>
      <c r="T1772" t="s">
        <v>7256</v>
      </c>
      <c r="U1772" t="s">
        <v>7256</v>
      </c>
      <c r="V1772" t="s">
        <v>7256</v>
      </c>
      <c r="W1772">
        <v>3</v>
      </c>
      <c r="X1772" t="s">
        <v>9028</v>
      </c>
      <c r="Y1772">
        <v>0.55101665523430887</v>
      </c>
      <c r="Z1772" t="str">
        <f>HYPERLINK("Melting_Curves/meltCurve_sp_Q6DN90_2_IQEC1_HUMAN_.pdf", "Melting_Curves/meltCurve_sp_Q6DN90_2_IQEC1_HUMAN_.pdf")</f>
        <v>Melting_Curves/meltCurve_sp_Q6DN90_2_IQEC1_HUMAN_.pdf</v>
      </c>
      <c r="AA1772" t="s">
        <v>12626</v>
      </c>
      <c r="AB1772" t="s">
        <v>16197</v>
      </c>
    </row>
    <row r="1773" spans="1:28" x14ac:dyDescent="0.25">
      <c r="A1773" t="s">
        <v>1777</v>
      </c>
      <c r="B1773">
        <v>0.98018197421672304</v>
      </c>
      <c r="C1773">
        <v>0.85887537270231795</v>
      </c>
      <c r="D1773">
        <v>0.53380520830317402</v>
      </c>
      <c r="E1773">
        <v>0.58358318371491502</v>
      </c>
      <c r="F1773">
        <v>0.52551442428134598</v>
      </c>
      <c r="G1773">
        <v>0.36659942643765497</v>
      </c>
      <c r="H1773">
        <v>0.280240838533315</v>
      </c>
      <c r="I1773">
        <v>0.194508187528174</v>
      </c>
      <c r="J1773">
        <v>0.41866589594262499</v>
      </c>
      <c r="K1773">
        <v>0.27340514117530701</v>
      </c>
      <c r="L1773">
        <v>511.60928096188599</v>
      </c>
      <c r="M1773">
        <v>10.8284151195032</v>
      </c>
      <c r="N1773">
        <v>50.872962652806002</v>
      </c>
      <c r="O1773">
        <v>45.721196583569899</v>
      </c>
      <c r="P1773">
        <v>-4.33024711165211E-2</v>
      </c>
      <c r="Q1773">
        <v>0.26891217349076202</v>
      </c>
      <c r="R1773">
        <v>0.87902494744972304</v>
      </c>
      <c r="S1773" t="s">
        <v>5402</v>
      </c>
      <c r="T1773" t="s">
        <v>7256</v>
      </c>
      <c r="U1773" t="s">
        <v>7256</v>
      </c>
      <c r="V1773" t="s">
        <v>7256</v>
      </c>
      <c r="W1773">
        <v>1</v>
      </c>
      <c r="X1773" t="s">
        <v>9029</v>
      </c>
      <c r="Y1773">
        <v>0.48161682253002053</v>
      </c>
      <c r="Z1773" t="str">
        <f>HYPERLINK("Melting_Curves/meltCurve_sp_Q6EMK4_VASN_HUMAN_.pdf", "Melting_Curves/meltCurve_sp_Q6EMK4_VASN_HUMAN_.pdf")</f>
        <v>Melting_Curves/meltCurve_sp_Q6EMK4_VASN_HUMAN_.pdf</v>
      </c>
      <c r="AA1773" t="s">
        <v>12627</v>
      </c>
      <c r="AB1773" t="s">
        <v>16198</v>
      </c>
    </row>
    <row r="1774" spans="1:28" x14ac:dyDescent="0.25">
      <c r="A1774" t="s">
        <v>1778</v>
      </c>
      <c r="B1774">
        <v>0.98018197421672304</v>
      </c>
      <c r="C1774">
        <v>0.94763066950761599</v>
      </c>
      <c r="D1774">
        <v>0.92109811206626402</v>
      </c>
      <c r="E1774">
        <v>0.77903254600122096</v>
      </c>
      <c r="F1774">
        <v>0.65167984082756603</v>
      </c>
      <c r="G1774">
        <v>0.41359008563923999</v>
      </c>
      <c r="H1774">
        <v>0.23971480914208099</v>
      </c>
      <c r="I1774">
        <v>0.219787243452228</v>
      </c>
      <c r="J1774">
        <v>0.213846302616085</v>
      </c>
      <c r="K1774">
        <v>0.25595917688452602</v>
      </c>
      <c r="L1774">
        <v>842.48048837411602</v>
      </c>
      <c r="M1774">
        <v>15.777492399237101</v>
      </c>
      <c r="N1774">
        <v>55.025087620797599</v>
      </c>
      <c r="O1774">
        <v>52.561855784519203</v>
      </c>
      <c r="P1774">
        <v>-6.1056018444050501E-2</v>
      </c>
      <c r="Q1774">
        <v>0.18644796576421199</v>
      </c>
      <c r="R1774">
        <v>0.99112682487997605</v>
      </c>
      <c r="S1774" t="s">
        <v>5403</v>
      </c>
      <c r="T1774" t="s">
        <v>7256</v>
      </c>
      <c r="U1774" t="s">
        <v>7256</v>
      </c>
      <c r="V1774" t="s">
        <v>7256</v>
      </c>
      <c r="W1774">
        <v>7</v>
      </c>
      <c r="X1774" t="s">
        <v>9030</v>
      </c>
      <c r="Y1774">
        <v>0.5658245552341008</v>
      </c>
      <c r="Z1774" t="str">
        <f>HYPERLINK("Melting_Curves/meltCurve_sp_Q6FI81_3_CPIN1_HUMAN_.pdf", "Melting_Curves/meltCurve_sp_Q6FI81_3_CPIN1_HUMAN_.pdf")</f>
        <v>Melting_Curves/meltCurve_sp_Q6FI81_3_CPIN1_HUMAN_.pdf</v>
      </c>
      <c r="AA1774" t="s">
        <v>12628</v>
      </c>
      <c r="AB1774" t="s">
        <v>16199</v>
      </c>
    </row>
    <row r="1775" spans="1:28" x14ac:dyDescent="0.25">
      <c r="A1775" t="s">
        <v>1779</v>
      </c>
      <c r="B1775">
        <v>0.98018197421672304</v>
      </c>
      <c r="C1775">
        <v>0.94717757570963701</v>
      </c>
      <c r="D1775">
        <v>0.84641514901345705</v>
      </c>
      <c r="E1775">
        <v>0.76263466414742898</v>
      </c>
      <c r="F1775">
        <v>0.62708032244720402</v>
      </c>
      <c r="G1775">
        <v>0.58781570662078297</v>
      </c>
      <c r="H1775">
        <v>0.44246093667199698</v>
      </c>
      <c r="I1775">
        <v>0.445657924408837</v>
      </c>
      <c r="J1775">
        <v>0.53466887728247903</v>
      </c>
      <c r="K1775">
        <v>0.57878697716032002</v>
      </c>
      <c r="L1775">
        <v>718.09184450988505</v>
      </c>
      <c r="M1775">
        <v>14.5094738548325</v>
      </c>
      <c r="O1775">
        <v>48.5796301429274</v>
      </c>
      <c r="P1775">
        <v>-3.7855843408685197E-2</v>
      </c>
      <c r="Q1775">
        <v>0.49307291627401101</v>
      </c>
      <c r="R1775">
        <v>0.94019353109896797</v>
      </c>
      <c r="S1775" t="s">
        <v>5404</v>
      </c>
      <c r="T1775" t="s">
        <v>7256</v>
      </c>
      <c r="U1775" t="s">
        <v>7256</v>
      </c>
      <c r="V1775" t="s">
        <v>7256</v>
      </c>
      <c r="W1775">
        <v>1</v>
      </c>
      <c r="X1775" t="s">
        <v>9031</v>
      </c>
      <c r="Y1775">
        <v>0.66651037092981269</v>
      </c>
      <c r="Z1775" t="str">
        <f>HYPERLINK("Melting_Curves/meltCurve_sp_Q6FIF0_2_ZFAN6_HUMAN_.pdf", "Melting_Curves/meltCurve_sp_Q6FIF0_2_ZFAN6_HUMAN_.pdf")</f>
        <v>Melting_Curves/meltCurve_sp_Q6FIF0_2_ZFAN6_HUMAN_.pdf</v>
      </c>
      <c r="AA1775" t="s">
        <v>12629</v>
      </c>
      <c r="AB1775" t="s">
        <v>16200</v>
      </c>
    </row>
    <row r="1776" spans="1:28" x14ac:dyDescent="0.25">
      <c r="A1776" t="s">
        <v>1780</v>
      </c>
      <c r="B1776">
        <v>0.98018197421672304</v>
      </c>
      <c r="C1776">
        <v>0.98201892115317801</v>
      </c>
      <c r="D1776">
        <v>0.83842803633862295</v>
      </c>
      <c r="E1776">
        <v>0.68339367421867603</v>
      </c>
      <c r="F1776">
        <v>0.51080107481719805</v>
      </c>
      <c r="G1776">
        <v>0.251993932684554</v>
      </c>
      <c r="H1776">
        <v>0.15679350677849599</v>
      </c>
      <c r="I1776">
        <v>9.9278788137597399E-2</v>
      </c>
      <c r="J1776">
        <v>0.29117649082208202</v>
      </c>
      <c r="K1776">
        <v>0.112469491266827</v>
      </c>
      <c r="L1776">
        <v>828.98586715561999</v>
      </c>
      <c r="M1776">
        <v>16.087267873876701</v>
      </c>
      <c r="N1776">
        <v>52.523767003125201</v>
      </c>
      <c r="O1776">
        <v>50.754029900380601</v>
      </c>
      <c r="P1776">
        <v>-6.8854267592954099E-2</v>
      </c>
      <c r="Q1776">
        <v>0.13114811051459499</v>
      </c>
      <c r="R1776">
        <v>0.97156133156373603</v>
      </c>
      <c r="S1776" t="s">
        <v>5405</v>
      </c>
      <c r="T1776" t="s">
        <v>7256</v>
      </c>
      <c r="U1776" t="s">
        <v>7256</v>
      </c>
      <c r="V1776" t="s">
        <v>7256</v>
      </c>
      <c r="W1776">
        <v>4</v>
      </c>
      <c r="X1776" t="s">
        <v>9032</v>
      </c>
      <c r="Y1776">
        <v>0.4827108033880419</v>
      </c>
      <c r="Z1776" t="str">
        <f>HYPERLINK("Melting_Curves/meltCurve_sp_Q6GMV2_SMYD5_HUMAN_.pdf", "Melting_Curves/meltCurve_sp_Q6GMV2_SMYD5_HUMAN_.pdf")</f>
        <v>Melting_Curves/meltCurve_sp_Q6GMV2_SMYD5_HUMAN_.pdf</v>
      </c>
      <c r="AA1776" t="s">
        <v>12630</v>
      </c>
      <c r="AB1776" t="s">
        <v>16201</v>
      </c>
    </row>
    <row r="1777" spans="1:28" x14ac:dyDescent="0.25">
      <c r="A1777" t="s">
        <v>1781</v>
      </c>
      <c r="B1777">
        <v>0.98018197421672304</v>
      </c>
      <c r="C1777">
        <v>1.05057954345506</v>
      </c>
      <c r="D1777">
        <v>0.92281546731604402</v>
      </c>
      <c r="E1777">
        <v>0.74939041903208703</v>
      </c>
      <c r="F1777">
        <v>0.74584269742953802</v>
      </c>
      <c r="G1777">
        <v>0.54031849626457495</v>
      </c>
      <c r="H1777">
        <v>0.34946057929450403</v>
      </c>
      <c r="I1777">
        <v>0.24935265748483201</v>
      </c>
      <c r="J1777">
        <v>0.21380401923180201</v>
      </c>
      <c r="K1777">
        <v>0.19478740181869</v>
      </c>
      <c r="L1777">
        <v>626.17201954277004</v>
      </c>
      <c r="M1777">
        <v>11.079377803151999</v>
      </c>
      <c r="N1777">
        <v>57.3936136466601</v>
      </c>
      <c r="O1777">
        <v>54.769396370420601</v>
      </c>
      <c r="P1777">
        <v>-4.6651136657747498E-2</v>
      </c>
      <c r="Q1777">
        <v>7.7848454002891795E-2</v>
      </c>
      <c r="R1777">
        <v>0.98450800128124205</v>
      </c>
      <c r="S1777" t="s">
        <v>5406</v>
      </c>
      <c r="T1777" t="s">
        <v>7256</v>
      </c>
      <c r="U1777" t="s">
        <v>7256</v>
      </c>
      <c r="V1777" t="s">
        <v>7256</v>
      </c>
      <c r="W1777">
        <v>6</v>
      </c>
      <c r="X1777" t="s">
        <v>9033</v>
      </c>
      <c r="Y1777">
        <v>0.60283513937761757</v>
      </c>
      <c r="Z1777" t="str">
        <f>HYPERLINK("Melting_Curves/meltCurve_sp_Q6GMV3_PTRD1_HUMAN_.pdf", "Melting_Curves/meltCurve_sp_Q6GMV3_PTRD1_HUMAN_.pdf")</f>
        <v>Melting_Curves/meltCurve_sp_Q6GMV3_PTRD1_HUMAN_.pdf</v>
      </c>
      <c r="AA1777" t="s">
        <v>12631</v>
      </c>
      <c r="AB1777" t="s">
        <v>16202</v>
      </c>
    </row>
    <row r="1778" spans="1:28" x14ac:dyDescent="0.25">
      <c r="A1778" t="s">
        <v>1782</v>
      </c>
      <c r="B1778">
        <v>0.98018197421672304</v>
      </c>
      <c r="C1778">
        <v>0.68895827282198696</v>
      </c>
      <c r="D1778">
        <v>0.87472051686248797</v>
      </c>
      <c r="E1778">
        <v>0.64148175723033296</v>
      </c>
      <c r="F1778">
        <v>0.602700320790169</v>
      </c>
      <c r="G1778">
        <v>0.41200789583945902</v>
      </c>
      <c r="H1778">
        <v>0.36240946853863298</v>
      </c>
      <c r="I1778">
        <v>0.32975711067854202</v>
      </c>
      <c r="J1778">
        <v>0.25789201561039199</v>
      </c>
      <c r="K1778">
        <v>0.60532545764577395</v>
      </c>
      <c r="L1778">
        <v>491.09142837562803</v>
      </c>
      <c r="M1778">
        <v>10.0982709649991</v>
      </c>
      <c r="N1778">
        <v>55.030024795031501</v>
      </c>
      <c r="O1778">
        <v>46.839661198938103</v>
      </c>
      <c r="P1778">
        <v>-3.5294526437143002E-2</v>
      </c>
      <c r="Q1778">
        <v>0.34546810217094298</v>
      </c>
      <c r="R1778">
        <v>0.74399538841942503</v>
      </c>
      <c r="S1778" t="s">
        <v>5407</v>
      </c>
      <c r="T1778" t="s">
        <v>7256</v>
      </c>
      <c r="U1778" t="s">
        <v>7256</v>
      </c>
      <c r="V1778" t="s">
        <v>7256</v>
      </c>
      <c r="W1778">
        <v>1</v>
      </c>
      <c r="X1778" t="s">
        <v>9034</v>
      </c>
      <c r="Y1778">
        <v>0.56627972008890393</v>
      </c>
      <c r="Z1778" t="str">
        <f>HYPERLINK("Melting_Curves/meltCurve_sp_Q6GQQ9_2_OTU7B_HUMAN_.pdf", "Melting_Curves/meltCurve_sp_Q6GQQ9_2_OTU7B_HUMAN_.pdf")</f>
        <v>Melting_Curves/meltCurve_sp_Q6GQQ9_2_OTU7B_HUMAN_.pdf</v>
      </c>
      <c r="AA1778" t="s">
        <v>12632</v>
      </c>
      <c r="AB1778" t="s">
        <v>16203</v>
      </c>
    </row>
    <row r="1779" spans="1:28" x14ac:dyDescent="0.25">
      <c r="A1779" t="s">
        <v>1783</v>
      </c>
      <c r="B1779">
        <v>0.98018197421672304</v>
      </c>
      <c r="C1779">
        <v>0.92747927161367705</v>
      </c>
      <c r="D1779">
        <v>0.85725882129810205</v>
      </c>
      <c r="E1779">
        <v>0.69217266781431896</v>
      </c>
      <c r="F1779">
        <v>0.48323898192798698</v>
      </c>
      <c r="G1779">
        <v>0.342303735071743</v>
      </c>
      <c r="H1779">
        <v>0.206000357728539</v>
      </c>
      <c r="I1779">
        <v>8.20630383508794E-2</v>
      </c>
      <c r="J1779">
        <v>0.10589239121864299</v>
      </c>
      <c r="K1779">
        <v>7.2317905607535607E-2</v>
      </c>
      <c r="L1779">
        <v>606.23151269069206</v>
      </c>
      <c r="M1779">
        <v>11.399674209251399</v>
      </c>
      <c r="N1779">
        <v>53.209815477789199</v>
      </c>
      <c r="O1779">
        <v>51.622116323123699</v>
      </c>
      <c r="P1779">
        <v>-5.5046077638877297E-2</v>
      </c>
      <c r="Q1779">
        <v>3.2133764545001198E-3</v>
      </c>
      <c r="R1779">
        <v>0.99617524562122495</v>
      </c>
      <c r="S1779" t="s">
        <v>5408</v>
      </c>
      <c r="T1779" t="s">
        <v>7256</v>
      </c>
      <c r="U1779" t="s">
        <v>7256</v>
      </c>
      <c r="V1779" t="s">
        <v>7256</v>
      </c>
      <c r="W1779">
        <v>4</v>
      </c>
      <c r="X1779" t="s">
        <v>9035</v>
      </c>
      <c r="Y1779">
        <v>0.47065492827215988</v>
      </c>
      <c r="Z1779" t="str">
        <f>HYPERLINK("Melting_Curves/meltCurve_sp_Q6IA69_NADE_HUMAN_.pdf", "Melting_Curves/meltCurve_sp_Q6IA69_NADE_HUMAN_.pdf")</f>
        <v>Melting_Curves/meltCurve_sp_Q6IA69_NADE_HUMAN_.pdf</v>
      </c>
      <c r="AA1779" t="s">
        <v>12633</v>
      </c>
      <c r="AB1779" t="s">
        <v>16204</v>
      </c>
    </row>
    <row r="1780" spans="1:28" x14ac:dyDescent="0.25">
      <c r="A1780" t="s">
        <v>1784</v>
      </c>
      <c r="B1780">
        <v>0.98018197421672304</v>
      </c>
      <c r="C1780">
        <v>1.0735353086848101</v>
      </c>
      <c r="D1780">
        <v>0.81241886228874405</v>
      </c>
      <c r="E1780">
        <v>0.61200127550788097</v>
      </c>
      <c r="F1780">
        <v>0.35243348056875801</v>
      </c>
      <c r="G1780">
        <v>0.143400100149432</v>
      </c>
      <c r="H1780">
        <v>7.2891367344070396E-2</v>
      </c>
      <c r="I1780">
        <v>4.2942777652548197E-2</v>
      </c>
      <c r="J1780">
        <v>4.6584836522042899E-2</v>
      </c>
      <c r="K1780">
        <v>2.4179348205280601E-2</v>
      </c>
      <c r="L1780">
        <v>909.66795935719097</v>
      </c>
      <c r="M1780">
        <v>17.844809564851001</v>
      </c>
      <c r="N1780">
        <v>51.105215037164598</v>
      </c>
      <c r="O1780">
        <v>50.349374332099899</v>
      </c>
      <c r="P1780">
        <v>-8.6663966976438106E-2</v>
      </c>
      <c r="Q1780">
        <v>2.1955758909718501E-2</v>
      </c>
      <c r="R1780">
        <v>0.98979444719835097</v>
      </c>
      <c r="S1780" t="s">
        <v>5409</v>
      </c>
      <c r="T1780" t="s">
        <v>7256</v>
      </c>
      <c r="U1780" t="s">
        <v>7256</v>
      </c>
      <c r="V1780" t="s">
        <v>7256</v>
      </c>
      <c r="W1780">
        <v>4</v>
      </c>
      <c r="X1780" t="s">
        <v>9036</v>
      </c>
      <c r="Y1780">
        <v>0.39655279968263918</v>
      </c>
      <c r="Z1780" t="str">
        <f>HYPERLINK("Melting_Curves/meltCurve_sp_Q6IA86_4_ELP2_HUMAN_.pdf", "Melting_Curves/meltCurve_sp_Q6IA86_4_ELP2_HUMAN_.pdf")</f>
        <v>Melting_Curves/meltCurve_sp_Q6IA86_4_ELP2_HUMAN_.pdf</v>
      </c>
      <c r="AA1780" t="s">
        <v>12634</v>
      </c>
      <c r="AB1780" t="s">
        <v>16205</v>
      </c>
    </row>
    <row r="1781" spans="1:28" x14ac:dyDescent="0.25">
      <c r="A1781" t="s">
        <v>1785</v>
      </c>
      <c r="B1781">
        <v>0.98018197421672304</v>
      </c>
      <c r="C1781">
        <v>0.88736813416510196</v>
      </c>
      <c r="D1781">
        <v>0.851253915316178</v>
      </c>
      <c r="E1781">
        <v>0.68005588907604797</v>
      </c>
      <c r="F1781">
        <v>0.32991014025007198</v>
      </c>
      <c r="G1781">
        <v>0.11183952407573999</v>
      </c>
      <c r="H1781">
        <v>5.3315520949029499E-2</v>
      </c>
      <c r="I1781">
        <v>3.5105846826026299E-2</v>
      </c>
      <c r="J1781">
        <v>3.4576950310259001E-2</v>
      </c>
      <c r="K1781">
        <v>2.2193372476314002E-2</v>
      </c>
      <c r="L1781">
        <v>933.36169634301496</v>
      </c>
      <c r="M1781">
        <v>18.213754895131402</v>
      </c>
      <c r="N1781">
        <v>51.276648241490001</v>
      </c>
      <c r="O1781">
        <v>50.639126801142403</v>
      </c>
      <c r="P1781">
        <v>-8.9419115800905793E-2</v>
      </c>
      <c r="Q1781">
        <v>5.6102718071940104E-3</v>
      </c>
      <c r="R1781">
        <v>0.98967102078067404</v>
      </c>
      <c r="S1781" t="s">
        <v>5410</v>
      </c>
      <c r="T1781" t="s">
        <v>7256</v>
      </c>
      <c r="U1781" t="s">
        <v>7256</v>
      </c>
      <c r="V1781" t="s">
        <v>7256</v>
      </c>
      <c r="W1781">
        <v>12</v>
      </c>
      <c r="X1781" t="s">
        <v>9037</v>
      </c>
      <c r="Y1781">
        <v>0.39469515072233208</v>
      </c>
      <c r="Z1781" t="str">
        <f>HYPERLINK("Melting_Curves/meltCurve_sp_Q6IB77_GLYAT_HUMAN_.pdf", "Melting_Curves/meltCurve_sp_Q6IB77_GLYAT_HUMAN_.pdf")</f>
        <v>Melting_Curves/meltCurve_sp_Q6IB77_GLYAT_HUMAN_.pdf</v>
      </c>
      <c r="AA1781" t="s">
        <v>12635</v>
      </c>
      <c r="AB1781" t="s">
        <v>16206</v>
      </c>
    </row>
    <row r="1782" spans="1:28" x14ac:dyDescent="0.25">
      <c r="A1782" t="s">
        <v>1786</v>
      </c>
      <c r="B1782">
        <v>0.98018197421672304</v>
      </c>
      <c r="C1782">
        <v>1.0644516357907501</v>
      </c>
      <c r="D1782">
        <v>0.86976158110707302</v>
      </c>
      <c r="E1782">
        <v>0.71076551196412696</v>
      </c>
      <c r="F1782">
        <v>0.49892948057651298</v>
      </c>
      <c r="G1782">
        <v>0.27914089162023098</v>
      </c>
      <c r="H1782">
        <v>0.159844018872877</v>
      </c>
      <c r="I1782">
        <v>0.13383883437451899</v>
      </c>
      <c r="J1782">
        <v>0.123708708998883</v>
      </c>
      <c r="K1782">
        <v>9.7789693674067396E-2</v>
      </c>
      <c r="L1782">
        <v>859.05167872229799</v>
      </c>
      <c r="M1782">
        <v>16.429141153220701</v>
      </c>
      <c r="N1782">
        <v>52.925648614559101</v>
      </c>
      <c r="O1782">
        <v>51.532034967063801</v>
      </c>
      <c r="P1782">
        <v>-7.2555065484454298E-2</v>
      </c>
      <c r="Q1782">
        <v>8.9752851240227097E-2</v>
      </c>
      <c r="R1782">
        <v>0.992345132380546</v>
      </c>
      <c r="S1782" t="s">
        <v>5411</v>
      </c>
      <c r="T1782" t="s">
        <v>7256</v>
      </c>
      <c r="U1782" t="s">
        <v>7256</v>
      </c>
      <c r="V1782" t="s">
        <v>7256</v>
      </c>
      <c r="W1782">
        <v>5</v>
      </c>
      <c r="X1782" t="s">
        <v>9038</v>
      </c>
      <c r="Y1782">
        <v>0.48010819437811059</v>
      </c>
      <c r="Z1782" t="str">
        <f>HYPERLINK("Melting_Curves/meltCurve_sp_Q6IBS0_TWF2_HUMAN_.pdf", "Melting_Curves/meltCurve_sp_Q6IBS0_TWF2_HUMAN_.pdf")</f>
        <v>Melting_Curves/meltCurve_sp_Q6IBS0_TWF2_HUMAN_.pdf</v>
      </c>
      <c r="AA1782" t="s">
        <v>12636</v>
      </c>
      <c r="AB1782" t="s">
        <v>16207</v>
      </c>
    </row>
    <row r="1783" spans="1:28" x14ac:dyDescent="0.25">
      <c r="A1783" t="s">
        <v>1787</v>
      </c>
      <c r="B1783">
        <v>0.98018197421672304</v>
      </c>
      <c r="C1783">
        <v>1.02546280321858</v>
      </c>
      <c r="D1783">
        <v>0.95636584593405605</v>
      </c>
      <c r="E1783">
        <v>0.73484414860915903</v>
      </c>
      <c r="F1783">
        <v>0.52401921837452503</v>
      </c>
      <c r="G1783">
        <v>0.433821465875604</v>
      </c>
      <c r="H1783">
        <v>0.50815564508117905</v>
      </c>
      <c r="I1783">
        <v>0.46430664545283201</v>
      </c>
      <c r="J1783">
        <v>0.69572244938330696</v>
      </c>
      <c r="K1783">
        <v>0.89516870154980799</v>
      </c>
      <c r="L1783">
        <v>12470.837396115799</v>
      </c>
      <c r="M1783">
        <v>250</v>
      </c>
      <c r="O1783">
        <v>49.880157978398699</v>
      </c>
      <c r="P1783">
        <v>-0.51765865840351</v>
      </c>
      <c r="Q1783">
        <v>0.58686567487082497</v>
      </c>
      <c r="R1783">
        <v>0.66916863112008995</v>
      </c>
      <c r="S1783" t="s">
        <v>5412</v>
      </c>
      <c r="T1783" t="s">
        <v>7256</v>
      </c>
      <c r="U1783" t="s">
        <v>7256</v>
      </c>
      <c r="V1783" t="s">
        <v>7256</v>
      </c>
      <c r="W1783">
        <v>1</v>
      </c>
      <c r="X1783" t="s">
        <v>9039</v>
      </c>
      <c r="Y1783">
        <v>0.72300687452940915</v>
      </c>
      <c r="Z1783" t="str">
        <f>HYPERLINK("Melting_Curves/meltCurve_sp_Q6IC98_GRAM4_HUMAN_.pdf", "Melting_Curves/meltCurve_sp_Q6IC98_GRAM4_HUMAN_.pdf")</f>
        <v>Melting_Curves/meltCurve_sp_Q6IC98_GRAM4_HUMAN_.pdf</v>
      </c>
      <c r="AA1783" t="s">
        <v>12637</v>
      </c>
      <c r="AB1783" t="s">
        <v>16208</v>
      </c>
    </row>
    <row r="1784" spans="1:28" x14ac:dyDescent="0.25">
      <c r="A1784" t="s">
        <v>1788</v>
      </c>
      <c r="B1784">
        <v>0.98018197421672304</v>
      </c>
      <c r="C1784">
        <v>0.94617232678571295</v>
      </c>
      <c r="D1784">
        <v>0.91560352555017599</v>
      </c>
      <c r="E1784">
        <v>0.741624111347718</v>
      </c>
      <c r="F1784">
        <v>0.53957608297836002</v>
      </c>
      <c r="G1784">
        <v>0.35892191040494598</v>
      </c>
      <c r="H1784">
        <v>0.184763057698834</v>
      </c>
      <c r="I1784">
        <v>0.15276754440425</v>
      </c>
      <c r="J1784">
        <v>0.215412089347293</v>
      </c>
      <c r="K1784">
        <v>0.131175954287399</v>
      </c>
      <c r="L1784">
        <v>803.25026126747503</v>
      </c>
      <c r="M1784">
        <v>15.234562910291</v>
      </c>
      <c r="N1784">
        <v>53.733283788259001</v>
      </c>
      <c r="O1784">
        <v>51.842087693933401</v>
      </c>
      <c r="P1784">
        <v>-6.4343082388277406E-2</v>
      </c>
      <c r="Q1784">
        <v>0.124264309920738</v>
      </c>
      <c r="R1784">
        <v>0.99344491094523302</v>
      </c>
      <c r="S1784" t="s">
        <v>5413</v>
      </c>
      <c r="T1784" t="s">
        <v>7256</v>
      </c>
      <c r="U1784" t="s">
        <v>7256</v>
      </c>
      <c r="V1784" t="s">
        <v>7256</v>
      </c>
      <c r="W1784">
        <v>3</v>
      </c>
      <c r="X1784" t="s">
        <v>9040</v>
      </c>
      <c r="Y1784">
        <v>0.5143741349078802</v>
      </c>
      <c r="Z1784" t="str">
        <f>HYPERLINK("Melting_Curves/meltCurve_sp_Q6IN85_2_P4R3A_HUMAN_.pdf", "Melting_Curves/meltCurve_sp_Q6IN85_2_P4R3A_HUMAN_.pdf")</f>
        <v>Melting_Curves/meltCurve_sp_Q6IN85_2_P4R3A_HUMAN_.pdf</v>
      </c>
      <c r="AA1784" t="s">
        <v>12638</v>
      </c>
      <c r="AB1784" t="s">
        <v>16209</v>
      </c>
    </row>
    <row r="1785" spans="1:28" x14ac:dyDescent="0.25">
      <c r="A1785" t="s">
        <v>1789</v>
      </c>
      <c r="B1785">
        <v>0.98018197421672304</v>
      </c>
      <c r="C1785">
        <v>1.0612694780455201</v>
      </c>
      <c r="D1785">
        <v>0.90674433066641202</v>
      </c>
      <c r="E1785">
        <v>0.61185167496245196</v>
      </c>
      <c r="F1785">
        <v>0.41663158270752598</v>
      </c>
      <c r="G1785">
        <v>0.168026794037724</v>
      </c>
      <c r="H1785">
        <v>8.1309059799289901E-2</v>
      </c>
      <c r="I1785">
        <v>6.1318514307483897E-2</v>
      </c>
      <c r="J1785">
        <v>6.5818765026479306E-2</v>
      </c>
      <c r="K1785">
        <v>5.6373282742132498E-2</v>
      </c>
      <c r="L1785">
        <v>987.10475018071395</v>
      </c>
      <c r="M1785">
        <v>19.221293022681099</v>
      </c>
      <c r="N1785">
        <v>51.624263428902999</v>
      </c>
      <c r="O1785">
        <v>50.808579604634801</v>
      </c>
      <c r="P1785">
        <v>-9.0065519194244006E-2</v>
      </c>
      <c r="Q1785">
        <v>4.7737958299411402E-2</v>
      </c>
      <c r="R1785">
        <v>0.99402680054732295</v>
      </c>
      <c r="S1785" t="s">
        <v>5414</v>
      </c>
      <c r="T1785" t="s">
        <v>7256</v>
      </c>
      <c r="U1785" t="s">
        <v>7256</v>
      </c>
      <c r="V1785" t="s">
        <v>7256</v>
      </c>
      <c r="W1785">
        <v>3</v>
      </c>
      <c r="X1785" t="s">
        <v>9041</v>
      </c>
      <c r="Y1785">
        <v>0.42236413981977639</v>
      </c>
      <c r="Z1785" t="str">
        <f>HYPERLINK("Melting_Curves/meltCurve_sp_Q6IPR1_LYRM5_HUMAN_.pdf", "Melting_Curves/meltCurve_sp_Q6IPR1_LYRM5_HUMAN_.pdf")</f>
        <v>Melting_Curves/meltCurve_sp_Q6IPR1_LYRM5_HUMAN_.pdf</v>
      </c>
      <c r="AA1785" t="s">
        <v>12639</v>
      </c>
      <c r="AB1785" t="s">
        <v>16210</v>
      </c>
    </row>
    <row r="1786" spans="1:28" x14ac:dyDescent="0.25">
      <c r="A1786" t="s">
        <v>1790</v>
      </c>
      <c r="B1786">
        <v>0.98018197421672304</v>
      </c>
      <c r="C1786">
        <v>0.84307884379498199</v>
      </c>
      <c r="D1786">
        <v>0.76013984147120095</v>
      </c>
      <c r="E1786">
        <v>0.678008607855623</v>
      </c>
      <c r="F1786">
        <v>0.39637874374816801</v>
      </c>
      <c r="G1786">
        <v>9.2204470285146597E-2</v>
      </c>
      <c r="H1786">
        <v>4.2175860533723498E-2</v>
      </c>
      <c r="I1786">
        <v>2.3048745757356499E-2</v>
      </c>
      <c r="J1786">
        <v>1.9387697895579401E-2</v>
      </c>
      <c r="K1786">
        <v>1.25835181200938E-2</v>
      </c>
      <c r="L1786">
        <v>764.76083251790601</v>
      </c>
      <c r="M1786">
        <v>14.9810050252769</v>
      </c>
      <c r="N1786">
        <v>51.048700169787899</v>
      </c>
      <c r="O1786">
        <v>50.165022234903397</v>
      </c>
      <c r="P1786">
        <v>-7.4666233216248698E-2</v>
      </c>
      <c r="Q1786">
        <v>0</v>
      </c>
      <c r="R1786">
        <v>0.97420551305838199</v>
      </c>
      <c r="S1786" t="s">
        <v>5415</v>
      </c>
      <c r="T1786" t="s">
        <v>7256</v>
      </c>
      <c r="U1786" t="s">
        <v>7256</v>
      </c>
      <c r="V1786" t="s">
        <v>7256</v>
      </c>
      <c r="W1786">
        <v>3</v>
      </c>
      <c r="X1786" t="s">
        <v>9042</v>
      </c>
      <c r="Y1786">
        <v>0.39140747115496999</v>
      </c>
      <c r="Z1786" t="str">
        <f>HYPERLINK("Melting_Curves/meltCurve_sp_Q6IQ22_RAB12_HUMAN_.pdf", "Melting_Curves/meltCurve_sp_Q6IQ22_RAB12_HUMAN_.pdf")</f>
        <v>Melting_Curves/meltCurve_sp_Q6IQ22_RAB12_HUMAN_.pdf</v>
      </c>
      <c r="AA1786" t="s">
        <v>12640</v>
      </c>
      <c r="AB1786" t="s">
        <v>16211</v>
      </c>
    </row>
    <row r="1787" spans="1:28" x14ac:dyDescent="0.25">
      <c r="A1787" t="s">
        <v>1791</v>
      </c>
      <c r="B1787">
        <v>0.98018197421672304</v>
      </c>
      <c r="C1787">
        <v>0.88580592155308402</v>
      </c>
      <c r="D1787">
        <v>0.88845282698180095</v>
      </c>
      <c r="E1787">
        <v>0.63579852568088902</v>
      </c>
      <c r="F1787">
        <v>0.53873768588964399</v>
      </c>
      <c r="G1787">
        <v>0.30865717879703403</v>
      </c>
      <c r="H1787">
        <v>0.28022718223123499</v>
      </c>
      <c r="I1787">
        <v>0.22351303916170601</v>
      </c>
      <c r="J1787">
        <v>0.35038186790027898</v>
      </c>
      <c r="K1787">
        <v>0.42896210218501801</v>
      </c>
      <c r="L1787">
        <v>888.61096927410597</v>
      </c>
      <c r="M1787">
        <v>17.832856070659599</v>
      </c>
      <c r="N1787">
        <v>52.596132784331303</v>
      </c>
      <c r="O1787">
        <v>49.216044597291003</v>
      </c>
      <c r="P1787">
        <v>-6.3025677954175602E-2</v>
      </c>
      <c r="Q1787">
        <v>0.30426941839531202</v>
      </c>
      <c r="R1787">
        <v>0.94264759511946905</v>
      </c>
      <c r="S1787" t="s">
        <v>5416</v>
      </c>
      <c r="T1787" t="s">
        <v>7256</v>
      </c>
      <c r="U1787" t="s">
        <v>7256</v>
      </c>
      <c r="V1787" t="s">
        <v>7256</v>
      </c>
      <c r="W1787">
        <v>6</v>
      </c>
      <c r="X1787" t="s">
        <v>9043</v>
      </c>
      <c r="Y1787">
        <v>0.5443425797154513</v>
      </c>
      <c r="Z1787" t="str">
        <f>HYPERLINK("Melting_Curves/meltCurve_sp_Q6IQ23_PKHA7_HUMAN_.pdf", "Melting_Curves/meltCurve_sp_Q6IQ23_PKHA7_HUMAN_.pdf")</f>
        <v>Melting_Curves/meltCurve_sp_Q6IQ23_PKHA7_HUMAN_.pdf</v>
      </c>
      <c r="AA1787" t="s">
        <v>12641</v>
      </c>
      <c r="AB1787" t="s">
        <v>16212</v>
      </c>
    </row>
    <row r="1788" spans="1:28" x14ac:dyDescent="0.25">
      <c r="A1788" t="s">
        <v>1792</v>
      </c>
      <c r="B1788">
        <v>0.98018197421672304</v>
      </c>
      <c r="C1788">
        <v>0.81898408091643904</v>
      </c>
      <c r="D1788">
        <v>0.51334584177163001</v>
      </c>
      <c r="E1788">
        <v>0.27944359778667599</v>
      </c>
      <c r="F1788">
        <v>0.165814581496038</v>
      </c>
      <c r="G1788">
        <v>9.0995498841401304E-2</v>
      </c>
      <c r="H1788">
        <v>5.3128301988044198E-2</v>
      </c>
      <c r="I1788">
        <v>3.9688277459731303E-2</v>
      </c>
      <c r="J1788">
        <v>3.56725402196039E-2</v>
      </c>
      <c r="K1788">
        <v>3.5530229528894702E-2</v>
      </c>
      <c r="L1788">
        <v>776.71840379072296</v>
      </c>
      <c r="M1788">
        <v>16.738950599267</v>
      </c>
      <c r="N1788">
        <v>46.630199218332997</v>
      </c>
      <c r="O1788">
        <v>45.7547709344488</v>
      </c>
      <c r="P1788">
        <v>-8.7867004930221093E-2</v>
      </c>
      <c r="Q1788">
        <v>3.9349420991760302E-2</v>
      </c>
      <c r="R1788">
        <v>0.99570000588346597</v>
      </c>
      <c r="S1788" t="s">
        <v>5417</v>
      </c>
      <c r="T1788" t="s">
        <v>7256</v>
      </c>
      <c r="U1788" t="s">
        <v>7256</v>
      </c>
      <c r="V1788" t="s">
        <v>7256</v>
      </c>
      <c r="W1788">
        <v>12</v>
      </c>
      <c r="X1788" t="s">
        <v>9044</v>
      </c>
      <c r="Y1788">
        <v>0.26585636101747112</v>
      </c>
      <c r="Z1788" t="str">
        <f>HYPERLINK("Melting_Curves/meltCurve_sp_Q6JQN1_ACD10_HUMAN_.pdf", "Melting_Curves/meltCurve_sp_Q6JQN1_ACD10_HUMAN_.pdf")</f>
        <v>Melting_Curves/meltCurve_sp_Q6JQN1_ACD10_HUMAN_.pdf</v>
      </c>
      <c r="AA1788" t="s">
        <v>12642</v>
      </c>
      <c r="AB1788" t="s">
        <v>16213</v>
      </c>
    </row>
    <row r="1789" spans="1:28" x14ac:dyDescent="0.25">
      <c r="A1789" t="s">
        <v>1793</v>
      </c>
      <c r="B1789">
        <v>0.98018197421672304</v>
      </c>
      <c r="C1789">
        <v>0.88393410252233595</v>
      </c>
      <c r="D1789">
        <v>0.76880113251195603</v>
      </c>
      <c r="E1789">
        <v>0.65920858298554397</v>
      </c>
      <c r="F1789">
        <v>0.53810842188877095</v>
      </c>
      <c r="G1789">
        <v>0.34601000122924402</v>
      </c>
      <c r="H1789">
        <v>0.17906145268073301</v>
      </c>
      <c r="I1789">
        <v>0.123882095900754</v>
      </c>
      <c r="J1789">
        <v>0.123873329104305</v>
      </c>
      <c r="K1789">
        <v>8.5254701791558599E-2</v>
      </c>
      <c r="L1789">
        <v>519.72485804565201</v>
      </c>
      <c r="M1789">
        <v>9.8149456464943192</v>
      </c>
      <c r="N1789">
        <v>52.952391243652798</v>
      </c>
      <c r="O1789">
        <v>50.894653843575298</v>
      </c>
      <c r="P1789">
        <v>-4.8237250077877901E-2</v>
      </c>
      <c r="Q1789">
        <v>0</v>
      </c>
      <c r="R1789">
        <v>0.99265743855199395</v>
      </c>
      <c r="S1789" t="s">
        <v>5418</v>
      </c>
      <c r="T1789" t="s">
        <v>7256</v>
      </c>
      <c r="U1789" t="s">
        <v>7256</v>
      </c>
      <c r="V1789" t="s">
        <v>7256</v>
      </c>
      <c r="W1789">
        <v>1</v>
      </c>
      <c r="X1789" t="s">
        <v>9045</v>
      </c>
      <c r="Y1789">
        <v>0.46672209349287308</v>
      </c>
      <c r="Z1789" t="str">
        <f>HYPERLINK("Melting_Curves/meltCurve_sp_Q6K0P9_4_IFIX_HUMAN_.pdf", "Melting_Curves/meltCurve_sp_Q6K0P9_4_IFIX_HUMAN_.pdf")</f>
        <v>Melting_Curves/meltCurve_sp_Q6K0P9_4_IFIX_HUMAN_.pdf</v>
      </c>
      <c r="AA1789" t="s">
        <v>12643</v>
      </c>
      <c r="AB1789" t="s">
        <v>16214</v>
      </c>
    </row>
    <row r="1790" spans="1:28" x14ac:dyDescent="0.25">
      <c r="A1790" t="s">
        <v>1794</v>
      </c>
      <c r="B1790">
        <v>0.98018197421672304</v>
      </c>
      <c r="C1790">
        <v>0.83701765694653696</v>
      </c>
      <c r="D1790">
        <v>0.85196071553271002</v>
      </c>
      <c r="E1790">
        <v>0.75407857405593504</v>
      </c>
      <c r="F1790">
        <v>0.61914390159606303</v>
      </c>
      <c r="G1790">
        <v>0.45780218635590098</v>
      </c>
      <c r="H1790">
        <v>0.30617016081285597</v>
      </c>
      <c r="I1790">
        <v>0.33248804825851003</v>
      </c>
      <c r="J1790">
        <v>0.36430485790137401</v>
      </c>
      <c r="K1790">
        <v>0.448728328071056</v>
      </c>
      <c r="L1790">
        <v>605.64501153880803</v>
      </c>
      <c r="M1790">
        <v>11.8741526763524</v>
      </c>
      <c r="N1790">
        <v>55.823035861251</v>
      </c>
      <c r="O1790">
        <v>49.623221744039597</v>
      </c>
      <c r="P1790">
        <v>-4.0655246955481401E-2</v>
      </c>
      <c r="Q1790">
        <v>0.32056201596775502</v>
      </c>
      <c r="R1790">
        <v>0.93380816159391999</v>
      </c>
      <c r="S1790" t="s">
        <v>5419</v>
      </c>
      <c r="T1790" t="s">
        <v>7256</v>
      </c>
      <c r="U1790" t="s">
        <v>7256</v>
      </c>
      <c r="V1790" t="s">
        <v>7256</v>
      </c>
      <c r="W1790">
        <v>3</v>
      </c>
      <c r="X1790" t="s">
        <v>9046</v>
      </c>
      <c r="Y1790">
        <v>0.59229747935899435</v>
      </c>
      <c r="Z1790" t="str">
        <f>HYPERLINK("Melting_Curves/meltCurve_sp_Q6N043_2_Z280D_HUMAN_.pdf", "Melting_Curves/meltCurve_sp_Q6N043_2_Z280D_HUMAN_.pdf")</f>
        <v>Melting_Curves/meltCurve_sp_Q6N043_2_Z280D_HUMAN_.pdf</v>
      </c>
      <c r="AA1790" t="s">
        <v>12644</v>
      </c>
      <c r="AB1790" t="s">
        <v>16215</v>
      </c>
    </row>
    <row r="1791" spans="1:28" x14ac:dyDescent="0.25">
      <c r="A1791" t="s">
        <v>1795</v>
      </c>
      <c r="B1791">
        <v>0.98018197421672304</v>
      </c>
      <c r="C1791">
        <v>0.86269657399952404</v>
      </c>
      <c r="D1791">
        <v>0.76385282843241498</v>
      </c>
      <c r="E1791">
        <v>0.421057584207643</v>
      </c>
      <c r="F1791">
        <v>0.21117979237496401</v>
      </c>
      <c r="G1791">
        <v>0.12465928162659699</v>
      </c>
      <c r="H1791">
        <v>0.149327028199015</v>
      </c>
      <c r="I1791">
        <v>8.6663799599867503E-2</v>
      </c>
      <c r="J1791">
        <v>0.13422078516622399</v>
      </c>
      <c r="K1791">
        <v>0.23918400283491401</v>
      </c>
      <c r="L1791">
        <v>970.49457401629104</v>
      </c>
      <c r="M1791">
        <v>20.250064097180299</v>
      </c>
      <c r="N1791">
        <v>48.679676897347598</v>
      </c>
      <c r="O1791">
        <v>47.4654754421082</v>
      </c>
      <c r="P1791">
        <v>-9.2299485895570202E-2</v>
      </c>
      <c r="Q1791">
        <v>0.13463914345882699</v>
      </c>
      <c r="R1791">
        <v>0.97944025011744495</v>
      </c>
      <c r="S1791" t="s">
        <v>5420</v>
      </c>
      <c r="T1791" t="s">
        <v>7256</v>
      </c>
      <c r="U1791" t="s">
        <v>7256</v>
      </c>
      <c r="V1791" t="s">
        <v>7256</v>
      </c>
      <c r="W1791">
        <v>3</v>
      </c>
      <c r="X1791" t="s">
        <v>9047</v>
      </c>
      <c r="Y1791">
        <v>0.37524919579748378</v>
      </c>
      <c r="Z1791" t="str">
        <f>HYPERLINK("Melting_Curves/meltCurve_sp_Q6N063_OGFD2_HUMAN_.pdf", "Melting_Curves/meltCurve_sp_Q6N063_OGFD2_HUMAN_.pdf")</f>
        <v>Melting_Curves/meltCurve_sp_Q6N063_OGFD2_HUMAN_.pdf</v>
      </c>
      <c r="AA1791" t="s">
        <v>12645</v>
      </c>
      <c r="AB1791" t="s">
        <v>16216</v>
      </c>
    </row>
    <row r="1792" spans="1:28" x14ac:dyDescent="0.25">
      <c r="A1792" t="s">
        <v>1796</v>
      </c>
      <c r="B1792">
        <v>0.98018197421672304</v>
      </c>
      <c r="C1792">
        <v>1.0122291452530401</v>
      </c>
      <c r="D1792">
        <v>0.93943193223695498</v>
      </c>
      <c r="E1792">
        <v>0.68717955976037604</v>
      </c>
      <c r="F1792">
        <v>0.4706701942739</v>
      </c>
      <c r="G1792">
        <v>0.27942302405453801</v>
      </c>
      <c r="H1792">
        <v>0.10967359207614</v>
      </c>
      <c r="I1792">
        <v>6.5439688287730002E-2</v>
      </c>
      <c r="J1792">
        <v>6.5622632760854005E-2</v>
      </c>
      <c r="K1792">
        <v>4.4448373081507501E-2</v>
      </c>
      <c r="L1792">
        <v>858.67857522917905</v>
      </c>
      <c r="M1792">
        <v>16.331650983663</v>
      </c>
      <c r="N1792">
        <v>52.775783621984502</v>
      </c>
      <c r="O1792">
        <v>51.808233925012502</v>
      </c>
      <c r="P1792">
        <v>-7.6469561361551502E-2</v>
      </c>
      <c r="Q1792">
        <v>2.9745066099762501E-2</v>
      </c>
      <c r="R1792">
        <v>0.99702242697114796</v>
      </c>
      <c r="S1792" t="s">
        <v>5421</v>
      </c>
      <c r="T1792" t="s">
        <v>7256</v>
      </c>
      <c r="U1792" t="s">
        <v>7256</v>
      </c>
      <c r="V1792" t="s">
        <v>7256</v>
      </c>
      <c r="W1792">
        <v>18</v>
      </c>
      <c r="X1792" t="s">
        <v>9048</v>
      </c>
      <c r="Y1792">
        <v>0.45522249607433979</v>
      </c>
      <c r="Z1792" t="str">
        <f>HYPERLINK("Melting_Curves/meltCurve_sp_Q6NUN0_ACSM5_HUMAN_.pdf", "Melting_Curves/meltCurve_sp_Q6NUN0_ACSM5_HUMAN_.pdf")</f>
        <v>Melting_Curves/meltCurve_sp_Q6NUN0_ACSM5_HUMAN_.pdf</v>
      </c>
      <c r="AA1792" t="s">
        <v>12646</v>
      </c>
      <c r="AB1792" t="s">
        <v>16217</v>
      </c>
    </row>
    <row r="1793" spans="1:28" x14ac:dyDescent="0.25">
      <c r="A1793" t="s">
        <v>1797</v>
      </c>
      <c r="B1793">
        <v>0.98018197421672304</v>
      </c>
      <c r="C1793">
        <v>0.92745772028149998</v>
      </c>
      <c r="D1793">
        <v>0.90577243059700097</v>
      </c>
      <c r="E1793">
        <v>0.844756597409974</v>
      </c>
      <c r="F1793">
        <v>0.93973875948951502</v>
      </c>
      <c r="G1793">
        <v>0.64995169967697097</v>
      </c>
      <c r="H1793">
        <v>0.51007782841771299</v>
      </c>
      <c r="I1793">
        <v>0.549413636187007</v>
      </c>
      <c r="J1793">
        <v>0.57449152755829203</v>
      </c>
      <c r="K1793">
        <v>0.90742365655866197</v>
      </c>
      <c r="L1793">
        <v>3072.2173774842699</v>
      </c>
      <c r="M1793">
        <v>56.560749918695699</v>
      </c>
      <c r="O1793">
        <v>54.249364267129401</v>
      </c>
      <c r="P1793">
        <v>-9.5471804294997603E-2</v>
      </c>
      <c r="Q1793">
        <v>0.633719083521608</v>
      </c>
      <c r="R1793">
        <v>0.54979561624239903</v>
      </c>
      <c r="S1793" t="s">
        <v>5422</v>
      </c>
      <c r="T1793" t="s">
        <v>7256</v>
      </c>
      <c r="U1793" t="s">
        <v>7256</v>
      </c>
      <c r="V1793" t="s">
        <v>7256</v>
      </c>
      <c r="W1793">
        <v>2</v>
      </c>
      <c r="X1793" t="s">
        <v>9049</v>
      </c>
      <c r="Y1793">
        <v>0.80920698483628828</v>
      </c>
      <c r="Z1793" t="str">
        <f>HYPERLINK("Melting_Curves/meltCurve_sp_Q6NUQ4_2_TM214_HUMAN_.pdf", "Melting_Curves/meltCurve_sp_Q6NUQ4_2_TM214_HUMAN_.pdf")</f>
        <v>Melting_Curves/meltCurve_sp_Q6NUQ4_2_TM214_HUMAN_.pdf</v>
      </c>
      <c r="AA1793" t="s">
        <v>12647</v>
      </c>
      <c r="AB1793" t="s">
        <v>16218</v>
      </c>
    </row>
    <row r="1794" spans="1:28" x14ac:dyDescent="0.25">
      <c r="A1794" t="s">
        <v>1798</v>
      </c>
      <c r="B1794">
        <v>0.98018197421672304</v>
      </c>
      <c r="C1794">
        <v>0.96476898176952297</v>
      </c>
      <c r="D1794">
        <v>1.0054021145580401</v>
      </c>
      <c r="E1794">
        <v>0.83429502812696199</v>
      </c>
      <c r="F1794">
        <v>0.60830223584458099</v>
      </c>
      <c r="G1794">
        <v>0.10693103126333001</v>
      </c>
      <c r="H1794">
        <v>5.5795756501570398E-2</v>
      </c>
      <c r="I1794">
        <v>4.2959452902229099E-2</v>
      </c>
      <c r="J1794">
        <v>4.5927277722218503E-2</v>
      </c>
      <c r="K1794">
        <v>3.52628043382033E-2</v>
      </c>
      <c r="L1794">
        <v>1625.86198083606</v>
      </c>
      <c r="M1794">
        <v>30.464949935967699</v>
      </c>
      <c r="N1794">
        <v>53.479508043085801</v>
      </c>
      <c r="O1794">
        <v>53.139911065113502</v>
      </c>
      <c r="P1794">
        <v>-0.13892529215455299</v>
      </c>
      <c r="Q1794">
        <v>3.0698236242965499E-2</v>
      </c>
      <c r="R1794">
        <v>0.99505987810283802</v>
      </c>
      <c r="S1794" t="s">
        <v>5423</v>
      </c>
      <c r="T1794" t="s">
        <v>7256</v>
      </c>
      <c r="U1794" t="s">
        <v>7256</v>
      </c>
      <c r="V1794" t="s">
        <v>7256</v>
      </c>
      <c r="W1794">
        <v>23</v>
      </c>
      <c r="X1794" t="s">
        <v>9050</v>
      </c>
      <c r="Y1794">
        <v>0.46875886509744541</v>
      </c>
      <c r="Z1794" t="str">
        <f>HYPERLINK("Melting_Curves/meltCurve_sp_Q6NVY1_HIBCH_HUMAN_.pdf", "Melting_Curves/meltCurve_sp_Q6NVY1_HIBCH_HUMAN_.pdf")</f>
        <v>Melting_Curves/meltCurve_sp_Q6NVY1_HIBCH_HUMAN_.pdf</v>
      </c>
      <c r="AA1794" t="s">
        <v>12648</v>
      </c>
      <c r="AB1794" t="s">
        <v>16219</v>
      </c>
    </row>
    <row r="1795" spans="1:28" x14ac:dyDescent="0.25">
      <c r="A1795" t="s">
        <v>1799</v>
      </c>
      <c r="B1795">
        <v>0.98018197421672304</v>
      </c>
      <c r="C1795">
        <v>0.85360104733688902</v>
      </c>
      <c r="D1795">
        <v>0.80726997364701003</v>
      </c>
      <c r="E1795">
        <v>0.68586719865281498</v>
      </c>
      <c r="F1795">
        <v>0.50672949777569998</v>
      </c>
      <c r="G1795">
        <v>0.27186765977060301</v>
      </c>
      <c r="H1795">
        <v>0.22797576713554399</v>
      </c>
      <c r="I1795">
        <v>0.17875672879538301</v>
      </c>
      <c r="J1795">
        <v>0.27257122499602598</v>
      </c>
      <c r="K1795">
        <v>0.21999186726324099</v>
      </c>
      <c r="L1795">
        <v>640.84690637604797</v>
      </c>
      <c r="M1795">
        <v>12.613832335669001</v>
      </c>
      <c r="N1795">
        <v>52.5178805097298</v>
      </c>
      <c r="O1795">
        <v>49.578909459186299</v>
      </c>
      <c r="P1795">
        <v>-5.2889514954594999E-2</v>
      </c>
      <c r="Q1795">
        <v>0.16863214238284299</v>
      </c>
      <c r="R1795">
        <v>0.97344149567115801</v>
      </c>
      <c r="S1795" t="s">
        <v>5424</v>
      </c>
      <c r="T1795" t="s">
        <v>7256</v>
      </c>
      <c r="U1795" t="s">
        <v>7256</v>
      </c>
      <c r="V1795" t="s">
        <v>7256</v>
      </c>
      <c r="W1795">
        <v>2</v>
      </c>
      <c r="X1795" t="s">
        <v>9051</v>
      </c>
      <c r="Y1795">
        <v>0.49354492489790719</v>
      </c>
      <c r="Z1795" t="str">
        <f>HYPERLINK("Melting_Curves/meltCurve_sp_Q6NYC8_PPR18_HUMAN_.pdf", "Melting_Curves/meltCurve_sp_Q6NYC8_PPR18_HUMAN_.pdf")</f>
        <v>Melting_Curves/meltCurve_sp_Q6NYC8_PPR18_HUMAN_.pdf</v>
      </c>
      <c r="AA1795" t="s">
        <v>12649</v>
      </c>
      <c r="AB1795" t="s">
        <v>16220</v>
      </c>
    </row>
    <row r="1796" spans="1:28" x14ac:dyDescent="0.25">
      <c r="A1796" t="s">
        <v>1800</v>
      </c>
      <c r="B1796">
        <v>0.98018197421672304</v>
      </c>
      <c r="C1796">
        <v>0.97238261094110701</v>
      </c>
      <c r="D1796">
        <v>0.92805090712288196</v>
      </c>
      <c r="E1796">
        <v>0.77042490108288197</v>
      </c>
      <c r="F1796">
        <v>0.51145135246057105</v>
      </c>
      <c r="G1796">
        <v>0.25016275874343002</v>
      </c>
      <c r="H1796">
        <v>0.19683321794981401</v>
      </c>
      <c r="I1796">
        <v>0.19954568868960099</v>
      </c>
      <c r="J1796">
        <v>0.227653336051235</v>
      </c>
      <c r="K1796">
        <v>0.294724044477368</v>
      </c>
      <c r="L1796">
        <v>1341.02059918647</v>
      </c>
      <c r="M1796">
        <v>25.942371201975</v>
      </c>
      <c r="N1796">
        <v>52.871617667029298</v>
      </c>
      <c r="O1796">
        <v>51.388068241294398</v>
      </c>
      <c r="P1796">
        <v>-9.8484323238929999E-2</v>
      </c>
      <c r="Q1796">
        <v>0.21967651968452201</v>
      </c>
      <c r="R1796">
        <v>0.98878520521316904</v>
      </c>
      <c r="S1796" t="s">
        <v>5425</v>
      </c>
      <c r="T1796" t="s">
        <v>7256</v>
      </c>
      <c r="U1796" t="s">
        <v>7256</v>
      </c>
      <c r="V1796" t="s">
        <v>7256</v>
      </c>
      <c r="W1796">
        <v>5</v>
      </c>
      <c r="X1796" t="s">
        <v>9052</v>
      </c>
      <c r="Y1796">
        <v>0.53041063185542858</v>
      </c>
      <c r="Z1796" t="str">
        <f>HYPERLINK("Melting_Curves/meltCurve_sp_Q6NZY4_ZCHC8_HUMAN_.pdf", "Melting_Curves/meltCurve_sp_Q6NZY4_ZCHC8_HUMAN_.pdf")</f>
        <v>Melting_Curves/meltCurve_sp_Q6NZY4_ZCHC8_HUMAN_.pdf</v>
      </c>
      <c r="AA1796" t="s">
        <v>12650</v>
      </c>
      <c r="AB1796" t="s">
        <v>16221</v>
      </c>
    </row>
    <row r="1797" spans="1:28" x14ac:dyDescent="0.25">
      <c r="A1797" t="s">
        <v>1801</v>
      </c>
      <c r="B1797">
        <v>0.98018197421672304</v>
      </c>
      <c r="C1797">
        <v>0.99062211580787896</v>
      </c>
      <c r="D1797">
        <v>0.84581085551943602</v>
      </c>
      <c r="E1797">
        <v>0.56892046320857004</v>
      </c>
      <c r="F1797">
        <v>0.29939245659942698</v>
      </c>
      <c r="G1797">
        <v>0.151126282110742</v>
      </c>
      <c r="H1797">
        <v>0.134868360622342</v>
      </c>
      <c r="I1797">
        <v>0.13231581696169101</v>
      </c>
      <c r="J1797">
        <v>0.21492551947185101</v>
      </c>
      <c r="K1797">
        <v>0.13297739313684601</v>
      </c>
      <c r="L1797">
        <v>1125.63389931549</v>
      </c>
      <c r="M1797">
        <v>22.654162066840701</v>
      </c>
      <c r="N1797">
        <v>50.425478965547903</v>
      </c>
      <c r="O1797">
        <v>49.305417743393697</v>
      </c>
      <c r="P1797">
        <v>-9.8666308992037294E-2</v>
      </c>
      <c r="Q1797">
        <v>0.14105198536931199</v>
      </c>
      <c r="R1797">
        <v>0.99219732376541303</v>
      </c>
      <c r="S1797" t="s">
        <v>5426</v>
      </c>
      <c r="T1797" t="s">
        <v>7256</v>
      </c>
      <c r="U1797" t="s">
        <v>7256</v>
      </c>
      <c r="V1797" t="s">
        <v>7256</v>
      </c>
      <c r="W1797">
        <v>5</v>
      </c>
      <c r="X1797" t="s">
        <v>9053</v>
      </c>
      <c r="Y1797">
        <v>0.42776555274602007</v>
      </c>
      <c r="Z1797" t="str">
        <f>HYPERLINK("Melting_Curves/meltCurve_sp_Q6P1N0_2_C2D1A_HUMAN_.pdf", "Melting_Curves/meltCurve_sp_Q6P1N0_2_C2D1A_HUMAN_.pdf")</f>
        <v>Melting_Curves/meltCurve_sp_Q6P1N0_2_C2D1A_HUMAN_.pdf</v>
      </c>
      <c r="AA1797" t="s">
        <v>12651</v>
      </c>
      <c r="AB1797" t="s">
        <v>16222</v>
      </c>
    </row>
    <row r="1798" spans="1:28" x14ac:dyDescent="0.25">
      <c r="A1798" t="s">
        <v>1802</v>
      </c>
      <c r="B1798">
        <v>0.98018197421672304</v>
      </c>
      <c r="C1798">
        <v>0.96842067073111704</v>
      </c>
      <c r="D1798">
        <v>0.86672382036982398</v>
      </c>
      <c r="E1798">
        <v>0.73456655339652799</v>
      </c>
      <c r="F1798">
        <v>0.68019179085524395</v>
      </c>
      <c r="G1798">
        <v>0.53987309548378104</v>
      </c>
      <c r="H1798">
        <v>0.27465839051292801</v>
      </c>
      <c r="I1798">
        <v>0.103821277638108</v>
      </c>
      <c r="J1798">
        <v>9.1940685879342704E-2</v>
      </c>
      <c r="K1798">
        <v>5.9470999994410599E-2</v>
      </c>
      <c r="L1798">
        <v>659.750477881238</v>
      </c>
      <c r="M1798">
        <v>11.812949726467901</v>
      </c>
      <c r="N1798">
        <v>55.849776275122899</v>
      </c>
      <c r="O1798">
        <v>54.321370350017602</v>
      </c>
      <c r="P1798">
        <v>-5.4379961535766297E-2</v>
      </c>
      <c r="Q1798">
        <v>0</v>
      </c>
      <c r="R1798">
        <v>0.97885871140997505</v>
      </c>
      <c r="S1798" t="s">
        <v>5427</v>
      </c>
      <c r="T1798" t="s">
        <v>7256</v>
      </c>
      <c r="U1798" t="s">
        <v>7256</v>
      </c>
      <c r="V1798" t="s">
        <v>7256</v>
      </c>
      <c r="W1798">
        <v>9</v>
      </c>
      <c r="X1798" t="s">
        <v>9054</v>
      </c>
      <c r="Y1798">
        <v>0.54933929832160266</v>
      </c>
      <c r="Z1798" t="str">
        <f>HYPERLINK("Melting_Curves/meltCurve_sp_Q6P1N9_TATD1_HUMAN_.pdf", "Melting_Curves/meltCurve_sp_Q6P1N9_TATD1_HUMAN_.pdf")</f>
        <v>Melting_Curves/meltCurve_sp_Q6P1N9_TATD1_HUMAN_.pdf</v>
      </c>
      <c r="AA1798" t="s">
        <v>12652</v>
      </c>
      <c r="AB1798" t="s">
        <v>16223</v>
      </c>
    </row>
    <row r="1799" spans="1:28" x14ac:dyDescent="0.25">
      <c r="A1799" t="s">
        <v>1803</v>
      </c>
      <c r="B1799">
        <v>0.98018197421672304</v>
      </c>
      <c r="C1799">
        <v>1.01671866951961</v>
      </c>
      <c r="D1799">
        <v>0.96303327766793501</v>
      </c>
      <c r="E1799">
        <v>0.81083575682359699</v>
      </c>
      <c r="F1799">
        <v>0.74049866546348797</v>
      </c>
      <c r="G1799">
        <v>0.42380798823582699</v>
      </c>
      <c r="H1799">
        <v>0.134682722886768</v>
      </c>
      <c r="I1799">
        <v>6.83591731068669E-2</v>
      </c>
      <c r="J1799">
        <v>6.6502525610537197E-2</v>
      </c>
      <c r="K1799">
        <v>6.1212914522138701E-2</v>
      </c>
      <c r="L1799">
        <v>971.70436488129803</v>
      </c>
      <c r="M1799">
        <v>17.4820944894972</v>
      </c>
      <c r="N1799">
        <v>55.615235224620598</v>
      </c>
      <c r="O1799">
        <v>54.870847061008497</v>
      </c>
      <c r="P1799">
        <v>-7.9251951147942201E-2</v>
      </c>
      <c r="Q1799">
        <v>5.0663623470151298E-3</v>
      </c>
      <c r="R1799">
        <v>0.99281429530339405</v>
      </c>
      <c r="S1799" t="s">
        <v>5428</v>
      </c>
      <c r="T1799" t="s">
        <v>7256</v>
      </c>
      <c r="U1799" t="s">
        <v>7256</v>
      </c>
      <c r="V1799" t="s">
        <v>7256</v>
      </c>
      <c r="W1799">
        <v>5</v>
      </c>
      <c r="X1799" t="s">
        <v>9055</v>
      </c>
      <c r="Y1799">
        <v>0.53740466749831861</v>
      </c>
      <c r="Z1799" t="str">
        <f>HYPERLINK("Melting_Curves/meltCurve_sp_Q6P1X6_CH082_HUMAN_.pdf", "Melting_Curves/meltCurve_sp_Q6P1X6_CH082_HUMAN_.pdf")</f>
        <v>Melting_Curves/meltCurve_sp_Q6P1X6_CH082_HUMAN_.pdf</v>
      </c>
      <c r="AA1799" t="s">
        <v>12653</v>
      </c>
      <c r="AB1799" t="s">
        <v>16224</v>
      </c>
    </row>
    <row r="1800" spans="1:28" x14ac:dyDescent="0.25">
      <c r="A1800" t="s">
        <v>1804</v>
      </c>
      <c r="B1800">
        <v>0.98018197421672304</v>
      </c>
      <c r="C1800">
        <v>0.843649708741674</v>
      </c>
      <c r="D1800">
        <v>0.70236999326676997</v>
      </c>
      <c r="E1800">
        <v>0.70654093865316003</v>
      </c>
      <c r="F1800">
        <v>0.65135302993657096</v>
      </c>
      <c r="G1800">
        <v>0.474625326452984</v>
      </c>
      <c r="H1800">
        <v>0.39202906752859301</v>
      </c>
      <c r="I1800">
        <v>0.39258043705041401</v>
      </c>
      <c r="J1800">
        <v>0.444924962558846</v>
      </c>
      <c r="K1800">
        <v>0.70547663451651899</v>
      </c>
      <c r="L1800">
        <v>569.44231916546403</v>
      </c>
      <c r="M1800">
        <v>12.2013631645569</v>
      </c>
      <c r="N1800">
        <v>62.328562868098999</v>
      </c>
      <c r="O1800">
        <v>45.469830193079197</v>
      </c>
      <c r="P1800">
        <v>-3.5114938255657799E-2</v>
      </c>
      <c r="Q1800">
        <v>0.47667831066042698</v>
      </c>
      <c r="R1800">
        <v>0.74025405382408804</v>
      </c>
      <c r="S1800" t="s">
        <v>5429</v>
      </c>
      <c r="T1800" t="s">
        <v>7256</v>
      </c>
      <c r="U1800" t="s">
        <v>7256</v>
      </c>
      <c r="V1800" t="s">
        <v>7256</v>
      </c>
      <c r="W1800">
        <v>1</v>
      </c>
      <c r="X1800" t="s">
        <v>9056</v>
      </c>
      <c r="Y1800">
        <v>0.61488469713683835</v>
      </c>
      <c r="Z1800" t="str">
        <f>HYPERLINK("Melting_Curves/meltCurve_sp_Q6P2E9_EDC4_HUMAN_.pdf", "Melting_Curves/meltCurve_sp_Q6P2E9_EDC4_HUMAN_.pdf")</f>
        <v>Melting_Curves/meltCurve_sp_Q6P2E9_EDC4_HUMAN_.pdf</v>
      </c>
      <c r="AA1800" t="s">
        <v>12654</v>
      </c>
      <c r="AB1800" t="s">
        <v>16225</v>
      </c>
    </row>
    <row r="1801" spans="1:28" x14ac:dyDescent="0.25">
      <c r="A1801" t="s">
        <v>1805</v>
      </c>
      <c r="B1801">
        <v>0.98018197421672304</v>
      </c>
      <c r="C1801">
        <v>0.83759664660878896</v>
      </c>
      <c r="D1801">
        <v>0.83767961027100002</v>
      </c>
      <c r="E1801">
        <v>0.62018670837309098</v>
      </c>
      <c r="F1801">
        <v>0.35492033179682803</v>
      </c>
      <c r="G1801">
        <v>0.24102854413740901</v>
      </c>
      <c r="H1801">
        <v>0.12334681402233499</v>
      </c>
      <c r="I1801">
        <v>0.13867943161506699</v>
      </c>
      <c r="J1801">
        <v>5.8531165744382802E-2</v>
      </c>
      <c r="K1801">
        <v>0.219320596975661</v>
      </c>
      <c r="L1801">
        <v>738.863302469053</v>
      </c>
      <c r="M1801">
        <v>14.698551319929599</v>
      </c>
      <c r="N1801">
        <v>51.063017783644298</v>
      </c>
      <c r="O1801">
        <v>49.364814799171597</v>
      </c>
      <c r="P1801">
        <v>-6.6830524106879896E-2</v>
      </c>
      <c r="Q1801">
        <v>0.102301782685214</v>
      </c>
      <c r="R1801">
        <v>0.97191046353022503</v>
      </c>
      <c r="S1801" t="s">
        <v>5430</v>
      </c>
      <c r="T1801" t="s">
        <v>7256</v>
      </c>
      <c r="U1801" t="s">
        <v>7256</v>
      </c>
      <c r="V1801" t="s">
        <v>7256</v>
      </c>
      <c r="W1801">
        <v>1</v>
      </c>
      <c r="X1801" t="s">
        <v>9057</v>
      </c>
      <c r="Y1801">
        <v>0.43153079465212341</v>
      </c>
      <c r="Z1801" t="str">
        <f>HYPERLINK("Melting_Curves/meltCurve_sp_Q6P2P2_ANM10_HUMAN_.pdf", "Melting_Curves/meltCurve_sp_Q6P2P2_ANM10_HUMAN_.pdf")</f>
        <v>Melting_Curves/meltCurve_sp_Q6P2P2_ANM10_HUMAN_.pdf</v>
      </c>
      <c r="AA1801" t="s">
        <v>12655</v>
      </c>
      <c r="AB1801" t="s">
        <v>16226</v>
      </c>
    </row>
    <row r="1802" spans="1:28" x14ac:dyDescent="0.25">
      <c r="A1802" t="s">
        <v>1806</v>
      </c>
      <c r="B1802">
        <v>0.98018197421672304</v>
      </c>
      <c r="C1802">
        <v>1.01864911918809</v>
      </c>
      <c r="D1802">
        <v>0.87586090746768397</v>
      </c>
      <c r="E1802">
        <v>0.55715020810691596</v>
      </c>
      <c r="F1802">
        <v>0.236176894985443</v>
      </c>
      <c r="G1802">
        <v>0.108997658566415</v>
      </c>
      <c r="H1802">
        <v>7.0293786082753898E-2</v>
      </c>
      <c r="I1802">
        <v>5.2157231142780203E-2</v>
      </c>
      <c r="J1802">
        <v>2.5474682379498799E-2</v>
      </c>
      <c r="K1802">
        <v>1.2524729920139E-2</v>
      </c>
      <c r="L1802">
        <v>1149.0253173993699</v>
      </c>
      <c r="M1802">
        <v>22.876933755834301</v>
      </c>
      <c r="N1802">
        <v>50.380669759230599</v>
      </c>
      <c r="O1802">
        <v>49.847307053212297</v>
      </c>
      <c r="P1802">
        <v>-0.11085529160734101</v>
      </c>
      <c r="Q1802">
        <v>3.3833424293806098E-2</v>
      </c>
      <c r="R1802">
        <v>0.99738832453548298</v>
      </c>
      <c r="S1802" t="s">
        <v>5431</v>
      </c>
      <c r="T1802" t="s">
        <v>7256</v>
      </c>
      <c r="U1802" t="s">
        <v>7256</v>
      </c>
      <c r="V1802" t="s">
        <v>7256</v>
      </c>
      <c r="W1802">
        <v>8</v>
      </c>
      <c r="X1802" t="s">
        <v>9058</v>
      </c>
      <c r="Y1802">
        <v>0.37350820376879351</v>
      </c>
      <c r="Z1802" t="str">
        <f>HYPERLINK("Melting_Curves/meltCurve_sp_Q6P2Q9_PRP8_HUMAN_.pdf", "Melting_Curves/meltCurve_sp_Q6P2Q9_PRP8_HUMAN_.pdf")</f>
        <v>Melting_Curves/meltCurve_sp_Q6P2Q9_PRP8_HUMAN_.pdf</v>
      </c>
      <c r="AA1802" t="s">
        <v>12656</v>
      </c>
      <c r="AB1802" t="s">
        <v>16227</v>
      </c>
    </row>
    <row r="1803" spans="1:28" x14ac:dyDescent="0.25">
      <c r="A1803" t="s">
        <v>1807</v>
      </c>
      <c r="B1803">
        <v>0.98018197421672304</v>
      </c>
      <c r="C1803">
        <v>0.90246823588194303</v>
      </c>
      <c r="D1803">
        <v>0.84087193272731098</v>
      </c>
      <c r="E1803">
        <v>0.66926038595568504</v>
      </c>
      <c r="F1803">
        <v>0.51874253203368803</v>
      </c>
      <c r="G1803">
        <v>0.37673451584137602</v>
      </c>
      <c r="H1803">
        <v>0.30246775928451602</v>
      </c>
      <c r="I1803">
        <v>0.25374122144297401</v>
      </c>
      <c r="J1803">
        <v>0.23295776434941201</v>
      </c>
      <c r="K1803">
        <v>0.14300108340470899</v>
      </c>
      <c r="L1803">
        <v>533.81560014867705</v>
      </c>
      <c r="M1803">
        <v>10.1882266798097</v>
      </c>
      <c r="N1803">
        <v>53.834378196936903</v>
      </c>
      <c r="O1803">
        <v>50.497047001277302</v>
      </c>
      <c r="P1803">
        <v>-4.44473170551795E-2</v>
      </c>
      <c r="Q1803">
        <v>0.119202270982621</v>
      </c>
      <c r="R1803">
        <v>0.99561750132774796</v>
      </c>
      <c r="S1803" t="s">
        <v>5432</v>
      </c>
      <c r="T1803" t="s">
        <v>7256</v>
      </c>
      <c r="U1803" t="s">
        <v>7256</v>
      </c>
      <c r="V1803" t="s">
        <v>7256</v>
      </c>
      <c r="W1803">
        <v>4</v>
      </c>
      <c r="X1803" t="s">
        <v>9059</v>
      </c>
      <c r="Y1803">
        <v>0.51467201433467646</v>
      </c>
      <c r="Z1803" t="str">
        <f>HYPERLINK("Melting_Curves/meltCurve_sp_Q6P4A8_PLBL1_HUMAN_.pdf", "Melting_Curves/meltCurve_sp_Q6P4A8_PLBL1_HUMAN_.pdf")</f>
        <v>Melting_Curves/meltCurve_sp_Q6P4A8_PLBL1_HUMAN_.pdf</v>
      </c>
      <c r="AA1803" t="s">
        <v>12657</v>
      </c>
      <c r="AB1803" t="s">
        <v>16228</v>
      </c>
    </row>
    <row r="1804" spans="1:28" x14ac:dyDescent="0.25">
      <c r="A1804" t="s">
        <v>1808</v>
      </c>
      <c r="B1804">
        <v>0.98018197421672304</v>
      </c>
      <c r="C1804">
        <v>1.0153218855425901</v>
      </c>
      <c r="D1804">
        <v>0.90128495572647804</v>
      </c>
      <c r="E1804">
        <v>0.67585072500786603</v>
      </c>
      <c r="F1804">
        <v>0.60218476874734295</v>
      </c>
      <c r="G1804">
        <v>0.54712487760200301</v>
      </c>
      <c r="H1804">
        <v>0.32395720777153902</v>
      </c>
      <c r="I1804">
        <v>0.32648891601541302</v>
      </c>
      <c r="J1804">
        <v>0.32365390555781598</v>
      </c>
      <c r="K1804">
        <v>0.390981801947965</v>
      </c>
      <c r="L1804">
        <v>720.41707528189704</v>
      </c>
      <c r="M1804">
        <v>13.987938162345699</v>
      </c>
      <c r="N1804">
        <v>55.547050294215701</v>
      </c>
      <c r="O1804">
        <v>50.484368469830102</v>
      </c>
      <c r="P1804">
        <v>-4.7148915827992702E-2</v>
      </c>
      <c r="Q1804">
        <v>0.31942300532166301</v>
      </c>
      <c r="R1804">
        <v>0.96703278693850203</v>
      </c>
      <c r="S1804" t="s">
        <v>5433</v>
      </c>
      <c r="T1804" t="s">
        <v>7256</v>
      </c>
      <c r="U1804" t="s">
        <v>7256</v>
      </c>
      <c r="V1804" t="s">
        <v>7256</v>
      </c>
      <c r="W1804">
        <v>4</v>
      </c>
      <c r="X1804" t="s">
        <v>9060</v>
      </c>
      <c r="Y1804">
        <v>0.59762342415525316</v>
      </c>
      <c r="Z1804" t="str">
        <f>HYPERLINK("Melting_Curves/meltCurve_sp_Q6P4F2_ADXL_HUMAN_.pdf", "Melting_Curves/meltCurve_sp_Q6P4F2_ADXL_HUMAN_.pdf")</f>
        <v>Melting_Curves/meltCurve_sp_Q6P4F2_ADXL_HUMAN_.pdf</v>
      </c>
      <c r="AA1804" t="s">
        <v>12658</v>
      </c>
      <c r="AB1804" t="s">
        <v>16229</v>
      </c>
    </row>
    <row r="1805" spans="1:28" x14ac:dyDescent="0.25">
      <c r="A1805" t="s">
        <v>1809</v>
      </c>
      <c r="B1805">
        <v>0.98018197421672304</v>
      </c>
      <c r="C1805">
        <v>0.83214636168008305</v>
      </c>
      <c r="D1805">
        <v>0.84207308804251702</v>
      </c>
      <c r="E1805">
        <v>0.69159604031865995</v>
      </c>
      <c r="F1805">
        <v>0.30369783092289598</v>
      </c>
      <c r="G1805">
        <v>7.3493182574670496E-2</v>
      </c>
      <c r="H1805">
        <v>4.5338377579491197E-2</v>
      </c>
      <c r="I1805">
        <v>4.3967360416750402E-2</v>
      </c>
      <c r="J1805">
        <v>4.1867432542376203E-2</v>
      </c>
      <c r="K1805">
        <v>4.5616309943937901E-2</v>
      </c>
      <c r="L1805">
        <v>993.59078749935998</v>
      </c>
      <c r="M1805">
        <v>19.474431244766901</v>
      </c>
      <c r="N1805">
        <v>51.1007452096175</v>
      </c>
      <c r="O1805">
        <v>50.4914535646679</v>
      </c>
      <c r="P1805">
        <v>-9.4971748436468897E-2</v>
      </c>
      <c r="Q1805">
        <v>1.5101173629577001E-2</v>
      </c>
      <c r="R1805">
        <v>0.97438012508986005</v>
      </c>
      <c r="S1805" t="s">
        <v>5434</v>
      </c>
      <c r="T1805" t="s">
        <v>7256</v>
      </c>
      <c r="U1805" t="s">
        <v>7256</v>
      </c>
      <c r="V1805" t="s">
        <v>7256</v>
      </c>
      <c r="W1805">
        <v>1</v>
      </c>
      <c r="X1805" t="s">
        <v>9061</v>
      </c>
      <c r="Y1805">
        <v>0.39126263373266412</v>
      </c>
      <c r="Z1805" t="str">
        <f>HYPERLINK("Melting_Curves/meltCurve_sp_Q6P4R8_3_NFRKB_HUMAN_.pdf", "Melting_Curves/meltCurve_sp_Q6P4R8_3_NFRKB_HUMAN_.pdf")</f>
        <v>Melting_Curves/meltCurve_sp_Q6P4R8_3_NFRKB_HUMAN_.pdf</v>
      </c>
      <c r="AA1805" t="s">
        <v>12659</v>
      </c>
      <c r="AB1805" t="s">
        <v>16230</v>
      </c>
    </row>
    <row r="1806" spans="1:28" x14ac:dyDescent="0.25">
      <c r="A1806" t="s">
        <v>1810</v>
      </c>
      <c r="B1806">
        <v>0.98018197421672304</v>
      </c>
      <c r="C1806">
        <v>1.03271475839206</v>
      </c>
      <c r="D1806">
        <v>0.91789918086643396</v>
      </c>
      <c r="E1806">
        <v>0.80078806340750697</v>
      </c>
      <c r="F1806">
        <v>0.752097189161817</v>
      </c>
      <c r="G1806">
        <v>0.656181612397567</v>
      </c>
      <c r="H1806">
        <v>0.465987686606601</v>
      </c>
      <c r="I1806">
        <v>0.48407217053101298</v>
      </c>
      <c r="J1806">
        <v>0.51612673541528398</v>
      </c>
      <c r="K1806">
        <v>0.44524481824116002</v>
      </c>
      <c r="L1806">
        <v>669.48979248217495</v>
      </c>
      <c r="M1806">
        <v>12.489871032920499</v>
      </c>
      <c r="N1806">
        <v>63.363703373297199</v>
      </c>
      <c r="O1806">
        <v>52.2841488917474</v>
      </c>
      <c r="P1806">
        <v>-3.4227710468684697E-2</v>
      </c>
      <c r="Q1806">
        <v>0.42699243909210099</v>
      </c>
      <c r="R1806">
        <v>0.96991967532606704</v>
      </c>
      <c r="S1806" t="s">
        <v>5435</v>
      </c>
      <c r="T1806" t="s">
        <v>7256</v>
      </c>
      <c r="U1806" t="s">
        <v>7256</v>
      </c>
      <c r="V1806" t="s">
        <v>7256</v>
      </c>
      <c r="W1806">
        <v>6</v>
      </c>
      <c r="X1806" t="s">
        <v>9062</v>
      </c>
      <c r="Y1806">
        <v>0.70169890905133292</v>
      </c>
      <c r="Z1806" t="str">
        <f>HYPERLINK("Melting_Curves/meltCurve_sp_Q6P587_FAHD1_HUMAN_.pdf", "Melting_Curves/meltCurve_sp_Q6P587_FAHD1_HUMAN_.pdf")</f>
        <v>Melting_Curves/meltCurve_sp_Q6P587_FAHD1_HUMAN_.pdf</v>
      </c>
      <c r="AA1806" t="s">
        <v>12660</v>
      </c>
      <c r="AB1806" t="s">
        <v>16231</v>
      </c>
    </row>
    <row r="1807" spans="1:28" x14ac:dyDescent="0.25">
      <c r="A1807" t="s">
        <v>1811</v>
      </c>
      <c r="B1807">
        <v>0.98018197421672304</v>
      </c>
      <c r="C1807">
        <v>1.5245324596286101</v>
      </c>
      <c r="D1807">
        <v>1.46016808136865</v>
      </c>
      <c r="E1807">
        <v>1.2393852506622001</v>
      </c>
      <c r="F1807">
        <v>1.90192277973172</v>
      </c>
      <c r="G1807">
        <v>1.46325093318352</v>
      </c>
      <c r="H1807">
        <v>2.3154082305616202</v>
      </c>
      <c r="I1807">
        <v>2.2910626419582201</v>
      </c>
      <c r="J1807">
        <v>3.4684665171612399</v>
      </c>
      <c r="K1807">
        <v>1.8322872894340601</v>
      </c>
      <c r="L1807">
        <v>10346.876241416399</v>
      </c>
      <c r="M1807">
        <v>250</v>
      </c>
      <c r="O1807">
        <v>41.384853760509998</v>
      </c>
      <c r="P1807">
        <v>0.75510712668481506</v>
      </c>
      <c r="Q1807">
        <v>1.5</v>
      </c>
      <c r="R1807">
        <v>-0.20543108075841601</v>
      </c>
      <c r="S1807" t="s">
        <v>5436</v>
      </c>
      <c r="T1807" t="s">
        <v>7256</v>
      </c>
      <c r="U1807" t="s">
        <v>7256</v>
      </c>
      <c r="V1807" t="s">
        <v>7256</v>
      </c>
      <c r="W1807">
        <v>5</v>
      </c>
      <c r="X1807" t="s">
        <v>9063</v>
      </c>
      <c r="Y1807">
        <v>1.4768381618692099</v>
      </c>
      <c r="Z1807" t="str">
        <f>HYPERLINK("Melting_Curves/meltCurve_sp_Q6P6B1_CH047_HUMAN_.pdf", "Melting_Curves/meltCurve_sp_Q6P6B1_CH047_HUMAN_.pdf")</f>
        <v>Melting_Curves/meltCurve_sp_Q6P6B1_CH047_HUMAN_.pdf</v>
      </c>
      <c r="AA1807" t="s">
        <v>12661</v>
      </c>
      <c r="AB1807" t="s">
        <v>16232</v>
      </c>
    </row>
    <row r="1808" spans="1:28" x14ac:dyDescent="0.25">
      <c r="A1808" t="s">
        <v>1812</v>
      </c>
      <c r="B1808">
        <v>0.98018197421672304</v>
      </c>
      <c r="C1808">
        <v>0.92250036412351299</v>
      </c>
      <c r="D1808">
        <v>0.68673420796425599</v>
      </c>
      <c r="E1808">
        <v>0.30660847229334398</v>
      </c>
      <c r="F1808">
        <v>0.16114602024854299</v>
      </c>
      <c r="G1808">
        <v>9.3079594198635998E-2</v>
      </c>
      <c r="H1808">
        <v>7.1518109412716996E-2</v>
      </c>
      <c r="I1808">
        <v>4.8893153065497102E-2</v>
      </c>
      <c r="J1808">
        <v>8.6597570072411395E-2</v>
      </c>
      <c r="K1808">
        <v>5.4372446145717603E-2</v>
      </c>
      <c r="L1808">
        <v>1007.72113994098</v>
      </c>
      <c r="M1808">
        <v>21.197317711654701</v>
      </c>
      <c r="N1808">
        <v>47.842859121417703</v>
      </c>
      <c r="O1808">
        <v>47.123014163787097</v>
      </c>
      <c r="P1808">
        <v>-0.105400047290721</v>
      </c>
      <c r="Q1808">
        <v>6.2780052971025305E-2</v>
      </c>
      <c r="R1808">
        <v>0.999203853266738</v>
      </c>
      <c r="S1808" t="s">
        <v>5437</v>
      </c>
      <c r="T1808" t="s">
        <v>7256</v>
      </c>
      <c r="U1808" t="s">
        <v>7256</v>
      </c>
      <c r="V1808" t="s">
        <v>7256</v>
      </c>
      <c r="W1808">
        <v>13</v>
      </c>
      <c r="X1808" t="s">
        <v>9064</v>
      </c>
      <c r="Y1808">
        <v>0.31021122808984491</v>
      </c>
      <c r="Z1808" t="str">
        <f>HYPERLINK("Melting_Curves/meltCurve_sp_Q6PGP7_TTC37_HUMAN_.pdf", "Melting_Curves/meltCurve_sp_Q6PGP7_TTC37_HUMAN_.pdf")</f>
        <v>Melting_Curves/meltCurve_sp_Q6PGP7_TTC37_HUMAN_.pdf</v>
      </c>
      <c r="AA1808" t="s">
        <v>12662</v>
      </c>
      <c r="AB1808" t="s">
        <v>16233</v>
      </c>
    </row>
    <row r="1809" spans="1:28" x14ac:dyDescent="0.25">
      <c r="A1809" t="s">
        <v>1813</v>
      </c>
      <c r="B1809">
        <v>0.98018197421672304</v>
      </c>
      <c r="C1809">
        <v>0.79451867807315202</v>
      </c>
      <c r="D1809">
        <v>0.48692457534158501</v>
      </c>
      <c r="E1809">
        <v>0.20713126708275101</v>
      </c>
      <c r="F1809">
        <v>9.45575663358382E-2</v>
      </c>
      <c r="G1809">
        <v>5.9606779223294597E-2</v>
      </c>
      <c r="H1809">
        <v>3.90664745398017E-2</v>
      </c>
      <c r="I1809">
        <v>3.4391513544428903E-2</v>
      </c>
      <c r="J1809">
        <v>3.5900627939099899E-2</v>
      </c>
      <c r="K1809">
        <v>2.9760956244648699E-2</v>
      </c>
      <c r="L1809">
        <v>903.85177171450005</v>
      </c>
      <c r="M1809">
        <v>19.7256382780621</v>
      </c>
      <c r="N1809">
        <v>45.987258549422798</v>
      </c>
      <c r="O1809">
        <v>45.358035336597801</v>
      </c>
      <c r="P1809">
        <v>-0.10498735554498401</v>
      </c>
      <c r="Q1809">
        <v>3.4382278702112801E-2</v>
      </c>
      <c r="R1809">
        <v>0.99860993316292901</v>
      </c>
      <c r="S1809" t="s">
        <v>5438</v>
      </c>
      <c r="T1809" t="s">
        <v>7256</v>
      </c>
      <c r="U1809" t="s">
        <v>7256</v>
      </c>
      <c r="V1809" t="s">
        <v>7256</v>
      </c>
      <c r="W1809">
        <v>13</v>
      </c>
      <c r="X1809" t="s">
        <v>9065</v>
      </c>
      <c r="Y1809">
        <v>0.2373637199098555</v>
      </c>
      <c r="Z1809" t="str">
        <f>HYPERLINK("Melting_Curves/meltCurve_sp_Q6PI48_SYDM_HUMAN_.pdf", "Melting_Curves/meltCurve_sp_Q6PI48_SYDM_HUMAN_.pdf")</f>
        <v>Melting_Curves/meltCurve_sp_Q6PI48_SYDM_HUMAN_.pdf</v>
      </c>
      <c r="AA1809" t="s">
        <v>12663</v>
      </c>
      <c r="AB1809" t="s">
        <v>16234</v>
      </c>
    </row>
    <row r="1810" spans="1:28" x14ac:dyDescent="0.25">
      <c r="A1810" t="s">
        <v>1814</v>
      </c>
      <c r="B1810">
        <v>0.98018197421672304</v>
      </c>
      <c r="C1810">
        <v>0.97709179168072802</v>
      </c>
      <c r="D1810">
        <v>0.97126437425597301</v>
      </c>
      <c r="E1810">
        <v>0.81894320388866204</v>
      </c>
      <c r="F1810">
        <v>0.70626403192730602</v>
      </c>
      <c r="G1810">
        <v>0.46027945895423</v>
      </c>
      <c r="H1810">
        <v>0.38444895287195402</v>
      </c>
      <c r="I1810">
        <v>0.40063695249178699</v>
      </c>
      <c r="J1810">
        <v>0.44384313201123798</v>
      </c>
      <c r="K1810">
        <v>0.59014353212241299</v>
      </c>
      <c r="L1810">
        <v>1336.5700762307199</v>
      </c>
      <c r="M1810">
        <v>25.725082099539101</v>
      </c>
      <c r="N1810">
        <v>56.942524382310999</v>
      </c>
      <c r="O1810">
        <v>51.644992289254198</v>
      </c>
      <c r="P1810">
        <v>-6.8809189645673299E-2</v>
      </c>
      <c r="Q1810">
        <v>0.44744852673827201</v>
      </c>
      <c r="R1810">
        <v>0.93841110376769998</v>
      </c>
      <c r="S1810" t="s">
        <v>5439</v>
      </c>
      <c r="T1810" t="s">
        <v>7256</v>
      </c>
      <c r="U1810" t="s">
        <v>7256</v>
      </c>
      <c r="V1810" t="s">
        <v>7256</v>
      </c>
      <c r="W1810">
        <v>3</v>
      </c>
      <c r="X1810" t="s">
        <v>9066</v>
      </c>
      <c r="Y1810">
        <v>0.67242809468022258</v>
      </c>
      <c r="Z1810" t="str">
        <f>HYPERLINK("Melting_Curves/meltCurve_sp_Q6PJT7_5_ZC3HE_HUMAN_.pdf", "Melting_Curves/meltCurve_sp_Q6PJT7_5_ZC3HE_HUMAN_.pdf")</f>
        <v>Melting_Curves/meltCurve_sp_Q6PJT7_5_ZC3HE_HUMAN_.pdf</v>
      </c>
      <c r="AA1810" t="s">
        <v>12664</v>
      </c>
      <c r="AB1810" t="s">
        <v>16235</v>
      </c>
    </row>
    <row r="1811" spans="1:28" x14ac:dyDescent="0.25">
      <c r="A1811" t="s">
        <v>1815</v>
      </c>
      <c r="B1811">
        <v>0.98018197421672304</v>
      </c>
      <c r="C1811">
        <v>1.0790324508765601</v>
      </c>
      <c r="D1811">
        <v>0.88276391300361301</v>
      </c>
      <c r="E1811">
        <v>0.71485657447075601</v>
      </c>
      <c r="F1811">
        <v>0.62558385780835302</v>
      </c>
      <c r="G1811">
        <v>0.39496504632653601</v>
      </c>
      <c r="H1811">
        <v>0.26493794377903401</v>
      </c>
      <c r="I1811">
        <v>0.26777609340831998</v>
      </c>
      <c r="J1811">
        <v>0.37473140941886401</v>
      </c>
      <c r="K1811">
        <v>0.44661770790174898</v>
      </c>
      <c r="L1811">
        <v>1004.3472508282</v>
      </c>
      <c r="M1811">
        <v>19.6168156864351</v>
      </c>
      <c r="N1811">
        <v>54.198170386127202</v>
      </c>
      <c r="O1811">
        <v>50.675140455435098</v>
      </c>
      <c r="P1811">
        <v>-6.4728605182761703E-2</v>
      </c>
      <c r="Q1811">
        <v>0.331182796963297</v>
      </c>
      <c r="R1811">
        <v>0.94314354761065999</v>
      </c>
      <c r="S1811" t="s">
        <v>5440</v>
      </c>
      <c r="T1811" t="s">
        <v>7256</v>
      </c>
      <c r="U1811" t="s">
        <v>7256</v>
      </c>
      <c r="V1811" t="s">
        <v>7256</v>
      </c>
      <c r="W1811">
        <v>4</v>
      </c>
      <c r="X1811" t="s">
        <v>9067</v>
      </c>
      <c r="Y1811">
        <v>0.59045400460959363</v>
      </c>
      <c r="Z1811" t="str">
        <f>HYPERLINK("Melting_Curves/meltCurve_sp_Q6PKG0_LARP1_HUMAN_.pdf", "Melting_Curves/meltCurve_sp_Q6PKG0_LARP1_HUMAN_.pdf")</f>
        <v>Melting_Curves/meltCurve_sp_Q6PKG0_LARP1_HUMAN_.pdf</v>
      </c>
      <c r="AA1811" t="s">
        <v>12665</v>
      </c>
      <c r="AB1811" t="s">
        <v>16236</v>
      </c>
    </row>
    <row r="1812" spans="1:28" x14ac:dyDescent="0.25">
      <c r="A1812" t="s">
        <v>1816</v>
      </c>
      <c r="B1812">
        <v>0.98018197421672304</v>
      </c>
      <c r="C1812">
        <v>0.96701432623422501</v>
      </c>
      <c r="D1812">
        <v>1.0997391231648099</v>
      </c>
      <c r="E1812">
        <v>0.76161512537126597</v>
      </c>
      <c r="F1812">
        <v>0.42466514555387502</v>
      </c>
      <c r="G1812">
        <v>0.186168966687107</v>
      </c>
      <c r="H1812">
        <v>0.139154369977086</v>
      </c>
      <c r="I1812">
        <v>8.9571336142046307E-2</v>
      </c>
      <c r="J1812">
        <v>0.12442816339221401</v>
      </c>
      <c r="K1812">
        <v>5.4668888547500502E-2</v>
      </c>
      <c r="L1812">
        <v>1523.3975468799899</v>
      </c>
      <c r="M1812">
        <v>29.3193051428145</v>
      </c>
      <c r="N1812">
        <v>52.366200775603602</v>
      </c>
      <c r="O1812">
        <v>51.718947663985702</v>
      </c>
      <c r="P1812">
        <v>-0.12727420780620799</v>
      </c>
      <c r="Q1812">
        <v>0.101965078181181</v>
      </c>
      <c r="R1812">
        <v>0.98748006433088598</v>
      </c>
      <c r="S1812" t="s">
        <v>5441</v>
      </c>
      <c r="T1812" t="s">
        <v>7256</v>
      </c>
      <c r="U1812" t="s">
        <v>7256</v>
      </c>
      <c r="V1812" t="s">
        <v>7256</v>
      </c>
      <c r="W1812">
        <v>1</v>
      </c>
      <c r="X1812" t="s">
        <v>9068</v>
      </c>
      <c r="Y1812">
        <v>0.46594830482907218</v>
      </c>
      <c r="Z1812" t="str">
        <f>HYPERLINK("Melting_Curves/meltCurve_sp_Q6QHF9_4_PAOX_HUMAN_.pdf", "Melting_Curves/meltCurve_sp_Q6QHF9_4_PAOX_HUMAN_.pdf")</f>
        <v>Melting_Curves/meltCurve_sp_Q6QHF9_4_PAOX_HUMAN_.pdf</v>
      </c>
      <c r="AA1812" t="s">
        <v>12666</v>
      </c>
      <c r="AB1812" t="s">
        <v>16237</v>
      </c>
    </row>
    <row r="1813" spans="1:28" x14ac:dyDescent="0.25">
      <c r="A1813" t="s">
        <v>1817</v>
      </c>
      <c r="B1813">
        <v>0.98018197421672304</v>
      </c>
      <c r="C1813">
        <v>0.90504448895542</v>
      </c>
      <c r="D1813">
        <v>0.92769510722029802</v>
      </c>
      <c r="E1813">
        <v>0.76077452548486901</v>
      </c>
      <c r="F1813">
        <v>0.76811611871790797</v>
      </c>
      <c r="G1813">
        <v>0.50145765278629495</v>
      </c>
      <c r="H1813">
        <v>0.28480669777260498</v>
      </c>
      <c r="I1813">
        <v>0.14317947700727099</v>
      </c>
      <c r="J1813">
        <v>0.21516536076432799</v>
      </c>
      <c r="K1813">
        <v>0.12870283630969101</v>
      </c>
      <c r="L1813">
        <v>641.43907381006795</v>
      </c>
      <c r="M1813">
        <v>11.342413472753901</v>
      </c>
      <c r="N1813">
        <v>56.699890931841402</v>
      </c>
      <c r="O1813">
        <v>54.8799411467106</v>
      </c>
      <c r="P1813">
        <v>-5.0932660024967401E-2</v>
      </c>
      <c r="Q1813">
        <v>1.45506883730266E-2</v>
      </c>
      <c r="R1813">
        <v>0.97595815951466702</v>
      </c>
      <c r="S1813" t="s">
        <v>5442</v>
      </c>
      <c r="T1813" t="s">
        <v>7256</v>
      </c>
      <c r="U1813" t="s">
        <v>7256</v>
      </c>
      <c r="V1813" t="s">
        <v>7256</v>
      </c>
      <c r="W1813">
        <v>4</v>
      </c>
      <c r="X1813" t="s">
        <v>9069</v>
      </c>
      <c r="Y1813">
        <v>0.5765875416415136</v>
      </c>
      <c r="Z1813" t="str">
        <f>HYPERLINK("Melting_Curves/meltCurve_sp_Q6UB28_AMP1D_HUMAN_.pdf", "Melting_Curves/meltCurve_sp_Q6UB28_AMP1D_HUMAN_.pdf")</f>
        <v>Melting_Curves/meltCurve_sp_Q6UB28_AMP1D_HUMAN_.pdf</v>
      </c>
      <c r="AA1813" t="s">
        <v>12667</v>
      </c>
      <c r="AB1813" t="s">
        <v>16238</v>
      </c>
    </row>
    <row r="1814" spans="1:28" x14ac:dyDescent="0.25">
      <c r="A1814" t="s">
        <v>1818</v>
      </c>
      <c r="B1814">
        <v>0.98018197421672304</v>
      </c>
      <c r="C1814">
        <v>0.86943580231316597</v>
      </c>
      <c r="D1814">
        <v>0.80519615737176997</v>
      </c>
      <c r="E1814">
        <v>0.67519292081823501</v>
      </c>
      <c r="F1814">
        <v>0.45523933477158601</v>
      </c>
      <c r="G1814">
        <v>0.302312019588728</v>
      </c>
      <c r="H1814">
        <v>0.343727663500562</v>
      </c>
      <c r="I1814">
        <v>0.352075836708659</v>
      </c>
      <c r="J1814">
        <v>0.394526942988357</v>
      </c>
      <c r="K1814">
        <v>0.57677247209011895</v>
      </c>
      <c r="L1814">
        <v>860.15814650345203</v>
      </c>
      <c r="M1814">
        <v>17.9023374986158</v>
      </c>
      <c r="N1814">
        <v>52.423994453954002</v>
      </c>
      <c r="O1814">
        <v>47.459787906900203</v>
      </c>
      <c r="P1814">
        <v>-5.7731913175584598E-2</v>
      </c>
      <c r="Q1814">
        <v>0.38783296429328501</v>
      </c>
      <c r="R1814">
        <v>0.87580654446301998</v>
      </c>
      <c r="S1814" t="s">
        <v>5443</v>
      </c>
      <c r="T1814" t="s">
        <v>7256</v>
      </c>
      <c r="U1814" t="s">
        <v>7256</v>
      </c>
      <c r="V1814" t="s">
        <v>7256</v>
      </c>
      <c r="W1814">
        <v>3</v>
      </c>
      <c r="X1814" t="s">
        <v>9070</v>
      </c>
      <c r="Y1814">
        <v>0.56301136666628326</v>
      </c>
      <c r="Z1814" t="str">
        <f>HYPERLINK("Melting_Curves/meltCurve_sp_Q6UN15_4_FIP1_HUMAN_.pdf", "Melting_Curves/meltCurve_sp_Q6UN15_4_FIP1_HUMAN_.pdf")</f>
        <v>Melting_Curves/meltCurve_sp_Q6UN15_4_FIP1_HUMAN_.pdf</v>
      </c>
      <c r="AA1814" t="s">
        <v>12668</v>
      </c>
      <c r="AB1814" t="s">
        <v>16239</v>
      </c>
    </row>
    <row r="1815" spans="1:28" x14ac:dyDescent="0.25">
      <c r="A1815" t="s">
        <v>1819</v>
      </c>
      <c r="B1815">
        <v>0.98018197421672304</v>
      </c>
      <c r="C1815">
        <v>0.95399400089738495</v>
      </c>
      <c r="D1815">
        <v>0.94821071244602495</v>
      </c>
      <c r="E1815">
        <v>0.70827525660476498</v>
      </c>
      <c r="F1815">
        <v>0.42080166440337802</v>
      </c>
      <c r="G1815">
        <v>0.27659748910458398</v>
      </c>
      <c r="H1815">
        <v>0.28160921399862998</v>
      </c>
      <c r="I1815">
        <v>0.25231580780193502</v>
      </c>
      <c r="J1815">
        <v>0.29171823980339301</v>
      </c>
      <c r="K1815">
        <v>0.444268705211325</v>
      </c>
      <c r="L1815">
        <v>1712.6031863913799</v>
      </c>
      <c r="M1815">
        <v>33.972152613507902</v>
      </c>
      <c r="N1815">
        <v>51.866243185193703</v>
      </c>
      <c r="O1815">
        <v>50.238261377567298</v>
      </c>
      <c r="P1815">
        <v>-0.117135146146084</v>
      </c>
      <c r="Q1815">
        <v>0.30712172481438899</v>
      </c>
      <c r="R1815">
        <v>0.96766917072756198</v>
      </c>
      <c r="S1815" t="s">
        <v>5444</v>
      </c>
      <c r="T1815" t="s">
        <v>7256</v>
      </c>
      <c r="U1815" t="s">
        <v>7256</v>
      </c>
      <c r="V1815" t="s">
        <v>7256</v>
      </c>
      <c r="W1815">
        <v>2</v>
      </c>
      <c r="X1815" t="s">
        <v>9071</v>
      </c>
      <c r="Y1815">
        <v>0.55095344746304054</v>
      </c>
      <c r="Z1815" t="str">
        <f>HYPERLINK("Melting_Curves/meltCurve_sp_Q6UUV9_3_CRTC1_HUMAN_.pdf", "Melting_Curves/meltCurve_sp_Q6UUV9_3_CRTC1_HUMAN_.pdf")</f>
        <v>Melting_Curves/meltCurve_sp_Q6UUV9_3_CRTC1_HUMAN_.pdf</v>
      </c>
      <c r="AA1815" t="s">
        <v>12669</v>
      </c>
      <c r="AB1815" t="s">
        <v>16240</v>
      </c>
    </row>
    <row r="1816" spans="1:28" x14ac:dyDescent="0.25">
      <c r="A1816" t="s">
        <v>1820</v>
      </c>
      <c r="B1816">
        <v>0.98018197421672304</v>
      </c>
      <c r="C1816">
        <v>1.0018510184262199</v>
      </c>
      <c r="D1816">
        <v>0.85288039024673801</v>
      </c>
      <c r="E1816">
        <v>0.55410199292847995</v>
      </c>
      <c r="F1816">
        <v>0.23910761308023101</v>
      </c>
      <c r="G1816">
        <v>0.144150364229616</v>
      </c>
      <c r="H1816">
        <v>9.6075319092425407E-2</v>
      </c>
      <c r="I1816">
        <v>9.8000189900487894E-2</v>
      </c>
      <c r="J1816">
        <v>0.100919944544671</v>
      </c>
      <c r="K1816">
        <v>9.6405722256014098E-2</v>
      </c>
      <c r="L1816">
        <v>1163.5736964630801</v>
      </c>
      <c r="M1816">
        <v>23.367739455913998</v>
      </c>
      <c r="N1816">
        <v>50.228584370334403</v>
      </c>
      <c r="O1816">
        <v>49.433655260955</v>
      </c>
      <c r="P1816">
        <v>-0.107363396919176</v>
      </c>
      <c r="Q1816">
        <v>9.1521568236653195E-2</v>
      </c>
      <c r="R1816">
        <v>0.997243489676226</v>
      </c>
      <c r="S1816" t="s">
        <v>5445</v>
      </c>
      <c r="T1816" t="s">
        <v>7256</v>
      </c>
      <c r="U1816" t="s">
        <v>7256</v>
      </c>
      <c r="V1816" t="s">
        <v>7256</v>
      </c>
      <c r="W1816">
        <v>8</v>
      </c>
      <c r="X1816" t="s">
        <v>9072</v>
      </c>
      <c r="Y1816">
        <v>0.39739481270067079</v>
      </c>
      <c r="Z1816" t="str">
        <f>HYPERLINK("Melting_Curves/meltCurve_sp_Q6UWP2_DHR11_HUMAN_.pdf", "Melting_Curves/meltCurve_sp_Q6UWP2_DHR11_HUMAN_.pdf")</f>
        <v>Melting_Curves/meltCurve_sp_Q6UWP2_DHR11_HUMAN_.pdf</v>
      </c>
      <c r="AA1816" t="s">
        <v>12670</v>
      </c>
      <c r="AB1816" t="s">
        <v>16241</v>
      </c>
    </row>
    <row r="1817" spans="1:28" x14ac:dyDescent="0.25">
      <c r="A1817" t="s">
        <v>1821</v>
      </c>
      <c r="B1817">
        <v>0.98018197421672304</v>
      </c>
      <c r="C1817">
        <v>0.62371041501507896</v>
      </c>
      <c r="D1817">
        <v>0.83996539655972802</v>
      </c>
      <c r="E1817">
        <v>0.82242011187138098</v>
      </c>
      <c r="F1817">
        <v>0.83139394054915094</v>
      </c>
      <c r="G1817">
        <v>0.45296764934217898</v>
      </c>
      <c r="H1817">
        <v>0.69712647161816799</v>
      </c>
      <c r="I1817">
        <v>0.41233882629671498</v>
      </c>
      <c r="J1817">
        <v>0.67300585104629096</v>
      </c>
      <c r="K1817">
        <v>1.24267156802052</v>
      </c>
      <c r="L1817">
        <v>10100.964921282401</v>
      </c>
      <c r="M1817">
        <v>250</v>
      </c>
      <c r="O1817">
        <v>40.401272996642099</v>
      </c>
      <c r="P1817">
        <v>-0.41328451064042199</v>
      </c>
      <c r="Q1817">
        <v>0.73284446753890797</v>
      </c>
      <c r="R1817">
        <v>0.101580787843013</v>
      </c>
      <c r="S1817" t="s">
        <v>5446</v>
      </c>
      <c r="T1817" t="s">
        <v>7256</v>
      </c>
      <c r="U1817" t="s">
        <v>7256</v>
      </c>
      <c r="V1817" t="s">
        <v>7256</v>
      </c>
      <c r="W1817">
        <v>4</v>
      </c>
      <c r="X1817" t="s">
        <v>9073</v>
      </c>
      <c r="Y1817">
        <v>0.73656771669156895</v>
      </c>
      <c r="Z1817" t="str">
        <f>HYPERLINK("Melting_Curves/meltCurve_sp_Q6UWP8_SBSN_HUMAN_.pdf", "Melting_Curves/meltCurve_sp_Q6UWP8_SBSN_HUMAN_.pdf")</f>
        <v>Melting_Curves/meltCurve_sp_Q6UWP8_SBSN_HUMAN_.pdf</v>
      </c>
      <c r="AA1817" t="s">
        <v>12671</v>
      </c>
      <c r="AB1817" t="s">
        <v>16242</v>
      </c>
    </row>
    <row r="1818" spans="1:28" x14ac:dyDescent="0.25">
      <c r="A1818" t="s">
        <v>1822</v>
      </c>
      <c r="B1818">
        <v>0.98018197421672304</v>
      </c>
      <c r="C1818">
        <v>0.88691267030573095</v>
      </c>
      <c r="D1818">
        <v>0.68359889117185602</v>
      </c>
      <c r="E1818">
        <v>0.30043401650395601</v>
      </c>
      <c r="F1818">
        <v>0.164506293540433</v>
      </c>
      <c r="G1818">
        <v>7.2152077889442695E-2</v>
      </c>
      <c r="H1818">
        <v>6.0234365696691203E-2</v>
      </c>
      <c r="I1818">
        <v>4.6710094764356599E-2</v>
      </c>
      <c r="J1818">
        <v>6.5813598131870502E-2</v>
      </c>
      <c r="K1818">
        <v>4.47634860852449E-2</v>
      </c>
      <c r="L1818">
        <v>939.08657668652904</v>
      </c>
      <c r="M1818">
        <v>19.759295942666</v>
      </c>
      <c r="N1818">
        <v>47.766503277016099</v>
      </c>
      <c r="O1818">
        <v>47.047583514387703</v>
      </c>
      <c r="P1818">
        <v>-0.10003453732617</v>
      </c>
      <c r="Q1818">
        <v>4.7289925434871399E-2</v>
      </c>
      <c r="R1818">
        <v>0.99941306879252401</v>
      </c>
      <c r="S1818" t="s">
        <v>5447</v>
      </c>
      <c r="T1818" t="s">
        <v>7256</v>
      </c>
      <c r="U1818" t="s">
        <v>7256</v>
      </c>
      <c r="V1818" t="s">
        <v>7256</v>
      </c>
      <c r="W1818">
        <v>4</v>
      </c>
      <c r="X1818" t="s">
        <v>9074</v>
      </c>
      <c r="Y1818">
        <v>0.30036428069893251</v>
      </c>
      <c r="Z1818" t="str">
        <f>HYPERLINK("Melting_Curves/meltCurve_sp_Q6UX53_MET7B_HUMAN_.pdf", "Melting_Curves/meltCurve_sp_Q6UX53_MET7B_HUMAN_.pdf")</f>
        <v>Melting_Curves/meltCurve_sp_Q6UX53_MET7B_HUMAN_.pdf</v>
      </c>
      <c r="AA1818" t="s">
        <v>12672</v>
      </c>
      <c r="AB1818" t="s">
        <v>16243</v>
      </c>
    </row>
    <row r="1819" spans="1:28" x14ac:dyDescent="0.25">
      <c r="A1819" t="s">
        <v>1823</v>
      </c>
      <c r="B1819">
        <v>0.98018197421672304</v>
      </c>
      <c r="C1819">
        <v>0.95220479530772295</v>
      </c>
      <c r="D1819">
        <v>0.91807174892576504</v>
      </c>
      <c r="E1819">
        <v>0.80366969763366602</v>
      </c>
      <c r="F1819">
        <v>0.75793161063644199</v>
      </c>
      <c r="G1819">
        <v>0.61929783536859495</v>
      </c>
      <c r="H1819">
        <v>0.47546293692038899</v>
      </c>
      <c r="I1819">
        <v>0.52788539251608602</v>
      </c>
      <c r="J1819">
        <v>0.48788533350075303</v>
      </c>
      <c r="K1819">
        <v>0.68890423760882002</v>
      </c>
      <c r="L1819">
        <v>813.90249869551099</v>
      </c>
      <c r="M1819">
        <v>15.8875924499217</v>
      </c>
      <c r="O1819">
        <v>50.4378059962376</v>
      </c>
      <c r="P1819">
        <v>-3.6497078634329001E-2</v>
      </c>
      <c r="Q1819">
        <v>0.53657317734884902</v>
      </c>
      <c r="R1819">
        <v>0.88400903518073903</v>
      </c>
      <c r="S1819" t="s">
        <v>5448</v>
      </c>
      <c r="T1819" t="s">
        <v>7256</v>
      </c>
      <c r="U1819" t="s">
        <v>7256</v>
      </c>
      <c r="V1819" t="s">
        <v>7256</v>
      </c>
      <c r="W1819">
        <v>6</v>
      </c>
      <c r="X1819" t="s">
        <v>9075</v>
      </c>
      <c r="Y1819">
        <v>0.71969749030722663</v>
      </c>
      <c r="Z1819" t="str">
        <f>HYPERLINK("Melting_Curves/meltCurve_sp_Q6UXH1_4_CREL2_HUMAN_.pdf", "Melting_Curves/meltCurve_sp_Q6UXH1_4_CREL2_HUMAN_.pdf")</f>
        <v>Melting_Curves/meltCurve_sp_Q6UXH1_4_CREL2_HUMAN_.pdf</v>
      </c>
      <c r="AA1819" t="s">
        <v>12673</v>
      </c>
      <c r="AB1819" t="s">
        <v>16244</v>
      </c>
    </row>
    <row r="1820" spans="1:28" x14ac:dyDescent="0.25">
      <c r="A1820" t="s">
        <v>1824</v>
      </c>
      <c r="B1820">
        <v>0.98018197421672304</v>
      </c>
      <c r="C1820">
        <v>1.0949865453151</v>
      </c>
      <c r="D1820">
        <v>0.94741799414925998</v>
      </c>
      <c r="E1820">
        <v>0.83424123394517402</v>
      </c>
      <c r="F1820">
        <v>0.73061136960197204</v>
      </c>
      <c r="G1820">
        <v>0.49335415873208199</v>
      </c>
      <c r="H1820">
        <v>0.275725580657807</v>
      </c>
      <c r="I1820">
        <v>0.13011884184633099</v>
      </c>
      <c r="J1820">
        <v>9.7997435960156004E-2</v>
      </c>
      <c r="K1820">
        <v>5.9577014092882297E-2</v>
      </c>
      <c r="L1820">
        <v>810.65516578557799</v>
      </c>
      <c r="M1820">
        <v>14.3195036573315</v>
      </c>
      <c r="N1820">
        <v>56.6119444814452</v>
      </c>
      <c r="O1820">
        <v>55.542225599720098</v>
      </c>
      <c r="P1820">
        <v>-6.4461060387560901E-2</v>
      </c>
      <c r="Q1820">
        <v>0</v>
      </c>
      <c r="R1820">
        <v>0.990144916493372</v>
      </c>
      <c r="S1820" t="s">
        <v>5449</v>
      </c>
      <c r="T1820" t="s">
        <v>7256</v>
      </c>
      <c r="U1820" t="s">
        <v>7256</v>
      </c>
      <c r="V1820" t="s">
        <v>7256</v>
      </c>
      <c r="W1820">
        <v>4</v>
      </c>
      <c r="X1820" t="s">
        <v>9076</v>
      </c>
      <c r="Y1820">
        <v>0.570845923916668</v>
      </c>
      <c r="Z1820" t="str">
        <f>HYPERLINK("Melting_Curves/meltCurve_sp_Q6UXN9_WDR82_HUMAN_.pdf", "Melting_Curves/meltCurve_sp_Q6UXN9_WDR82_HUMAN_.pdf")</f>
        <v>Melting_Curves/meltCurve_sp_Q6UXN9_WDR82_HUMAN_.pdf</v>
      </c>
      <c r="AA1820" t="s">
        <v>12674</v>
      </c>
      <c r="AB1820" t="s">
        <v>16245</v>
      </c>
    </row>
    <row r="1821" spans="1:28" x14ac:dyDescent="0.25">
      <c r="A1821" t="s">
        <v>1825</v>
      </c>
      <c r="B1821">
        <v>0.98018197421672304</v>
      </c>
      <c r="C1821">
        <v>0.92326087175252303</v>
      </c>
      <c r="D1821">
        <v>0.86577994558791704</v>
      </c>
      <c r="E1821">
        <v>0.74510276598694403</v>
      </c>
      <c r="F1821">
        <v>0.71739145926854397</v>
      </c>
      <c r="G1821">
        <v>0.59508685008990103</v>
      </c>
      <c r="H1821">
        <v>0.42730398418813598</v>
      </c>
      <c r="I1821">
        <v>0.38669937785338698</v>
      </c>
      <c r="J1821">
        <v>0.51739973792055005</v>
      </c>
      <c r="K1821">
        <v>0.55506030835795706</v>
      </c>
      <c r="L1821">
        <v>611.22745457991698</v>
      </c>
      <c r="M1821">
        <v>12.000442883325601</v>
      </c>
      <c r="N1821">
        <v>62.609830387126401</v>
      </c>
      <c r="O1821">
        <v>49.581215715353899</v>
      </c>
      <c r="P1821">
        <v>-3.3490020303647998E-2</v>
      </c>
      <c r="Q1821">
        <v>0.44666192844372199</v>
      </c>
      <c r="R1821">
        <v>0.91569225001448296</v>
      </c>
      <c r="S1821" t="s">
        <v>5450</v>
      </c>
      <c r="T1821" t="s">
        <v>7256</v>
      </c>
      <c r="U1821" t="s">
        <v>7256</v>
      </c>
      <c r="V1821" t="s">
        <v>7256</v>
      </c>
      <c r="W1821">
        <v>2</v>
      </c>
      <c r="X1821" t="s">
        <v>9077</v>
      </c>
      <c r="Y1821">
        <v>0.66644919121413648</v>
      </c>
      <c r="Z1821" t="str">
        <f>HYPERLINK("Melting_Curves/meltCurve_sp_Q6UXV4_APOOL_HUMAN_.pdf", "Melting_Curves/meltCurve_sp_Q6UXV4_APOOL_HUMAN_.pdf")</f>
        <v>Melting_Curves/meltCurve_sp_Q6UXV4_APOOL_HUMAN_.pdf</v>
      </c>
      <c r="AA1821" t="s">
        <v>12675</v>
      </c>
      <c r="AB1821" t="s">
        <v>16246</v>
      </c>
    </row>
    <row r="1822" spans="1:28" x14ac:dyDescent="0.25">
      <c r="A1822" t="s">
        <v>1826</v>
      </c>
      <c r="B1822">
        <v>0.98018197421672304</v>
      </c>
      <c r="C1822">
        <v>0.99039779653617299</v>
      </c>
      <c r="D1822">
        <v>0.93631613180575901</v>
      </c>
      <c r="E1822">
        <v>0.87324249134463805</v>
      </c>
      <c r="F1822">
        <v>0.79142138826523201</v>
      </c>
      <c r="G1822">
        <v>0.57835800297297801</v>
      </c>
      <c r="H1822">
        <v>0.16803237128927201</v>
      </c>
      <c r="I1822">
        <v>6.3083665637933703E-2</v>
      </c>
      <c r="J1822">
        <v>4.2503554749286299E-2</v>
      </c>
      <c r="K1822">
        <v>3.5287385698925498E-2</v>
      </c>
      <c r="L1822">
        <v>1126.22550456096</v>
      </c>
      <c r="M1822">
        <v>19.759252974711501</v>
      </c>
      <c r="N1822">
        <v>56.9973725305668</v>
      </c>
      <c r="O1822">
        <v>56.423203557602399</v>
      </c>
      <c r="P1822">
        <v>-8.7552311169645805E-2</v>
      </c>
      <c r="Q1822">
        <v>0</v>
      </c>
      <c r="R1822">
        <v>0.98825285188280598</v>
      </c>
      <c r="S1822" t="s">
        <v>5451</v>
      </c>
      <c r="T1822" t="s">
        <v>7256</v>
      </c>
      <c r="U1822" t="s">
        <v>7256</v>
      </c>
      <c r="V1822" t="s">
        <v>7256</v>
      </c>
      <c r="W1822">
        <v>25</v>
      </c>
      <c r="X1822" t="s">
        <v>9078</v>
      </c>
      <c r="Y1822">
        <v>0.57899752766657242</v>
      </c>
      <c r="Z1822" t="str">
        <f>HYPERLINK("Melting_Curves/meltCurve_sp_Q6XQN6_PNCB_HUMAN_.pdf", "Melting_Curves/meltCurve_sp_Q6XQN6_PNCB_HUMAN_.pdf")</f>
        <v>Melting_Curves/meltCurve_sp_Q6XQN6_PNCB_HUMAN_.pdf</v>
      </c>
      <c r="AA1822" t="s">
        <v>12676</v>
      </c>
      <c r="AB1822" t="s">
        <v>16247</v>
      </c>
    </row>
    <row r="1823" spans="1:28" x14ac:dyDescent="0.25">
      <c r="A1823" t="s">
        <v>1827</v>
      </c>
      <c r="B1823">
        <v>0.98018197421672304</v>
      </c>
      <c r="C1823">
        <v>1.02720480957014</v>
      </c>
      <c r="D1823">
        <v>0.85139155808085298</v>
      </c>
      <c r="E1823">
        <v>0.69884095145569003</v>
      </c>
      <c r="F1823">
        <v>0.59918605513831202</v>
      </c>
      <c r="G1823">
        <v>0.53552252613080098</v>
      </c>
      <c r="H1823">
        <v>0.38951801762968002</v>
      </c>
      <c r="I1823">
        <v>0.41378187062480698</v>
      </c>
      <c r="J1823">
        <v>0.40157200872396398</v>
      </c>
      <c r="K1823">
        <v>0.609995672125208</v>
      </c>
      <c r="L1823">
        <v>903.46418735311602</v>
      </c>
      <c r="M1823">
        <v>18.287694689201398</v>
      </c>
      <c r="N1823">
        <v>57.088258879046002</v>
      </c>
      <c r="O1823">
        <v>48.823506670484299</v>
      </c>
      <c r="P1823">
        <v>-5.0815649360268202E-2</v>
      </c>
      <c r="Q1823">
        <v>0.45736576697828502</v>
      </c>
      <c r="R1823">
        <v>0.91433856258843804</v>
      </c>
      <c r="S1823" t="s">
        <v>5452</v>
      </c>
      <c r="T1823" t="s">
        <v>7256</v>
      </c>
      <c r="U1823" t="s">
        <v>7256</v>
      </c>
      <c r="V1823" t="s">
        <v>7256</v>
      </c>
      <c r="W1823">
        <v>1</v>
      </c>
      <c r="X1823" t="s">
        <v>9079</v>
      </c>
      <c r="Y1823">
        <v>0.63649064482048989</v>
      </c>
      <c r="Z1823" t="str">
        <f>HYPERLINK("Melting_Curves/meltCurve_sp_Q6XZF7_DNMBP_HUMAN_.pdf", "Melting_Curves/meltCurve_sp_Q6XZF7_DNMBP_HUMAN_.pdf")</f>
        <v>Melting_Curves/meltCurve_sp_Q6XZF7_DNMBP_HUMAN_.pdf</v>
      </c>
      <c r="AA1823" t="s">
        <v>12677</v>
      </c>
      <c r="AB1823" t="s">
        <v>16248</v>
      </c>
    </row>
    <row r="1824" spans="1:28" x14ac:dyDescent="0.25">
      <c r="A1824" t="s">
        <v>1828</v>
      </c>
      <c r="B1824">
        <v>0.98018197421672304</v>
      </c>
      <c r="C1824">
        <v>1.0056851835863401</v>
      </c>
      <c r="D1824">
        <v>0.82050583845366598</v>
      </c>
      <c r="E1824">
        <v>0.77248239325884305</v>
      </c>
      <c r="F1824">
        <v>0.58146767238322306</v>
      </c>
      <c r="G1824">
        <v>0.41455124902221702</v>
      </c>
      <c r="H1824">
        <v>0.346311281403482</v>
      </c>
      <c r="I1824">
        <v>0.36563042894006298</v>
      </c>
      <c r="J1824">
        <v>0.35433243530446601</v>
      </c>
      <c r="K1824">
        <v>0.47942219713557499</v>
      </c>
      <c r="L1824">
        <v>870.85160737627098</v>
      </c>
      <c r="M1824">
        <v>17.200612595869</v>
      </c>
      <c r="N1824">
        <v>54.902577093352299</v>
      </c>
      <c r="O1824">
        <v>49.9596401940912</v>
      </c>
      <c r="P1824">
        <v>-5.43212960231131E-2</v>
      </c>
      <c r="Q1824">
        <v>0.36892660105949898</v>
      </c>
      <c r="R1824">
        <v>0.954895317391249</v>
      </c>
      <c r="S1824" t="s">
        <v>5453</v>
      </c>
      <c r="T1824" t="s">
        <v>7256</v>
      </c>
      <c r="U1824" t="s">
        <v>7256</v>
      </c>
      <c r="V1824" t="s">
        <v>7256</v>
      </c>
      <c r="W1824">
        <v>7</v>
      </c>
      <c r="X1824" t="s">
        <v>9080</v>
      </c>
      <c r="Y1824">
        <v>0.60411974255856193</v>
      </c>
      <c r="Z1824" t="str">
        <f>HYPERLINK("Melting_Curves/meltCurve_sp_Q6Y7W6_4_PERQ2_HUMAN_.pdf", "Melting_Curves/meltCurve_sp_Q6Y7W6_4_PERQ2_HUMAN_.pdf")</f>
        <v>Melting_Curves/meltCurve_sp_Q6Y7W6_4_PERQ2_HUMAN_.pdf</v>
      </c>
      <c r="AA1824" t="s">
        <v>12678</v>
      </c>
      <c r="AB1824" t="s">
        <v>16249</v>
      </c>
    </row>
    <row r="1825" spans="1:28" x14ac:dyDescent="0.25">
      <c r="A1825" t="s">
        <v>1829</v>
      </c>
      <c r="B1825">
        <v>0.98018197421672304</v>
      </c>
      <c r="C1825">
        <v>0.45186774770286903</v>
      </c>
      <c r="D1825">
        <v>1.1878535248448701</v>
      </c>
      <c r="E1825">
        <v>0.52796043164825002</v>
      </c>
      <c r="F1825">
        <v>0.186229937671236</v>
      </c>
      <c r="G1825">
        <v>8.7372998530285795E-2</v>
      </c>
      <c r="H1825">
        <v>5.0448777318368498E-2</v>
      </c>
      <c r="I1825">
        <v>3.72535381401424E-2</v>
      </c>
      <c r="J1825">
        <v>3.1121746229601802E-2</v>
      </c>
      <c r="K1825">
        <v>2.2682591259671401E-2</v>
      </c>
      <c r="L1825">
        <v>2249.9422956246499</v>
      </c>
      <c r="M1825">
        <v>44.865050119367602</v>
      </c>
      <c r="N1825">
        <v>50.274302925594</v>
      </c>
      <c r="O1825">
        <v>50.049766335890602</v>
      </c>
      <c r="P1825">
        <v>-0.21225916465612099</v>
      </c>
      <c r="Q1825">
        <v>5.2847524069752697E-2</v>
      </c>
      <c r="R1825">
        <v>0.78656739880096704</v>
      </c>
      <c r="S1825" t="s">
        <v>5454</v>
      </c>
      <c r="T1825" t="s">
        <v>7256</v>
      </c>
      <c r="U1825" t="s">
        <v>7256</v>
      </c>
      <c r="V1825" t="s">
        <v>7256</v>
      </c>
      <c r="W1825">
        <v>25</v>
      </c>
      <c r="X1825" t="s">
        <v>9081</v>
      </c>
      <c r="Y1825">
        <v>0.3758784883236756</v>
      </c>
      <c r="Z1825" t="str">
        <f>HYPERLINK("Melting_Curves/meltCurve_sp_Q6YN16_HSDL2_HUMAN_.pdf", "Melting_Curves/meltCurve_sp_Q6YN16_HSDL2_HUMAN_.pdf")</f>
        <v>Melting_Curves/meltCurve_sp_Q6YN16_HSDL2_HUMAN_.pdf</v>
      </c>
      <c r="AA1825" t="s">
        <v>12679</v>
      </c>
      <c r="AB1825" t="s">
        <v>16250</v>
      </c>
    </row>
    <row r="1826" spans="1:28" x14ac:dyDescent="0.25">
      <c r="A1826" t="s">
        <v>1830</v>
      </c>
      <c r="B1826">
        <v>0.98018197421672304</v>
      </c>
      <c r="C1826">
        <v>0.95570995288190097</v>
      </c>
      <c r="D1826">
        <v>0.89635148326125402</v>
      </c>
      <c r="E1826">
        <v>0.791269153821478</v>
      </c>
      <c r="F1826">
        <v>0.63660778115318195</v>
      </c>
      <c r="G1826">
        <v>0.47025487912500602</v>
      </c>
      <c r="H1826">
        <v>0.306863693386277</v>
      </c>
      <c r="I1826">
        <v>0.27742827552219401</v>
      </c>
      <c r="J1826">
        <v>0.23421063941362</v>
      </c>
      <c r="K1826">
        <v>0.16864742178547501</v>
      </c>
      <c r="L1826">
        <v>604.31760900349002</v>
      </c>
      <c r="M1826">
        <v>10.999905414794201</v>
      </c>
      <c r="N1826">
        <v>56.169811440892197</v>
      </c>
      <c r="O1826">
        <v>53.216376735573398</v>
      </c>
      <c r="P1826">
        <v>-4.6154661830731698E-2</v>
      </c>
      <c r="Q1826">
        <v>0.10713579595573899</v>
      </c>
      <c r="R1826">
        <v>0.99796065644627796</v>
      </c>
      <c r="S1826" t="s">
        <v>5455</v>
      </c>
      <c r="T1826" t="s">
        <v>7256</v>
      </c>
      <c r="U1826" t="s">
        <v>7256</v>
      </c>
      <c r="V1826" t="s">
        <v>7256</v>
      </c>
      <c r="W1826">
        <v>13</v>
      </c>
      <c r="X1826" t="s">
        <v>9082</v>
      </c>
      <c r="Y1826">
        <v>0.57402726194533849</v>
      </c>
      <c r="Z1826" t="str">
        <f>HYPERLINK("Melting_Curves/meltCurve_sp_Q6YP21_3_KAT3_HUMAN_.pdf", "Melting_Curves/meltCurve_sp_Q6YP21_3_KAT3_HUMAN_.pdf")</f>
        <v>Melting_Curves/meltCurve_sp_Q6YP21_3_KAT3_HUMAN_.pdf</v>
      </c>
      <c r="AA1826" t="s">
        <v>12680</v>
      </c>
      <c r="AB1826" t="s">
        <v>16251</v>
      </c>
    </row>
    <row r="1827" spans="1:28" x14ac:dyDescent="0.25">
      <c r="A1827" t="s">
        <v>1831</v>
      </c>
      <c r="B1827">
        <v>0.98018197421672304</v>
      </c>
      <c r="C1827">
        <v>0.90885530235865497</v>
      </c>
      <c r="D1827">
        <v>0.85017000027010403</v>
      </c>
      <c r="E1827">
        <v>0.59977071964743001</v>
      </c>
      <c r="F1827">
        <v>0.238917741590885</v>
      </c>
      <c r="G1827">
        <v>0.149282922356722</v>
      </c>
      <c r="H1827">
        <v>0.13163659595976901</v>
      </c>
      <c r="I1827">
        <v>0.12919675578492901</v>
      </c>
      <c r="J1827">
        <v>0.108782640569134</v>
      </c>
      <c r="K1827">
        <v>0.111448176279162</v>
      </c>
      <c r="L1827">
        <v>1083.90202500284</v>
      </c>
      <c r="M1827">
        <v>21.741117484419799</v>
      </c>
      <c r="N1827">
        <v>50.402883328271798</v>
      </c>
      <c r="O1827">
        <v>49.438896590825898</v>
      </c>
      <c r="P1827">
        <v>-9.8370644689405401E-2</v>
      </c>
      <c r="Q1827">
        <v>0.10524887161002799</v>
      </c>
      <c r="R1827">
        <v>0.989498362516395</v>
      </c>
      <c r="S1827" t="s">
        <v>5456</v>
      </c>
      <c r="T1827" t="s">
        <v>7256</v>
      </c>
      <c r="U1827" t="s">
        <v>7256</v>
      </c>
      <c r="V1827" t="s">
        <v>7256</v>
      </c>
      <c r="W1827">
        <v>6</v>
      </c>
      <c r="X1827" t="s">
        <v>9083</v>
      </c>
      <c r="Y1827">
        <v>0.40974006007608221</v>
      </c>
      <c r="Z1827" t="str">
        <f>HYPERLINK("Melting_Curves/meltCurve_sp_Q6ZMI0_PPR21_HUMAN_.pdf", "Melting_Curves/meltCurve_sp_Q6ZMI0_PPR21_HUMAN_.pdf")</f>
        <v>Melting_Curves/meltCurve_sp_Q6ZMI0_PPR21_HUMAN_.pdf</v>
      </c>
      <c r="AA1827" t="s">
        <v>12681</v>
      </c>
      <c r="AB1827" t="s">
        <v>16252</v>
      </c>
    </row>
    <row r="1828" spans="1:28" x14ac:dyDescent="0.25">
      <c r="A1828" t="s">
        <v>1832</v>
      </c>
      <c r="B1828">
        <v>0.98018197421672304</v>
      </c>
      <c r="C1828">
        <v>0.96049012137742096</v>
      </c>
      <c r="D1828">
        <v>0.86912628063761999</v>
      </c>
      <c r="E1828">
        <v>0.43310708021392202</v>
      </c>
      <c r="F1828">
        <v>0.18282777387538501</v>
      </c>
      <c r="G1828">
        <v>7.7570055857124398E-2</v>
      </c>
      <c r="H1828">
        <v>9.0836658913099902E-2</v>
      </c>
      <c r="I1828">
        <v>4.0936603179012897E-2</v>
      </c>
      <c r="J1828">
        <v>0.196069697728535</v>
      </c>
      <c r="K1828">
        <v>8.6881502628475396E-2</v>
      </c>
      <c r="L1828">
        <v>1373.64373823714</v>
      </c>
      <c r="M1828">
        <v>28.037095105031199</v>
      </c>
      <c r="N1828">
        <v>49.3592287739502</v>
      </c>
      <c r="O1828">
        <v>48.746583369736001</v>
      </c>
      <c r="P1828">
        <v>-0.130314918887738</v>
      </c>
      <c r="Q1828">
        <v>9.3721677140575402E-2</v>
      </c>
      <c r="R1828">
        <v>0.98876863270508197</v>
      </c>
      <c r="S1828" t="s">
        <v>5457</v>
      </c>
      <c r="T1828" t="s">
        <v>7256</v>
      </c>
      <c r="U1828" t="s">
        <v>7256</v>
      </c>
      <c r="V1828" t="s">
        <v>7256</v>
      </c>
      <c r="W1828">
        <v>2</v>
      </c>
      <c r="X1828" t="s">
        <v>9084</v>
      </c>
      <c r="Y1828">
        <v>0.37175969296368522</v>
      </c>
      <c r="Z1828" t="str">
        <f>HYPERLINK("Melting_Curves/meltCurve_sp_Q6ZT12_UBR3_HUMAN_.pdf", "Melting_Curves/meltCurve_sp_Q6ZT12_UBR3_HUMAN_.pdf")</f>
        <v>Melting_Curves/meltCurve_sp_Q6ZT12_UBR3_HUMAN_.pdf</v>
      </c>
      <c r="AA1828" t="s">
        <v>12682</v>
      </c>
      <c r="AB1828" t="s">
        <v>16253</v>
      </c>
    </row>
    <row r="1829" spans="1:28" x14ac:dyDescent="0.25">
      <c r="A1829" t="s">
        <v>1833</v>
      </c>
      <c r="B1829">
        <v>0.98018197421672304</v>
      </c>
      <c r="C1829">
        <v>0.96798413738767797</v>
      </c>
      <c r="D1829">
        <v>0.85309574013025802</v>
      </c>
      <c r="E1829">
        <v>0.59850766852475801</v>
      </c>
      <c r="F1829">
        <v>0.23922211688741099</v>
      </c>
      <c r="G1829">
        <v>0.103572225790995</v>
      </c>
      <c r="H1829">
        <v>6.5155388478531903E-2</v>
      </c>
      <c r="I1829">
        <v>5.0798602170499002E-2</v>
      </c>
      <c r="J1829">
        <v>6.9889956528170594E-2</v>
      </c>
      <c r="K1829">
        <v>5.22522635753426E-2</v>
      </c>
      <c r="L1829">
        <v>1130.31372301276</v>
      </c>
      <c r="M1829">
        <v>22.483847017216501</v>
      </c>
      <c r="N1829">
        <v>50.496707305606201</v>
      </c>
      <c r="O1829">
        <v>49.8796395395321</v>
      </c>
      <c r="P1829">
        <v>-0.107333924557292</v>
      </c>
      <c r="Q1829">
        <v>4.7553050890707799E-2</v>
      </c>
      <c r="R1829">
        <v>0.99594382264050896</v>
      </c>
      <c r="S1829" t="s">
        <v>5458</v>
      </c>
      <c r="T1829" t="s">
        <v>7256</v>
      </c>
      <c r="U1829" t="s">
        <v>7256</v>
      </c>
      <c r="V1829" t="s">
        <v>7256</v>
      </c>
      <c r="W1829">
        <v>16</v>
      </c>
      <c r="X1829" t="s">
        <v>9085</v>
      </c>
      <c r="Y1829">
        <v>0.38421892391719831</v>
      </c>
      <c r="Z1829" t="str">
        <f>HYPERLINK("Melting_Curves/meltCurve_sp_Q6ZUJ8_BCAP_HUMAN_.pdf", "Melting_Curves/meltCurve_sp_Q6ZUJ8_BCAP_HUMAN_.pdf")</f>
        <v>Melting_Curves/meltCurve_sp_Q6ZUJ8_BCAP_HUMAN_.pdf</v>
      </c>
      <c r="AA1829" t="s">
        <v>12683</v>
      </c>
      <c r="AB1829" t="s">
        <v>16254</v>
      </c>
    </row>
    <row r="1830" spans="1:28" x14ac:dyDescent="0.25">
      <c r="A1830" t="s">
        <v>1834</v>
      </c>
      <c r="B1830">
        <v>0.98018197421672304</v>
      </c>
      <c r="C1830">
        <v>0.98941039315296597</v>
      </c>
      <c r="D1830">
        <v>0.86176218609621802</v>
      </c>
      <c r="E1830">
        <v>0.655606021667134</v>
      </c>
      <c r="F1830">
        <v>0.60449470022359097</v>
      </c>
      <c r="G1830">
        <v>0.43423367087930498</v>
      </c>
      <c r="H1830">
        <v>0.31715858810425201</v>
      </c>
      <c r="I1830">
        <v>0.200834611266273</v>
      </c>
      <c r="J1830">
        <v>0.107895978702526</v>
      </c>
      <c r="K1830">
        <v>8.3689966340056002E-2</v>
      </c>
      <c r="L1830">
        <v>533.66958334721699</v>
      </c>
      <c r="M1830">
        <v>9.7199741188561806</v>
      </c>
      <c r="N1830">
        <v>54.904424288748899</v>
      </c>
      <c r="O1830">
        <v>52.731640272470997</v>
      </c>
      <c r="P1830">
        <v>-4.6107248029007002E-2</v>
      </c>
      <c r="Q1830">
        <v>0</v>
      </c>
      <c r="R1830">
        <v>0.98897830692065403</v>
      </c>
      <c r="S1830" t="s">
        <v>5459</v>
      </c>
      <c r="T1830" t="s">
        <v>7256</v>
      </c>
      <c r="U1830" t="s">
        <v>7256</v>
      </c>
      <c r="V1830" t="s">
        <v>7256</v>
      </c>
      <c r="W1830">
        <v>10</v>
      </c>
      <c r="X1830" t="s">
        <v>9086</v>
      </c>
      <c r="Y1830">
        <v>0.52341767153386265</v>
      </c>
      <c r="Z1830" t="str">
        <f>HYPERLINK("Melting_Curves/meltCurve_sp_Q709C8_3_VP13C_HUMAN_.pdf", "Melting_Curves/meltCurve_sp_Q709C8_3_VP13C_HUMAN_.pdf")</f>
        <v>Melting_Curves/meltCurve_sp_Q709C8_3_VP13C_HUMAN_.pdf</v>
      </c>
      <c r="AA1830" t="s">
        <v>12684</v>
      </c>
      <c r="AB1830" t="s">
        <v>16255</v>
      </c>
    </row>
    <row r="1831" spans="1:28" x14ac:dyDescent="0.25">
      <c r="A1831" t="s">
        <v>1835</v>
      </c>
      <c r="B1831">
        <v>0.98018197421672304</v>
      </c>
      <c r="C1831">
        <v>0.98923460329436397</v>
      </c>
      <c r="D1831">
        <v>0.80834713820816495</v>
      </c>
      <c r="E1831">
        <v>0.57533350363977198</v>
      </c>
      <c r="F1831">
        <v>0.31483715427189801</v>
      </c>
      <c r="G1831">
        <v>0.100956573868175</v>
      </c>
      <c r="H1831">
        <v>5.0614823403644697E-2</v>
      </c>
      <c r="I1831">
        <v>3.6762133357779302E-2</v>
      </c>
      <c r="J1831">
        <v>3.3971687562780101E-2</v>
      </c>
      <c r="K1831">
        <v>2.22121891069707E-2</v>
      </c>
      <c r="L1831">
        <v>887.691985941756</v>
      </c>
      <c r="M1831">
        <v>17.571872903631</v>
      </c>
      <c r="N1831">
        <v>50.573318880070502</v>
      </c>
      <c r="O1831">
        <v>49.877129012949503</v>
      </c>
      <c r="P1831">
        <v>-8.7238856488220204E-2</v>
      </c>
      <c r="Q1831">
        <v>9.5563147067412695E-3</v>
      </c>
      <c r="R1831">
        <v>0.99707273464066504</v>
      </c>
      <c r="S1831" t="s">
        <v>5460</v>
      </c>
      <c r="T1831" t="s">
        <v>7256</v>
      </c>
      <c r="U1831" t="s">
        <v>7256</v>
      </c>
      <c r="V1831" t="s">
        <v>7256</v>
      </c>
      <c r="W1831">
        <v>24</v>
      </c>
      <c r="X1831" t="s">
        <v>9087</v>
      </c>
      <c r="Y1831">
        <v>0.37434208499755661</v>
      </c>
      <c r="Z1831" t="str">
        <f>HYPERLINK("Melting_Curves/meltCurve_sp_Q709F0_ACD11_HUMAN_.pdf", "Melting_Curves/meltCurve_sp_Q709F0_ACD11_HUMAN_.pdf")</f>
        <v>Melting_Curves/meltCurve_sp_Q709F0_ACD11_HUMAN_.pdf</v>
      </c>
      <c r="AA1831" t="s">
        <v>12685</v>
      </c>
      <c r="AB1831" t="s">
        <v>16256</v>
      </c>
    </row>
    <row r="1832" spans="1:28" x14ac:dyDescent="0.25">
      <c r="A1832" t="s">
        <v>1836</v>
      </c>
      <c r="B1832">
        <v>0.98018197421672304</v>
      </c>
      <c r="C1832">
        <v>1.0225157815485499</v>
      </c>
      <c r="D1832">
        <v>0.88574788994428399</v>
      </c>
      <c r="E1832">
        <v>0.70973415803180695</v>
      </c>
      <c r="F1832">
        <v>0.56746806386561</v>
      </c>
      <c r="G1832">
        <v>0.33611913377262997</v>
      </c>
      <c r="H1832">
        <v>0.308004977028626</v>
      </c>
      <c r="I1832">
        <v>0.29425532145403599</v>
      </c>
      <c r="J1832">
        <v>0.37209569429862599</v>
      </c>
      <c r="K1832">
        <v>0.469779627279583</v>
      </c>
      <c r="L1832">
        <v>1101.1405867103199</v>
      </c>
      <c r="M1832">
        <v>21.808740314864501</v>
      </c>
      <c r="N1832">
        <v>53.414894221267602</v>
      </c>
      <c r="O1832">
        <v>50.072021007245503</v>
      </c>
      <c r="P1832">
        <v>-7.0943781087627805E-2</v>
      </c>
      <c r="Q1832">
        <v>0.34847840383162298</v>
      </c>
      <c r="R1832">
        <v>0.95737252344026302</v>
      </c>
      <c r="S1832" t="s">
        <v>5461</v>
      </c>
      <c r="T1832" t="s">
        <v>7256</v>
      </c>
      <c r="U1832" t="s">
        <v>7256</v>
      </c>
      <c r="V1832" t="s">
        <v>7256</v>
      </c>
      <c r="W1832">
        <v>4</v>
      </c>
      <c r="X1832" t="s">
        <v>9088</v>
      </c>
      <c r="Y1832">
        <v>0.58397230633879071</v>
      </c>
      <c r="Z1832" t="str">
        <f>HYPERLINK("Melting_Curves/meltCurve_sp_Q70E73_RAPH1_HUMAN_.pdf", "Melting_Curves/meltCurve_sp_Q70E73_RAPH1_HUMAN_.pdf")</f>
        <v>Melting_Curves/meltCurve_sp_Q70E73_RAPH1_HUMAN_.pdf</v>
      </c>
      <c r="AA1832" t="s">
        <v>12686</v>
      </c>
      <c r="AB1832" t="s">
        <v>16257</v>
      </c>
    </row>
    <row r="1833" spans="1:28" x14ac:dyDescent="0.25">
      <c r="A1833" t="s">
        <v>1837</v>
      </c>
      <c r="B1833">
        <v>0.98018197421672304</v>
      </c>
      <c r="C1833">
        <v>0.89783860088706102</v>
      </c>
      <c r="D1833">
        <v>0.87795287595892402</v>
      </c>
      <c r="E1833">
        <v>0.65985728157007095</v>
      </c>
      <c r="F1833">
        <v>0.49559142477621998</v>
      </c>
      <c r="G1833">
        <v>0.31447209996140302</v>
      </c>
      <c r="H1833">
        <v>0.22457946223822201</v>
      </c>
      <c r="I1833">
        <v>0.19721514704623999</v>
      </c>
      <c r="J1833">
        <v>0.20256300471334701</v>
      </c>
      <c r="K1833">
        <v>0.21440317307425499</v>
      </c>
      <c r="L1833">
        <v>733.08092926965298</v>
      </c>
      <c r="M1833">
        <v>14.324875079296501</v>
      </c>
      <c r="N1833">
        <v>52.694485586765801</v>
      </c>
      <c r="O1833">
        <v>50.2090439566418</v>
      </c>
      <c r="P1833">
        <v>-5.9268041186422399E-2</v>
      </c>
      <c r="Q1833">
        <v>0.169156375176573</v>
      </c>
      <c r="R1833">
        <v>0.99478229118734396</v>
      </c>
      <c r="S1833" t="s">
        <v>5462</v>
      </c>
      <c r="T1833" t="s">
        <v>7256</v>
      </c>
      <c r="U1833" t="s">
        <v>7256</v>
      </c>
      <c r="V1833" t="s">
        <v>7256</v>
      </c>
      <c r="W1833">
        <v>6</v>
      </c>
      <c r="X1833" t="s">
        <v>9089</v>
      </c>
      <c r="Y1833">
        <v>0.49921565760558712</v>
      </c>
      <c r="Z1833" t="str">
        <f>HYPERLINK("Melting_Curves/meltCurve_sp_Q71RC2_6_LARP4_HUMAN_.pdf", "Melting_Curves/meltCurve_sp_Q71RC2_6_LARP4_HUMAN_.pdf")</f>
        <v>Melting_Curves/meltCurve_sp_Q71RC2_6_LARP4_HUMAN_.pdf</v>
      </c>
      <c r="AA1833" t="s">
        <v>12687</v>
      </c>
      <c r="AB1833" t="s">
        <v>16258</v>
      </c>
    </row>
    <row r="1834" spans="1:28" x14ac:dyDescent="0.25">
      <c r="A1834" t="s">
        <v>1838</v>
      </c>
      <c r="B1834">
        <v>0.98018197421672304</v>
      </c>
      <c r="C1834">
        <v>0.92383607400881396</v>
      </c>
      <c r="D1834">
        <v>0.70493552696846495</v>
      </c>
      <c r="E1834">
        <v>0.39424188894218198</v>
      </c>
      <c r="F1834">
        <v>0.229204129823673</v>
      </c>
      <c r="G1834">
        <v>0.14691196667710399</v>
      </c>
      <c r="H1834">
        <v>8.1010419714863197E-2</v>
      </c>
      <c r="I1834">
        <v>6.4480388429124E-2</v>
      </c>
      <c r="J1834">
        <v>7.9118987250630698E-2</v>
      </c>
      <c r="K1834">
        <v>6.1543739767185301E-2</v>
      </c>
      <c r="L1834">
        <v>833.00343431470503</v>
      </c>
      <c r="M1834">
        <v>17.261142107077202</v>
      </c>
      <c r="N1834">
        <v>48.642707267020199</v>
      </c>
      <c r="O1834">
        <v>47.6251304373964</v>
      </c>
      <c r="P1834">
        <v>-8.4845647429163507E-2</v>
      </c>
      <c r="Q1834">
        <v>6.3665697569761301E-2</v>
      </c>
      <c r="R1834">
        <v>0.99881013920595996</v>
      </c>
      <c r="S1834" t="s">
        <v>5463</v>
      </c>
      <c r="T1834" t="s">
        <v>7256</v>
      </c>
      <c r="U1834" t="s">
        <v>7256</v>
      </c>
      <c r="V1834" t="s">
        <v>7256</v>
      </c>
      <c r="W1834">
        <v>14</v>
      </c>
      <c r="X1834" t="s">
        <v>9090</v>
      </c>
      <c r="Y1834">
        <v>0.33940901822232161</v>
      </c>
      <c r="Z1834" t="str">
        <f>HYPERLINK("Melting_Curves/meltCurve_sp_Q71U36_2_TBA1A_HUMAN_.pdf", "Melting_Curves/meltCurve_sp_Q71U36_2_TBA1A_HUMAN_.pdf")</f>
        <v>Melting_Curves/meltCurve_sp_Q71U36_2_TBA1A_HUMAN_.pdf</v>
      </c>
      <c r="AA1834" t="s">
        <v>12688</v>
      </c>
      <c r="AB1834" t="s">
        <v>16259</v>
      </c>
    </row>
    <row r="1835" spans="1:28" x14ac:dyDescent="0.25">
      <c r="A1835" t="s">
        <v>1839</v>
      </c>
      <c r="B1835">
        <v>0.98018197421672304</v>
      </c>
      <c r="C1835">
        <v>0.94512099500383195</v>
      </c>
      <c r="D1835">
        <v>0.89912448293170599</v>
      </c>
      <c r="E1835">
        <v>0.82556147794967805</v>
      </c>
      <c r="F1835">
        <v>0.81687668814340897</v>
      </c>
      <c r="G1835">
        <v>0.57718080212824396</v>
      </c>
      <c r="H1835">
        <v>0.54231575560358303</v>
      </c>
      <c r="I1835">
        <v>0.428846544617489</v>
      </c>
      <c r="J1835">
        <v>0.57263871738321104</v>
      </c>
      <c r="K1835">
        <v>0.65729384925543599</v>
      </c>
      <c r="L1835">
        <v>816.55269737400704</v>
      </c>
      <c r="M1835">
        <v>15.719039885204401</v>
      </c>
      <c r="O1835">
        <v>51.127793793101098</v>
      </c>
      <c r="P1835">
        <v>-3.6052609873122997E-2</v>
      </c>
      <c r="Q1835">
        <v>0.53098015741452198</v>
      </c>
      <c r="R1835">
        <v>0.86410395513970795</v>
      </c>
      <c r="S1835" t="s">
        <v>5464</v>
      </c>
      <c r="T1835" t="s">
        <v>7256</v>
      </c>
      <c r="U1835" t="s">
        <v>7256</v>
      </c>
      <c r="V1835" t="s">
        <v>7256</v>
      </c>
      <c r="W1835">
        <v>5</v>
      </c>
      <c r="X1835" t="s">
        <v>9091</v>
      </c>
      <c r="Y1835">
        <v>0.72752077704715934</v>
      </c>
      <c r="Z1835" t="str">
        <f>HYPERLINK("Melting_Curves/meltCurve_sp_Q765P7_MTSSL_HUMAN_.pdf", "Melting_Curves/meltCurve_sp_Q765P7_MTSSL_HUMAN_.pdf")</f>
        <v>Melting_Curves/meltCurve_sp_Q765P7_MTSSL_HUMAN_.pdf</v>
      </c>
      <c r="AA1835" t="s">
        <v>12689</v>
      </c>
      <c r="AB1835" t="s">
        <v>16260</v>
      </c>
    </row>
    <row r="1836" spans="1:28" x14ac:dyDescent="0.25">
      <c r="A1836" t="s">
        <v>1840</v>
      </c>
      <c r="B1836">
        <v>0.98018197421672304</v>
      </c>
      <c r="C1836">
        <v>0.96060009955829595</v>
      </c>
      <c r="D1836">
        <v>0.88727271014376297</v>
      </c>
      <c r="E1836">
        <v>0.58376273109797505</v>
      </c>
      <c r="F1836">
        <v>0.238456888414079</v>
      </c>
      <c r="G1836">
        <v>0.151967169219693</v>
      </c>
      <c r="H1836">
        <v>9.3312868271606203E-2</v>
      </c>
      <c r="I1836">
        <v>6.8016172380101297E-2</v>
      </c>
      <c r="J1836">
        <v>8.1294972161060797E-2</v>
      </c>
      <c r="K1836">
        <v>2.5884769237208401E-2</v>
      </c>
      <c r="L1836">
        <v>1144.6482078926899</v>
      </c>
      <c r="M1836">
        <v>22.7871770758012</v>
      </c>
      <c r="N1836">
        <v>50.5262940231678</v>
      </c>
      <c r="O1836">
        <v>49.8500597917376</v>
      </c>
      <c r="P1836">
        <v>-0.10718126471643</v>
      </c>
      <c r="Q1836">
        <v>6.2123623254306599E-2</v>
      </c>
      <c r="R1836">
        <v>0.99569308833635894</v>
      </c>
      <c r="S1836" t="s">
        <v>5465</v>
      </c>
      <c r="T1836" t="s">
        <v>7256</v>
      </c>
      <c r="U1836" t="s">
        <v>7256</v>
      </c>
      <c r="V1836" t="s">
        <v>7256</v>
      </c>
      <c r="W1836">
        <v>6</v>
      </c>
      <c r="X1836" t="s">
        <v>9092</v>
      </c>
      <c r="Y1836">
        <v>0.39211091221683708</v>
      </c>
      <c r="Z1836" t="str">
        <f>HYPERLINK("Melting_Curves/meltCurve_sp_Q7KZ85_SPT6H_HUMAN_.pdf", "Melting_Curves/meltCurve_sp_Q7KZ85_SPT6H_HUMAN_.pdf")</f>
        <v>Melting_Curves/meltCurve_sp_Q7KZ85_SPT6H_HUMAN_.pdf</v>
      </c>
      <c r="AA1836" t="s">
        <v>12690</v>
      </c>
      <c r="AB1836" t="s">
        <v>16261</v>
      </c>
    </row>
    <row r="1837" spans="1:28" x14ac:dyDescent="0.25">
      <c r="A1837" t="s">
        <v>1841</v>
      </c>
      <c r="B1837">
        <v>0.98018197421672304</v>
      </c>
      <c r="C1837">
        <v>0.921908156622955</v>
      </c>
      <c r="D1837">
        <v>0.61842981363855598</v>
      </c>
      <c r="E1837">
        <v>0.22872788203320599</v>
      </c>
      <c r="F1837">
        <v>0.133043282557223</v>
      </c>
      <c r="G1837">
        <v>9.1739445864230704E-2</v>
      </c>
      <c r="H1837">
        <v>6.7159047798211496E-2</v>
      </c>
      <c r="I1837">
        <v>4.6421633733362402E-2</v>
      </c>
      <c r="J1837">
        <v>8.1151023569003097E-2</v>
      </c>
      <c r="K1837">
        <v>4.7573195892345599E-2</v>
      </c>
      <c r="L1837">
        <v>1119.78167604849</v>
      </c>
      <c r="M1837">
        <v>23.930711748741899</v>
      </c>
      <c r="N1837">
        <v>47.066788195447998</v>
      </c>
      <c r="O1837">
        <v>46.469582128653997</v>
      </c>
      <c r="P1837">
        <v>-0.12037106378284</v>
      </c>
      <c r="Q1837">
        <v>6.5050202910992505E-2</v>
      </c>
      <c r="R1837">
        <v>0.99857681949852395</v>
      </c>
      <c r="S1837" t="s">
        <v>5466</v>
      </c>
      <c r="T1837" t="s">
        <v>7256</v>
      </c>
      <c r="U1837" t="s">
        <v>7256</v>
      </c>
      <c r="V1837" t="s">
        <v>7256</v>
      </c>
      <c r="W1837">
        <v>23</v>
      </c>
      <c r="X1837" t="s">
        <v>9093</v>
      </c>
      <c r="Y1837">
        <v>0.28598815144257328</v>
      </c>
      <c r="Z1837" t="str">
        <f>HYPERLINK("Melting_Curves/meltCurve_sp_Q7KZF4_SND1_HUMAN_.pdf", "Melting_Curves/meltCurve_sp_Q7KZF4_SND1_HUMAN_.pdf")</f>
        <v>Melting_Curves/meltCurve_sp_Q7KZF4_SND1_HUMAN_.pdf</v>
      </c>
      <c r="AA1837" t="s">
        <v>12691</v>
      </c>
      <c r="AB1837" t="s">
        <v>16262</v>
      </c>
    </row>
    <row r="1838" spans="1:28" x14ac:dyDescent="0.25">
      <c r="A1838" t="s">
        <v>1842</v>
      </c>
      <c r="B1838">
        <v>0.98018197421672304</v>
      </c>
      <c r="C1838">
        <v>0.90060055781505199</v>
      </c>
      <c r="D1838">
        <v>0.82436006028380204</v>
      </c>
      <c r="E1838">
        <v>0.72080694100402298</v>
      </c>
      <c r="F1838">
        <v>0.54193606625842705</v>
      </c>
      <c r="G1838">
        <v>0.34765621988811601</v>
      </c>
      <c r="H1838">
        <v>0.22058932163146899</v>
      </c>
      <c r="I1838">
        <v>0.23208784722727899</v>
      </c>
      <c r="J1838">
        <v>0.32605301454618102</v>
      </c>
      <c r="K1838">
        <v>0.283086322978025</v>
      </c>
      <c r="L1838">
        <v>713.43300805286503</v>
      </c>
      <c r="M1838">
        <v>13.9796403205294</v>
      </c>
      <c r="N1838">
        <v>53.373643259166698</v>
      </c>
      <c r="O1838">
        <v>50.0234649768041</v>
      </c>
      <c r="P1838">
        <v>-5.38661160901375E-2</v>
      </c>
      <c r="Q1838">
        <v>0.22910428351270501</v>
      </c>
      <c r="R1838">
        <v>0.97185310345454201</v>
      </c>
      <c r="S1838" t="s">
        <v>5467</v>
      </c>
      <c r="T1838" t="s">
        <v>7256</v>
      </c>
      <c r="U1838" t="s">
        <v>7256</v>
      </c>
      <c r="V1838" t="s">
        <v>7256</v>
      </c>
      <c r="W1838">
        <v>1</v>
      </c>
      <c r="X1838" t="s">
        <v>9094</v>
      </c>
      <c r="Y1838">
        <v>0.53257076653578117</v>
      </c>
      <c r="Z1838" t="str">
        <f>HYPERLINK("Melting_Curves/meltCurve_sp_Q7KZI7_12_MARK2_HUMAN_.pdf", "Melting_Curves/meltCurve_sp_Q7KZI7_12_MARK2_HUMAN_.pdf")</f>
        <v>Melting_Curves/meltCurve_sp_Q7KZI7_12_MARK2_HUMAN_.pdf</v>
      </c>
      <c r="AA1838" t="s">
        <v>12692</v>
      </c>
      <c r="AB1838" t="s">
        <v>16263</v>
      </c>
    </row>
    <row r="1839" spans="1:28" x14ac:dyDescent="0.25">
      <c r="A1839" t="s">
        <v>1843</v>
      </c>
      <c r="B1839">
        <v>0.98018197421672304</v>
      </c>
      <c r="C1839">
        <v>0.94361881045936302</v>
      </c>
      <c r="D1839">
        <v>0.80220615190463995</v>
      </c>
      <c r="E1839">
        <v>0.55775633261824298</v>
      </c>
      <c r="F1839">
        <v>0.377047349882561</v>
      </c>
      <c r="G1839">
        <v>0.22272718565520999</v>
      </c>
      <c r="H1839">
        <v>0.225693364833388</v>
      </c>
      <c r="I1839">
        <v>0.20258352845091299</v>
      </c>
      <c r="J1839">
        <v>0.19964672115829801</v>
      </c>
      <c r="K1839">
        <v>0.23822707014550901</v>
      </c>
      <c r="L1839">
        <v>876.17830230715595</v>
      </c>
      <c r="M1839">
        <v>17.8265276976826</v>
      </c>
      <c r="N1839">
        <v>50.586080870687098</v>
      </c>
      <c r="O1839">
        <v>48.544264066104802</v>
      </c>
      <c r="P1839">
        <v>-7.3581874345309703E-2</v>
      </c>
      <c r="Q1839">
        <v>0.19854391487207501</v>
      </c>
      <c r="R1839">
        <v>0.99613939719670297</v>
      </c>
      <c r="S1839" t="s">
        <v>5468</v>
      </c>
      <c r="T1839" t="s">
        <v>7256</v>
      </c>
      <c r="U1839" t="s">
        <v>7256</v>
      </c>
      <c r="V1839" t="s">
        <v>7256</v>
      </c>
      <c r="W1839">
        <v>10</v>
      </c>
      <c r="X1839" t="s">
        <v>9095</v>
      </c>
      <c r="Y1839">
        <v>0.45710621083178388</v>
      </c>
      <c r="Z1839" t="str">
        <f>HYPERLINK("Melting_Curves/meltCurve_sp_Q7L014_DDX46_HUMAN_.pdf", "Melting_Curves/meltCurve_sp_Q7L014_DDX46_HUMAN_.pdf")</f>
        <v>Melting_Curves/meltCurve_sp_Q7L014_DDX46_HUMAN_.pdf</v>
      </c>
      <c r="AA1839" t="s">
        <v>12693</v>
      </c>
      <c r="AB1839" t="s">
        <v>16264</v>
      </c>
    </row>
    <row r="1840" spans="1:28" x14ac:dyDescent="0.25">
      <c r="A1840" t="s">
        <v>1844</v>
      </c>
      <c r="B1840">
        <v>0.98018197421672304</v>
      </c>
      <c r="C1840">
        <v>0.64867190379151896</v>
      </c>
      <c r="D1840">
        <v>0.83756863059173303</v>
      </c>
      <c r="E1840">
        <v>0.67549530806730296</v>
      </c>
      <c r="F1840">
        <v>0.37139991499730302</v>
      </c>
      <c r="G1840">
        <v>0.24080942549746101</v>
      </c>
      <c r="H1840">
        <v>0.1143930886935</v>
      </c>
      <c r="I1840">
        <v>0.100010515954917</v>
      </c>
      <c r="J1840">
        <v>7.7038891070944401E-2</v>
      </c>
      <c r="K1840">
        <v>8.2950630663279998E-2</v>
      </c>
      <c r="L1840">
        <v>518.75614805481598</v>
      </c>
      <c r="M1840">
        <v>10.1427656447497</v>
      </c>
      <c r="N1840">
        <v>51.145412857550603</v>
      </c>
      <c r="O1840">
        <v>49.276767423918301</v>
      </c>
      <c r="P1840">
        <v>-5.1481866099946198E-2</v>
      </c>
      <c r="Q1840">
        <v>0</v>
      </c>
      <c r="R1840">
        <v>0.92665694993319603</v>
      </c>
      <c r="S1840" t="s">
        <v>5469</v>
      </c>
      <c r="T1840" t="s">
        <v>7256</v>
      </c>
      <c r="U1840" t="s">
        <v>7256</v>
      </c>
      <c r="V1840" t="s">
        <v>7256</v>
      </c>
      <c r="W1840">
        <v>2</v>
      </c>
      <c r="X1840" t="s">
        <v>9096</v>
      </c>
      <c r="Y1840">
        <v>0.41187674679582681</v>
      </c>
      <c r="Z1840" t="str">
        <f>HYPERLINK("Melting_Curves/meltCurve_sp_Q7L099_4_RUFY3_HUMAN_.pdf", "Melting_Curves/meltCurve_sp_Q7L099_4_RUFY3_HUMAN_.pdf")</f>
        <v>Melting_Curves/meltCurve_sp_Q7L099_4_RUFY3_HUMAN_.pdf</v>
      </c>
      <c r="AA1840" t="s">
        <v>12694</v>
      </c>
      <c r="AB1840" t="s">
        <v>16265</v>
      </c>
    </row>
    <row r="1841" spans="1:28" x14ac:dyDescent="0.25">
      <c r="A1841" t="s">
        <v>1845</v>
      </c>
      <c r="B1841">
        <v>0.98018197421672304</v>
      </c>
      <c r="C1841">
        <v>0.92832561317068396</v>
      </c>
      <c r="D1841">
        <v>0.78759013491141505</v>
      </c>
      <c r="E1841">
        <v>0.39723309120126399</v>
      </c>
      <c r="F1841">
        <v>0.14004669024768501</v>
      </c>
      <c r="G1841">
        <v>8.4776084222600703E-2</v>
      </c>
      <c r="H1841">
        <v>7.2009700857100303E-2</v>
      </c>
      <c r="I1841">
        <v>5.0457276240555703E-2</v>
      </c>
      <c r="J1841">
        <v>7.6920770319325704E-2</v>
      </c>
      <c r="K1841">
        <v>5.9374543399786803E-2</v>
      </c>
      <c r="L1841">
        <v>1101.8336765607701</v>
      </c>
      <c r="M1841">
        <v>22.7160961493156</v>
      </c>
      <c r="N1841">
        <v>48.759661220730202</v>
      </c>
      <c r="O1841">
        <v>48.133330176065598</v>
      </c>
      <c r="P1841">
        <v>-0.111376383290201</v>
      </c>
      <c r="Q1841">
        <v>5.6033038499679402E-2</v>
      </c>
      <c r="R1841">
        <v>0.99767729486145995</v>
      </c>
      <c r="S1841" t="s">
        <v>5470</v>
      </c>
      <c r="T1841" t="s">
        <v>7256</v>
      </c>
      <c r="U1841" t="s">
        <v>7256</v>
      </c>
      <c r="V1841" t="s">
        <v>7256</v>
      </c>
      <c r="W1841">
        <v>12</v>
      </c>
      <c r="X1841" t="s">
        <v>9097</v>
      </c>
      <c r="Y1841">
        <v>0.33382978693505388</v>
      </c>
      <c r="Z1841" t="str">
        <f>HYPERLINK("Melting_Curves/meltCurve_sp_Q7L0Y3_MRRP1_HUMAN_.pdf", "Melting_Curves/meltCurve_sp_Q7L0Y3_MRRP1_HUMAN_.pdf")</f>
        <v>Melting_Curves/meltCurve_sp_Q7L0Y3_MRRP1_HUMAN_.pdf</v>
      </c>
      <c r="AA1841" t="s">
        <v>12695</v>
      </c>
      <c r="AB1841" t="s">
        <v>16266</v>
      </c>
    </row>
    <row r="1842" spans="1:28" x14ac:dyDescent="0.25">
      <c r="A1842" t="s">
        <v>1846</v>
      </c>
      <c r="B1842">
        <v>0.98018197421672304</v>
      </c>
      <c r="C1842">
        <v>0.98047548485101099</v>
      </c>
      <c r="D1842">
        <v>0.89638760676666196</v>
      </c>
      <c r="E1842">
        <v>0.65994956567616703</v>
      </c>
      <c r="F1842">
        <v>0.23573218621286701</v>
      </c>
      <c r="G1842">
        <v>0.12384450282918701</v>
      </c>
      <c r="H1842">
        <v>7.1507601836071494E-2</v>
      </c>
      <c r="I1842">
        <v>5.82663535649523E-2</v>
      </c>
      <c r="J1842">
        <v>6.4444397738486703E-2</v>
      </c>
      <c r="K1842">
        <v>4.0720279936577002E-2</v>
      </c>
      <c r="L1842">
        <v>1428.3361950583201</v>
      </c>
      <c r="M1842">
        <v>28.155018027445799</v>
      </c>
      <c r="N1842">
        <v>50.950939578497</v>
      </c>
      <c r="O1842">
        <v>50.477293813077999</v>
      </c>
      <c r="P1842">
        <v>-0.13147095141601101</v>
      </c>
      <c r="Q1842">
        <v>5.7185355491171999E-2</v>
      </c>
      <c r="R1842">
        <v>0.99529235267592797</v>
      </c>
      <c r="S1842" t="s">
        <v>5471</v>
      </c>
      <c r="T1842" t="s">
        <v>7256</v>
      </c>
      <c r="U1842" t="s">
        <v>7256</v>
      </c>
      <c r="V1842" t="s">
        <v>7256</v>
      </c>
      <c r="W1842">
        <v>11</v>
      </c>
      <c r="X1842" t="s">
        <v>9098</v>
      </c>
      <c r="Y1842">
        <v>0.40113729778063778</v>
      </c>
      <c r="Z1842" t="str">
        <f>HYPERLINK("Melting_Curves/meltCurve_sp_Q7L1Q6_BZW1_HUMAN_.pdf", "Melting_Curves/meltCurve_sp_Q7L1Q6_BZW1_HUMAN_.pdf")</f>
        <v>Melting_Curves/meltCurve_sp_Q7L1Q6_BZW1_HUMAN_.pdf</v>
      </c>
      <c r="AA1842" t="s">
        <v>12696</v>
      </c>
      <c r="AB1842" t="s">
        <v>16267</v>
      </c>
    </row>
    <row r="1843" spans="1:28" x14ac:dyDescent="0.25">
      <c r="A1843" t="s">
        <v>1847</v>
      </c>
      <c r="B1843">
        <v>0.98018197421672304</v>
      </c>
      <c r="C1843">
        <v>0.80283618181420602</v>
      </c>
      <c r="D1843">
        <v>0.72386878066967697</v>
      </c>
      <c r="E1843">
        <v>0.59871791647982697</v>
      </c>
      <c r="F1843">
        <v>0.475848955802331</v>
      </c>
      <c r="G1843">
        <v>0.34032635873876399</v>
      </c>
      <c r="H1843">
        <v>0.14225509039010401</v>
      </c>
      <c r="I1843">
        <v>8.1092030878463506E-2</v>
      </c>
      <c r="J1843">
        <v>0.14817796804591299</v>
      </c>
      <c r="K1843">
        <v>8.2638416484071706E-2</v>
      </c>
      <c r="L1843">
        <v>469.77734445275598</v>
      </c>
      <c r="M1843">
        <v>9.0981108987437906</v>
      </c>
      <c r="N1843">
        <v>51.634595732010901</v>
      </c>
      <c r="O1843">
        <v>49.323434116419598</v>
      </c>
      <c r="P1843">
        <v>-4.6146688548159003E-2</v>
      </c>
      <c r="Q1843">
        <v>0</v>
      </c>
      <c r="R1843">
        <v>0.98013263325534095</v>
      </c>
      <c r="S1843" t="s">
        <v>5472</v>
      </c>
      <c r="T1843" t="s">
        <v>7256</v>
      </c>
      <c r="U1843" t="s">
        <v>7256</v>
      </c>
      <c r="V1843" t="s">
        <v>7256</v>
      </c>
      <c r="W1843">
        <v>1</v>
      </c>
      <c r="X1843" t="s">
        <v>9099</v>
      </c>
      <c r="Y1843">
        <v>0.43139253019648238</v>
      </c>
      <c r="Z1843" t="str">
        <f>HYPERLINK("Melting_Curves/meltCurve_sp_Q7L1W4_LRC8D_HUMAN_.pdf", "Melting_Curves/meltCurve_sp_Q7L1W4_LRC8D_HUMAN_.pdf")</f>
        <v>Melting_Curves/meltCurve_sp_Q7L1W4_LRC8D_HUMAN_.pdf</v>
      </c>
      <c r="AA1843" t="s">
        <v>12697</v>
      </c>
      <c r="AB1843" t="s">
        <v>16268</v>
      </c>
    </row>
    <row r="1844" spans="1:28" x14ac:dyDescent="0.25">
      <c r="A1844" t="s">
        <v>1848</v>
      </c>
      <c r="B1844">
        <v>0.98018197421672304</v>
      </c>
      <c r="C1844">
        <v>0.73315168347881299</v>
      </c>
      <c r="D1844">
        <v>0.88774249503332703</v>
      </c>
      <c r="E1844">
        <v>0.67417688884104898</v>
      </c>
      <c r="F1844">
        <v>0.47013799900636799</v>
      </c>
      <c r="G1844">
        <v>0.32587987135589602</v>
      </c>
      <c r="H1844">
        <v>0.26516059934595898</v>
      </c>
      <c r="I1844">
        <v>0.19222799002933699</v>
      </c>
      <c r="J1844">
        <v>0.27295328685139703</v>
      </c>
      <c r="K1844">
        <v>0.28658316338991202</v>
      </c>
      <c r="L1844">
        <v>586.258848873793</v>
      </c>
      <c r="M1844">
        <v>11.625354877455701</v>
      </c>
      <c r="N1844">
        <v>52.666828444355197</v>
      </c>
      <c r="O1844">
        <v>49.006454051748001</v>
      </c>
      <c r="P1844">
        <v>-4.7761073098636503E-2</v>
      </c>
      <c r="Q1844">
        <v>0.19487600619871301</v>
      </c>
      <c r="R1844">
        <v>0.92897095906773797</v>
      </c>
      <c r="S1844" t="s">
        <v>5473</v>
      </c>
      <c r="T1844" t="s">
        <v>7256</v>
      </c>
      <c r="U1844" t="s">
        <v>7256</v>
      </c>
      <c r="V1844" t="s">
        <v>7256</v>
      </c>
      <c r="W1844">
        <v>5</v>
      </c>
      <c r="X1844" t="s">
        <v>9100</v>
      </c>
      <c r="Y1844">
        <v>0.50326158597249704</v>
      </c>
      <c r="Z1844" t="str">
        <f>HYPERLINK("Melting_Curves/meltCurve_sp_Q7L2J0_MEPCE_HUMAN_.pdf", "Melting_Curves/meltCurve_sp_Q7L2J0_MEPCE_HUMAN_.pdf")</f>
        <v>Melting_Curves/meltCurve_sp_Q7L2J0_MEPCE_HUMAN_.pdf</v>
      </c>
      <c r="AA1844" t="s">
        <v>12698</v>
      </c>
      <c r="AB1844" t="s">
        <v>16269</v>
      </c>
    </row>
    <row r="1845" spans="1:28" x14ac:dyDescent="0.25">
      <c r="A1845" t="s">
        <v>1849</v>
      </c>
      <c r="B1845">
        <v>0.98018197421672304</v>
      </c>
      <c r="C1845">
        <v>1.00108276539979</v>
      </c>
      <c r="D1845">
        <v>0.82862465832251697</v>
      </c>
      <c r="E1845">
        <v>0.699404711937749</v>
      </c>
      <c r="F1845">
        <v>0.63749830796611195</v>
      </c>
      <c r="G1845">
        <v>0.42031047255759901</v>
      </c>
      <c r="H1845">
        <v>0.26136439163241099</v>
      </c>
      <c r="I1845">
        <v>0.163466794239428</v>
      </c>
      <c r="J1845">
        <v>8.0360635106283607E-2</v>
      </c>
      <c r="K1845">
        <v>0.18948310976588101</v>
      </c>
      <c r="L1845">
        <v>579.640435062866</v>
      </c>
      <c r="M1845">
        <v>10.629125767960801</v>
      </c>
      <c r="N1845">
        <v>54.833493999263503</v>
      </c>
      <c r="O1845">
        <v>52.709165611389501</v>
      </c>
      <c r="P1845">
        <v>-4.90075475321863E-2</v>
      </c>
      <c r="Q1845">
        <v>2.8272493068550401E-2</v>
      </c>
      <c r="R1845">
        <v>0.98119435693814505</v>
      </c>
      <c r="S1845" t="s">
        <v>5474</v>
      </c>
      <c r="T1845" t="s">
        <v>7256</v>
      </c>
      <c r="U1845" t="s">
        <v>7256</v>
      </c>
      <c r="V1845" t="s">
        <v>7256</v>
      </c>
      <c r="W1845">
        <v>2</v>
      </c>
      <c r="X1845" t="s">
        <v>9101</v>
      </c>
      <c r="Y1845">
        <v>0.52523056456159511</v>
      </c>
      <c r="Z1845" t="str">
        <f>HYPERLINK("Melting_Curves/meltCurve_sp_Q7L523_RRAGA_HUMAN_.pdf", "Melting_Curves/meltCurve_sp_Q7L523_RRAGA_HUMAN_.pdf")</f>
        <v>Melting_Curves/meltCurve_sp_Q7L523_RRAGA_HUMAN_.pdf</v>
      </c>
      <c r="AA1845" t="s">
        <v>12699</v>
      </c>
      <c r="AB1845" t="s">
        <v>16270</v>
      </c>
    </row>
    <row r="1846" spans="1:28" x14ac:dyDescent="0.25">
      <c r="A1846" t="s">
        <v>1850</v>
      </c>
      <c r="B1846">
        <v>0.98018197421672304</v>
      </c>
      <c r="C1846">
        <v>1.01641351672569</v>
      </c>
      <c r="D1846">
        <v>0.91866621633566004</v>
      </c>
      <c r="E1846">
        <v>0.78424753225083399</v>
      </c>
      <c r="F1846">
        <v>0.47594190324136898</v>
      </c>
      <c r="G1846">
        <v>0.15922745095273</v>
      </c>
      <c r="H1846">
        <v>8.3856743496259004E-2</v>
      </c>
      <c r="I1846">
        <v>6.1706814689158201E-2</v>
      </c>
      <c r="J1846">
        <v>6.6954501118227996E-2</v>
      </c>
      <c r="K1846">
        <v>6.0487622355057301E-2</v>
      </c>
      <c r="L1846">
        <v>1250.16428538948</v>
      </c>
      <c r="M1846">
        <v>23.8335546873646</v>
      </c>
      <c r="N1846">
        <v>52.699796948960802</v>
      </c>
      <c r="O1846">
        <v>52.088866464140999</v>
      </c>
      <c r="P1846">
        <v>-0.10837262134343</v>
      </c>
      <c r="Q1846">
        <v>5.2610435240242198E-2</v>
      </c>
      <c r="R1846">
        <v>0.99765672668874406</v>
      </c>
      <c r="S1846" t="s">
        <v>5475</v>
      </c>
      <c r="T1846" t="s">
        <v>7256</v>
      </c>
      <c r="U1846" t="s">
        <v>7256</v>
      </c>
      <c r="V1846" t="s">
        <v>7256</v>
      </c>
      <c r="W1846">
        <v>11</v>
      </c>
      <c r="X1846" t="s">
        <v>9102</v>
      </c>
      <c r="Y1846">
        <v>0.45540878941327212</v>
      </c>
      <c r="Z1846" t="str">
        <f>HYPERLINK("Melting_Curves/meltCurve_sp_Q7L576_CYFP1_HUMAN_.pdf", "Melting_Curves/meltCurve_sp_Q7L576_CYFP1_HUMAN_.pdf")</f>
        <v>Melting_Curves/meltCurve_sp_Q7L576_CYFP1_HUMAN_.pdf</v>
      </c>
      <c r="AA1846" t="s">
        <v>12700</v>
      </c>
      <c r="AB1846" t="s">
        <v>16271</v>
      </c>
    </row>
    <row r="1847" spans="1:28" x14ac:dyDescent="0.25">
      <c r="A1847" t="s">
        <v>1851</v>
      </c>
      <c r="B1847">
        <v>0.98018197421672304</v>
      </c>
      <c r="C1847">
        <v>0.81672418905726496</v>
      </c>
      <c r="D1847">
        <v>0.772745337074626</v>
      </c>
      <c r="E1847">
        <v>0.462242431316367</v>
      </c>
      <c r="F1847">
        <v>0.25202646434024301</v>
      </c>
      <c r="G1847">
        <v>0.16793957352800101</v>
      </c>
      <c r="H1847">
        <v>0.10838272249688299</v>
      </c>
      <c r="I1847">
        <v>9.3324007669643494E-2</v>
      </c>
      <c r="J1847">
        <v>9.7369504577289601E-2</v>
      </c>
      <c r="K1847">
        <v>8.0055439125469002E-2</v>
      </c>
      <c r="L1847">
        <v>720.10374349952804</v>
      </c>
      <c r="M1847">
        <v>14.7727351252724</v>
      </c>
      <c r="N1847">
        <v>49.228433623540901</v>
      </c>
      <c r="O1847">
        <v>47.8783832667147</v>
      </c>
      <c r="P1847">
        <v>-7.1940836227108396E-2</v>
      </c>
      <c r="Q1847">
        <v>6.7460240227002893E-2</v>
      </c>
      <c r="R1847">
        <v>0.99156428120570295</v>
      </c>
      <c r="S1847" t="s">
        <v>5476</v>
      </c>
      <c r="T1847" t="s">
        <v>7256</v>
      </c>
      <c r="U1847" t="s">
        <v>7256</v>
      </c>
      <c r="V1847" t="s">
        <v>7256</v>
      </c>
      <c r="W1847">
        <v>3</v>
      </c>
      <c r="X1847" t="s">
        <v>9103</v>
      </c>
      <c r="Y1847">
        <v>0.36323506848508302</v>
      </c>
      <c r="Z1847" t="str">
        <f>HYPERLINK("Melting_Curves/meltCurve_sp_Q7L5D6_GET4_HUMAN_.pdf", "Melting_Curves/meltCurve_sp_Q7L5D6_GET4_HUMAN_.pdf")</f>
        <v>Melting_Curves/meltCurve_sp_Q7L5D6_GET4_HUMAN_.pdf</v>
      </c>
      <c r="AA1847" t="s">
        <v>12701</v>
      </c>
      <c r="AB1847" t="s">
        <v>16272</v>
      </c>
    </row>
    <row r="1848" spans="1:28" x14ac:dyDescent="0.25">
      <c r="A1848" t="s">
        <v>1852</v>
      </c>
      <c r="B1848">
        <v>0.98018197421672304</v>
      </c>
      <c r="C1848">
        <v>0.734763995742301</v>
      </c>
      <c r="D1848">
        <v>0.90959506537933599</v>
      </c>
      <c r="E1848">
        <v>0.76157925611482502</v>
      </c>
      <c r="F1848">
        <v>0.46828843627186001</v>
      </c>
      <c r="G1848">
        <v>0.22433187920662001</v>
      </c>
      <c r="H1848">
        <v>7.3448987362866106E-2</v>
      </c>
      <c r="I1848">
        <v>4.7804989592657901E-2</v>
      </c>
      <c r="J1848">
        <v>4.2750908755174503E-2</v>
      </c>
      <c r="K1848">
        <v>2.7664512083817899E-2</v>
      </c>
      <c r="L1848">
        <v>810.83142224309404</v>
      </c>
      <c r="M1848">
        <v>15.395124638892399</v>
      </c>
      <c r="N1848">
        <v>52.668075584476803</v>
      </c>
      <c r="O1848">
        <v>51.803408981200299</v>
      </c>
      <c r="P1848">
        <v>-7.4302684229338001E-2</v>
      </c>
      <c r="Q1848">
        <v>0</v>
      </c>
      <c r="R1848">
        <v>0.95444064734121803</v>
      </c>
      <c r="S1848" t="s">
        <v>5477</v>
      </c>
      <c r="T1848" t="s">
        <v>7256</v>
      </c>
      <c r="U1848" t="s">
        <v>7256</v>
      </c>
      <c r="V1848" t="s">
        <v>7256</v>
      </c>
      <c r="W1848">
        <v>18</v>
      </c>
      <c r="X1848" t="s">
        <v>9104</v>
      </c>
      <c r="Y1848">
        <v>0.44327136513086229</v>
      </c>
      <c r="Z1848" t="str">
        <f>HYPERLINK("Melting_Curves/meltCurve_sp_Q7L5Y1_ENOF1_HUMAN_.pdf", "Melting_Curves/meltCurve_sp_Q7L5Y1_ENOF1_HUMAN_.pdf")</f>
        <v>Melting_Curves/meltCurve_sp_Q7L5Y1_ENOF1_HUMAN_.pdf</v>
      </c>
      <c r="AA1848" t="s">
        <v>12702</v>
      </c>
      <c r="AB1848" t="s">
        <v>16273</v>
      </c>
    </row>
    <row r="1849" spans="1:28" x14ac:dyDescent="0.25">
      <c r="A1849" t="s">
        <v>1853</v>
      </c>
      <c r="B1849">
        <v>0.98018197421672304</v>
      </c>
      <c r="C1849">
        <v>0.90175120639129103</v>
      </c>
      <c r="D1849">
        <v>0.85177041166498402</v>
      </c>
      <c r="E1849">
        <v>0.71844342854238796</v>
      </c>
      <c r="F1849">
        <v>0.41769437132710002</v>
      </c>
      <c r="G1849">
        <v>0.17294160209826101</v>
      </c>
      <c r="H1849">
        <v>0.106312853855093</v>
      </c>
      <c r="I1849">
        <v>7.4362340513674297E-2</v>
      </c>
      <c r="J1849">
        <v>9.5984977898921006E-2</v>
      </c>
      <c r="K1849">
        <v>8.4550165265680696E-2</v>
      </c>
      <c r="L1849">
        <v>898.46442991510503</v>
      </c>
      <c r="M1849">
        <v>17.396344787819899</v>
      </c>
      <c r="N1849">
        <v>51.996660128766003</v>
      </c>
      <c r="O1849">
        <v>50.978769904381402</v>
      </c>
      <c r="P1849">
        <v>-8.0603671922013995E-2</v>
      </c>
      <c r="Q1849">
        <v>5.5239661418654697E-2</v>
      </c>
      <c r="R1849">
        <v>0.989523947899005</v>
      </c>
      <c r="S1849" t="s">
        <v>5478</v>
      </c>
      <c r="T1849" t="s">
        <v>7256</v>
      </c>
      <c r="U1849" t="s">
        <v>7256</v>
      </c>
      <c r="V1849" t="s">
        <v>7256</v>
      </c>
      <c r="W1849">
        <v>5</v>
      </c>
      <c r="X1849" t="s">
        <v>9105</v>
      </c>
      <c r="Y1849">
        <v>0.43877210262665989</v>
      </c>
      <c r="Z1849" t="str">
        <f>HYPERLINK("Melting_Curves/meltCurve_sp_Q7L775_EPMIP_HUMAN_.pdf", "Melting_Curves/meltCurve_sp_Q7L775_EPMIP_HUMAN_.pdf")</f>
        <v>Melting_Curves/meltCurve_sp_Q7L775_EPMIP_HUMAN_.pdf</v>
      </c>
      <c r="AA1849" t="s">
        <v>12703</v>
      </c>
      <c r="AB1849" t="s">
        <v>16274</v>
      </c>
    </row>
    <row r="1850" spans="1:28" x14ac:dyDescent="0.25">
      <c r="A1850" t="s">
        <v>1854</v>
      </c>
      <c r="B1850">
        <v>0.98018197421672304</v>
      </c>
      <c r="C1850">
        <v>0.70350103806810704</v>
      </c>
      <c r="D1850">
        <v>0.70080735412269002</v>
      </c>
      <c r="E1850">
        <v>0.37320396699953101</v>
      </c>
      <c r="F1850">
        <v>0.18025951855706401</v>
      </c>
      <c r="G1850">
        <v>0.161733027231594</v>
      </c>
      <c r="H1850">
        <v>0.11924246430087999</v>
      </c>
      <c r="I1850">
        <v>0.13825586476431501</v>
      </c>
      <c r="J1850">
        <v>0.15042394901765699</v>
      </c>
      <c r="K1850">
        <v>0.22189488601478499</v>
      </c>
      <c r="L1850">
        <v>732.44843742105002</v>
      </c>
      <c r="M1850">
        <v>15.724648713955199</v>
      </c>
      <c r="N1850">
        <v>47.534500647171797</v>
      </c>
      <c r="O1850">
        <v>45.845845031965801</v>
      </c>
      <c r="P1850">
        <v>-7.4141393544759404E-2</v>
      </c>
      <c r="Q1850">
        <v>0.13542414629414301</v>
      </c>
      <c r="R1850">
        <v>0.95660674919574196</v>
      </c>
      <c r="S1850" t="s">
        <v>5479</v>
      </c>
      <c r="T1850" t="s">
        <v>7256</v>
      </c>
      <c r="U1850" t="s">
        <v>7256</v>
      </c>
      <c r="V1850" t="s">
        <v>7256</v>
      </c>
      <c r="W1850">
        <v>2</v>
      </c>
      <c r="X1850" t="s">
        <v>9106</v>
      </c>
      <c r="Y1850">
        <v>0.34691790700398079</v>
      </c>
      <c r="Z1850" t="str">
        <f>HYPERLINK("Melting_Curves/meltCurve_sp_Q7L8L6_FAKD5_HUMAN_.pdf", "Melting_Curves/meltCurve_sp_Q7L8L6_FAKD5_HUMAN_.pdf")</f>
        <v>Melting_Curves/meltCurve_sp_Q7L8L6_FAKD5_HUMAN_.pdf</v>
      </c>
      <c r="AA1850" t="s">
        <v>12704</v>
      </c>
      <c r="AB1850" t="s">
        <v>16275</v>
      </c>
    </row>
    <row r="1851" spans="1:28" x14ac:dyDescent="0.25">
      <c r="A1851" t="s">
        <v>1855</v>
      </c>
      <c r="B1851">
        <v>0.98018197421672304</v>
      </c>
      <c r="C1851">
        <v>0.99478119240488105</v>
      </c>
      <c r="D1851">
        <v>0.925081237805506</v>
      </c>
      <c r="E1851">
        <v>0.83213303404548</v>
      </c>
      <c r="F1851">
        <v>0.727882939360461</v>
      </c>
      <c r="G1851">
        <v>0.395146796468831</v>
      </c>
      <c r="H1851">
        <v>0.218100858828465</v>
      </c>
      <c r="I1851">
        <v>0.181559413626696</v>
      </c>
      <c r="J1851">
        <v>0.234367327666164</v>
      </c>
      <c r="K1851">
        <v>0.20292379495565699</v>
      </c>
      <c r="L1851">
        <v>1083.5894286504699</v>
      </c>
      <c r="M1851">
        <v>19.989723259896699</v>
      </c>
      <c r="N1851">
        <v>55.409596487482702</v>
      </c>
      <c r="O1851">
        <v>53.673576922417801</v>
      </c>
      <c r="P1851">
        <v>-7.67273212527851E-2</v>
      </c>
      <c r="Q1851">
        <v>0.17595748274175499</v>
      </c>
      <c r="R1851">
        <v>0.98990515956117298</v>
      </c>
      <c r="S1851" t="s">
        <v>5480</v>
      </c>
      <c r="T1851" t="s">
        <v>7256</v>
      </c>
      <c r="U1851" t="s">
        <v>7256</v>
      </c>
      <c r="V1851" t="s">
        <v>7256</v>
      </c>
      <c r="W1851">
        <v>4</v>
      </c>
      <c r="X1851" t="s">
        <v>9107</v>
      </c>
      <c r="Y1851">
        <v>0.57737599076522994</v>
      </c>
      <c r="Z1851" t="str">
        <f>HYPERLINK("Melting_Curves/meltCurve_sp_Q7LBR1_CHM1B_HUMAN_.pdf", "Melting_Curves/meltCurve_sp_Q7LBR1_CHM1B_HUMAN_.pdf")</f>
        <v>Melting_Curves/meltCurve_sp_Q7LBR1_CHM1B_HUMAN_.pdf</v>
      </c>
      <c r="AA1851" t="s">
        <v>12705</v>
      </c>
      <c r="AB1851" t="s">
        <v>16276</v>
      </c>
    </row>
    <row r="1852" spans="1:28" x14ac:dyDescent="0.25">
      <c r="A1852" t="s">
        <v>1856</v>
      </c>
      <c r="B1852">
        <v>0.98018197421672304</v>
      </c>
      <c r="C1852">
        <v>0.90401300675679497</v>
      </c>
      <c r="D1852">
        <v>0.87040476620585605</v>
      </c>
      <c r="E1852">
        <v>0.77440148157945299</v>
      </c>
      <c r="F1852">
        <v>0.62797921822861302</v>
      </c>
      <c r="G1852">
        <v>0.46226015814698002</v>
      </c>
      <c r="H1852">
        <v>0.40492114550436198</v>
      </c>
      <c r="I1852">
        <v>0.37434007278187398</v>
      </c>
      <c r="J1852">
        <v>0.40716648431250602</v>
      </c>
      <c r="K1852">
        <v>0.29567543875415198</v>
      </c>
      <c r="L1852">
        <v>575.41546186506605</v>
      </c>
      <c r="M1852">
        <v>10.968813027091301</v>
      </c>
      <c r="N1852">
        <v>56.9106199555739</v>
      </c>
      <c r="O1852">
        <v>50.806015917245603</v>
      </c>
      <c r="P1852">
        <v>-3.8443396911095898E-2</v>
      </c>
      <c r="Q1852">
        <v>0.287984852348938</v>
      </c>
      <c r="R1852">
        <v>0.98451185489372794</v>
      </c>
      <c r="S1852" t="s">
        <v>5481</v>
      </c>
      <c r="T1852" t="s">
        <v>7256</v>
      </c>
      <c r="U1852" t="s">
        <v>7256</v>
      </c>
      <c r="V1852" t="s">
        <v>7256</v>
      </c>
      <c r="W1852">
        <v>4</v>
      </c>
      <c r="X1852" t="s">
        <v>9108</v>
      </c>
      <c r="Y1852">
        <v>0.60711234880436193</v>
      </c>
      <c r="Z1852" t="str">
        <f>HYPERLINK("Melting_Curves/meltCurve_sp_Q7LG56_RIR2B_HUMAN_.pdf", "Melting_Curves/meltCurve_sp_Q7LG56_RIR2B_HUMAN_.pdf")</f>
        <v>Melting_Curves/meltCurve_sp_Q7LG56_RIR2B_HUMAN_.pdf</v>
      </c>
      <c r="AA1852" t="s">
        <v>12706</v>
      </c>
      <c r="AB1852" t="s">
        <v>16277</v>
      </c>
    </row>
    <row r="1853" spans="1:28" x14ac:dyDescent="0.25">
      <c r="A1853" t="s">
        <v>1857</v>
      </c>
      <c r="B1853">
        <v>0.98018197421672304</v>
      </c>
      <c r="C1853">
        <v>1.0003508763498401</v>
      </c>
      <c r="D1853">
        <v>0.88685723402304895</v>
      </c>
      <c r="E1853">
        <v>0.70836162602455699</v>
      </c>
      <c r="F1853">
        <v>0.54727524656121096</v>
      </c>
      <c r="G1853">
        <v>0.35668677009372501</v>
      </c>
      <c r="H1853">
        <v>0.35598463580439799</v>
      </c>
      <c r="I1853">
        <v>0.38233149740603301</v>
      </c>
      <c r="J1853">
        <v>0.44103877456046198</v>
      </c>
      <c r="K1853">
        <v>0.49637312250041699</v>
      </c>
      <c r="L1853">
        <v>1166.5500126664999</v>
      </c>
      <c r="M1853">
        <v>23.404516988387599</v>
      </c>
      <c r="N1853">
        <v>53.613466669929601</v>
      </c>
      <c r="O1853">
        <v>49.483344075105698</v>
      </c>
      <c r="P1853">
        <v>-7.0523536440583304E-2</v>
      </c>
      <c r="Q1853">
        <v>0.40358873861162903</v>
      </c>
      <c r="R1853">
        <v>0.96278678662136796</v>
      </c>
      <c r="S1853" t="s">
        <v>5482</v>
      </c>
      <c r="T1853" t="s">
        <v>7256</v>
      </c>
      <c r="U1853" t="s">
        <v>7256</v>
      </c>
      <c r="V1853" t="s">
        <v>7256</v>
      </c>
      <c r="W1853">
        <v>12</v>
      </c>
      <c r="X1853" t="s">
        <v>9109</v>
      </c>
      <c r="Y1853">
        <v>0.60534813382473196</v>
      </c>
      <c r="Z1853" t="str">
        <f>HYPERLINK("Melting_Curves/meltCurve_sp_Q7RTP6_MICA3_HUMAN_.pdf", "Melting_Curves/meltCurve_sp_Q7RTP6_MICA3_HUMAN_.pdf")</f>
        <v>Melting_Curves/meltCurve_sp_Q7RTP6_MICA3_HUMAN_.pdf</v>
      </c>
      <c r="AA1853" t="s">
        <v>12707</v>
      </c>
      <c r="AB1853" t="s">
        <v>16278</v>
      </c>
    </row>
    <row r="1854" spans="1:28" x14ac:dyDescent="0.25">
      <c r="A1854" t="s">
        <v>1858</v>
      </c>
      <c r="B1854">
        <v>0.98018197421672304</v>
      </c>
      <c r="C1854">
        <v>0.96248970660051203</v>
      </c>
      <c r="D1854">
        <v>0.84329769969602197</v>
      </c>
      <c r="E1854">
        <v>0.75436168684856097</v>
      </c>
      <c r="F1854">
        <v>0.78523783515707901</v>
      </c>
      <c r="G1854">
        <v>0.62218775712778696</v>
      </c>
      <c r="H1854">
        <v>0.46139596220130402</v>
      </c>
      <c r="I1854">
        <v>0.52439719239307703</v>
      </c>
      <c r="J1854">
        <v>0.55062036214061405</v>
      </c>
      <c r="K1854">
        <v>0.59031673372849702</v>
      </c>
      <c r="L1854">
        <v>579.50052981141903</v>
      </c>
      <c r="M1854">
        <v>11.4008197549066</v>
      </c>
      <c r="O1854">
        <v>49.341266966463301</v>
      </c>
      <c r="P1854">
        <v>-2.8568589425182499E-2</v>
      </c>
      <c r="Q1854">
        <v>0.50558091482814105</v>
      </c>
      <c r="R1854">
        <v>0.91122900490772496</v>
      </c>
      <c r="S1854" t="s">
        <v>5483</v>
      </c>
      <c r="T1854" t="s">
        <v>7256</v>
      </c>
      <c r="U1854" t="s">
        <v>7256</v>
      </c>
      <c r="V1854" t="s">
        <v>7256</v>
      </c>
      <c r="W1854">
        <v>7</v>
      </c>
      <c r="X1854" t="s">
        <v>9110</v>
      </c>
      <c r="Y1854">
        <v>0.70158981024533629</v>
      </c>
      <c r="Z1854" t="str">
        <f>HYPERLINK("Melting_Curves/meltCurve_sp_Q7RTV0_PHF5A_HUMAN_.pdf", "Melting_Curves/meltCurve_sp_Q7RTV0_PHF5A_HUMAN_.pdf")</f>
        <v>Melting_Curves/meltCurve_sp_Q7RTV0_PHF5A_HUMAN_.pdf</v>
      </c>
      <c r="AA1854" t="s">
        <v>12708</v>
      </c>
      <c r="AB1854" t="s">
        <v>16279</v>
      </c>
    </row>
    <row r="1855" spans="1:28" x14ac:dyDescent="0.25">
      <c r="A1855" t="s">
        <v>1859</v>
      </c>
      <c r="B1855">
        <v>0.98018197421672304</v>
      </c>
      <c r="C1855">
        <v>0.87774824272860197</v>
      </c>
      <c r="D1855">
        <v>0.66689124795972599</v>
      </c>
      <c r="E1855">
        <v>0.50094636794167902</v>
      </c>
      <c r="F1855">
        <v>0.39885245878417402</v>
      </c>
      <c r="G1855">
        <v>0.25671867294096601</v>
      </c>
      <c r="H1855">
        <v>0.241804345295177</v>
      </c>
      <c r="I1855">
        <v>0.204737720521983</v>
      </c>
      <c r="J1855">
        <v>0.50067391413860496</v>
      </c>
      <c r="K1855">
        <v>0.35873783070781001</v>
      </c>
      <c r="L1855">
        <v>855.42612194478204</v>
      </c>
      <c r="M1855">
        <v>18.4049273527454</v>
      </c>
      <c r="N1855">
        <v>49.110158047863102</v>
      </c>
      <c r="O1855">
        <v>45.939833348633897</v>
      </c>
      <c r="P1855">
        <v>-6.8757110955403294E-2</v>
      </c>
      <c r="Q1855">
        <v>0.313543078423213</v>
      </c>
      <c r="R1855">
        <v>0.90028387493878204</v>
      </c>
      <c r="S1855" t="s">
        <v>5484</v>
      </c>
      <c r="T1855" t="s">
        <v>7256</v>
      </c>
      <c r="U1855" t="s">
        <v>7256</v>
      </c>
      <c r="V1855" t="s">
        <v>7256</v>
      </c>
      <c r="W1855">
        <v>6</v>
      </c>
      <c r="X1855" t="s">
        <v>9111</v>
      </c>
      <c r="Y1855">
        <v>0.47418345242306131</v>
      </c>
      <c r="Z1855" t="str">
        <f>HYPERLINK("Melting_Curves/meltCurve_sp_Q7Z2W4_ZCCHV_HUMAN_.pdf", "Melting_Curves/meltCurve_sp_Q7Z2W4_ZCCHV_HUMAN_.pdf")</f>
        <v>Melting_Curves/meltCurve_sp_Q7Z2W4_ZCCHV_HUMAN_.pdf</v>
      </c>
      <c r="AA1855" t="s">
        <v>12709</v>
      </c>
      <c r="AB1855" t="s">
        <v>16280</v>
      </c>
    </row>
    <row r="1856" spans="1:28" x14ac:dyDescent="0.25">
      <c r="A1856" t="s">
        <v>1860</v>
      </c>
      <c r="B1856">
        <v>0.98018197421672304</v>
      </c>
      <c r="C1856">
        <v>0.84594650679158301</v>
      </c>
      <c r="D1856">
        <v>0.80065291679066597</v>
      </c>
      <c r="E1856">
        <v>0.52826584647956198</v>
      </c>
      <c r="F1856">
        <v>0.29183678500698901</v>
      </c>
      <c r="G1856">
        <v>0.162842040988948</v>
      </c>
      <c r="H1856">
        <v>9.4276753006943007E-2</v>
      </c>
      <c r="I1856">
        <v>6.8174663105495498E-2</v>
      </c>
      <c r="J1856">
        <v>7.9329301485228904E-2</v>
      </c>
      <c r="K1856">
        <v>4.56759483953771E-2</v>
      </c>
      <c r="L1856">
        <v>710.66480871967894</v>
      </c>
      <c r="M1856">
        <v>14.273843655585701</v>
      </c>
      <c r="N1856">
        <v>50.028565847135297</v>
      </c>
      <c r="O1856">
        <v>48.8412660777852</v>
      </c>
      <c r="P1856">
        <v>-7.0646913905149794E-2</v>
      </c>
      <c r="Q1856">
        <v>3.3179429375548297E-2</v>
      </c>
      <c r="R1856">
        <v>0.99405328425523098</v>
      </c>
      <c r="S1856" t="s">
        <v>5485</v>
      </c>
      <c r="T1856" t="s">
        <v>7256</v>
      </c>
      <c r="U1856" t="s">
        <v>7256</v>
      </c>
      <c r="V1856" t="s">
        <v>7256</v>
      </c>
      <c r="W1856">
        <v>5</v>
      </c>
      <c r="X1856" t="s">
        <v>9112</v>
      </c>
      <c r="Y1856">
        <v>0.37396977981033908</v>
      </c>
      <c r="Z1856" t="str">
        <f>HYPERLINK("Melting_Curves/meltCurve_sp_Q7Z2Z2_ETUD1_HUMAN_.pdf", "Melting_Curves/meltCurve_sp_Q7Z2Z2_ETUD1_HUMAN_.pdf")</f>
        <v>Melting_Curves/meltCurve_sp_Q7Z2Z2_ETUD1_HUMAN_.pdf</v>
      </c>
      <c r="AA1856" t="s">
        <v>12710</v>
      </c>
      <c r="AB1856" t="s">
        <v>16281</v>
      </c>
    </row>
    <row r="1857" spans="1:28" x14ac:dyDescent="0.25">
      <c r="A1857" t="s">
        <v>1861</v>
      </c>
      <c r="B1857">
        <v>0.98018197421672304</v>
      </c>
      <c r="C1857">
        <v>0.91635971344128098</v>
      </c>
      <c r="D1857">
        <v>0.736328915906029</v>
      </c>
      <c r="E1857">
        <v>0.45783745033566098</v>
      </c>
      <c r="F1857">
        <v>0.17452762210868</v>
      </c>
      <c r="G1857">
        <v>0.123763119177477</v>
      </c>
      <c r="H1857">
        <v>7.9355491535707701E-2</v>
      </c>
      <c r="I1857">
        <v>5.4242296452530099E-2</v>
      </c>
      <c r="J1857">
        <v>6.9499564282651402E-2</v>
      </c>
      <c r="K1857">
        <v>5.9487288847649297E-2</v>
      </c>
      <c r="L1857">
        <v>879.81498033422497</v>
      </c>
      <c r="M1857">
        <v>18.085614977436801</v>
      </c>
      <c r="N1857">
        <v>48.9417455422617</v>
      </c>
      <c r="O1857">
        <v>48.064161698636603</v>
      </c>
      <c r="P1857">
        <v>-8.9224145002214497E-2</v>
      </c>
      <c r="Q1857">
        <v>5.1560896136107197E-2</v>
      </c>
      <c r="R1857">
        <v>0.99573795526916598</v>
      </c>
      <c r="S1857" t="s">
        <v>5486</v>
      </c>
      <c r="T1857" t="s">
        <v>7256</v>
      </c>
      <c r="U1857" t="s">
        <v>7256</v>
      </c>
      <c r="V1857" t="s">
        <v>7256</v>
      </c>
      <c r="W1857">
        <v>3</v>
      </c>
      <c r="X1857" t="s">
        <v>9113</v>
      </c>
      <c r="Y1857">
        <v>0.3413279527386705</v>
      </c>
      <c r="Z1857" t="str">
        <f>HYPERLINK("Melting_Curves/meltCurve_sp_Q7Z392_4_TPC11_HUMAN_.pdf", "Melting_Curves/meltCurve_sp_Q7Z392_4_TPC11_HUMAN_.pdf")</f>
        <v>Melting_Curves/meltCurve_sp_Q7Z392_4_TPC11_HUMAN_.pdf</v>
      </c>
      <c r="AA1857" t="s">
        <v>12711</v>
      </c>
      <c r="AB1857" t="s">
        <v>16282</v>
      </c>
    </row>
    <row r="1858" spans="1:28" x14ac:dyDescent="0.25">
      <c r="A1858" t="s">
        <v>1862</v>
      </c>
      <c r="B1858">
        <v>0.98018197421672304</v>
      </c>
      <c r="C1858">
        <v>0.88334758235378597</v>
      </c>
      <c r="D1858">
        <v>0.79571588772072399</v>
      </c>
      <c r="E1858">
        <v>0.53750592616814796</v>
      </c>
      <c r="F1858">
        <v>0.181510042393807</v>
      </c>
      <c r="G1858">
        <v>0.101437601549944</v>
      </c>
      <c r="H1858">
        <v>6.18468441840586E-2</v>
      </c>
      <c r="I1858">
        <v>5.1524648328184999E-2</v>
      </c>
      <c r="J1858">
        <v>5.1589265194814903E-2</v>
      </c>
      <c r="K1858">
        <v>3.5694859708291102E-2</v>
      </c>
      <c r="L1858">
        <v>902.25428612548205</v>
      </c>
      <c r="M1858">
        <v>18.2374353262291</v>
      </c>
      <c r="N1858">
        <v>49.633432196476299</v>
      </c>
      <c r="O1858">
        <v>48.889332679290398</v>
      </c>
      <c r="P1858">
        <v>-9.0588048159424797E-2</v>
      </c>
      <c r="Q1858">
        <v>2.86831786356152E-2</v>
      </c>
      <c r="R1858">
        <v>0.98982544390625204</v>
      </c>
      <c r="S1858" t="s">
        <v>5487</v>
      </c>
      <c r="T1858" t="s">
        <v>7256</v>
      </c>
      <c r="U1858" t="s">
        <v>7256</v>
      </c>
      <c r="V1858" t="s">
        <v>7256</v>
      </c>
      <c r="W1858">
        <v>8</v>
      </c>
      <c r="X1858" t="s">
        <v>9114</v>
      </c>
      <c r="Y1858">
        <v>0.35164856622887758</v>
      </c>
      <c r="Z1858" t="str">
        <f>HYPERLINK("Melting_Curves/meltCurve_sp_Q7Z3J2_CP062_HUMAN_.pdf", "Melting_Curves/meltCurve_sp_Q7Z3J2_CP062_HUMAN_.pdf")</f>
        <v>Melting_Curves/meltCurve_sp_Q7Z3J2_CP062_HUMAN_.pdf</v>
      </c>
      <c r="AA1858" t="s">
        <v>12712</v>
      </c>
      <c r="AB1858" t="s">
        <v>16283</v>
      </c>
    </row>
    <row r="1859" spans="1:28" x14ac:dyDescent="0.25">
      <c r="A1859" t="s">
        <v>1863</v>
      </c>
      <c r="B1859">
        <v>0.98018197421672304</v>
      </c>
      <c r="C1859">
        <v>0.93477621355622398</v>
      </c>
      <c r="D1859">
        <v>0.90056410127290798</v>
      </c>
      <c r="E1859">
        <v>0.77700354823217499</v>
      </c>
      <c r="F1859">
        <v>0.694753395751602</v>
      </c>
      <c r="G1859">
        <v>0.44329322285417999</v>
      </c>
      <c r="H1859">
        <v>0.37521912373788102</v>
      </c>
      <c r="I1859">
        <v>0.38138382455210701</v>
      </c>
      <c r="J1859">
        <v>0.43812919605517198</v>
      </c>
      <c r="K1859">
        <v>0.50082700005774805</v>
      </c>
      <c r="L1859">
        <v>915.64836294645602</v>
      </c>
      <c r="M1859">
        <v>17.791280067704701</v>
      </c>
      <c r="N1859">
        <v>56.799594677963498</v>
      </c>
      <c r="O1859">
        <v>50.8291258656132</v>
      </c>
      <c r="P1859">
        <v>-5.1986766858000098E-2</v>
      </c>
      <c r="Q1859">
        <v>0.40593247862236598</v>
      </c>
      <c r="R1859">
        <v>0.95138642490293901</v>
      </c>
      <c r="S1859" t="s">
        <v>5488</v>
      </c>
      <c r="T1859" t="s">
        <v>7256</v>
      </c>
      <c r="U1859" t="s">
        <v>7256</v>
      </c>
      <c r="V1859" t="s">
        <v>7256</v>
      </c>
      <c r="W1859">
        <v>5</v>
      </c>
      <c r="X1859" t="s">
        <v>9115</v>
      </c>
      <c r="Y1859">
        <v>0.64314774368297234</v>
      </c>
      <c r="Z1859" t="str">
        <f>HYPERLINK("Melting_Curves/meltCurve_sp_Q7Z3T8_ZFY16_HUMAN_.pdf", "Melting_Curves/meltCurve_sp_Q7Z3T8_ZFY16_HUMAN_.pdf")</f>
        <v>Melting_Curves/meltCurve_sp_Q7Z3T8_ZFY16_HUMAN_.pdf</v>
      </c>
      <c r="AA1859" t="s">
        <v>12713</v>
      </c>
      <c r="AB1859" t="s">
        <v>16284</v>
      </c>
    </row>
    <row r="1860" spans="1:28" x14ac:dyDescent="0.25">
      <c r="A1860" t="s">
        <v>1864</v>
      </c>
      <c r="B1860">
        <v>0.98018197421672304</v>
      </c>
      <c r="C1860">
        <v>0.478572180526672</v>
      </c>
      <c r="D1860">
        <v>0.75207858304884601</v>
      </c>
      <c r="E1860">
        <v>0.37687054167537598</v>
      </c>
      <c r="F1860">
        <v>0.10631088233387601</v>
      </c>
      <c r="G1860">
        <v>5.7431094949155298E-2</v>
      </c>
      <c r="H1860">
        <v>3.5518001944481098E-2</v>
      </c>
      <c r="I1860">
        <v>3.0628269044909E-2</v>
      </c>
      <c r="J1860">
        <v>3.1042491151172701E-2</v>
      </c>
      <c r="K1860">
        <v>2.4888323663724201E-2</v>
      </c>
      <c r="L1860">
        <v>557.927756488618</v>
      </c>
      <c r="M1860">
        <v>11.916964237207701</v>
      </c>
      <c r="N1860">
        <v>46.817948040475699</v>
      </c>
      <c r="O1860">
        <v>45.557997255265498</v>
      </c>
      <c r="P1860">
        <v>-6.54106637616758E-2</v>
      </c>
      <c r="Q1860">
        <v>0</v>
      </c>
      <c r="R1860">
        <v>0.87462241862667001</v>
      </c>
      <c r="S1860" t="s">
        <v>5489</v>
      </c>
      <c r="T1860" t="s">
        <v>7256</v>
      </c>
      <c r="U1860" t="s">
        <v>7256</v>
      </c>
      <c r="V1860" t="s">
        <v>7256</v>
      </c>
      <c r="W1860">
        <v>40</v>
      </c>
      <c r="X1860" t="s">
        <v>9116</v>
      </c>
      <c r="Y1860">
        <v>0.27037652832527981</v>
      </c>
      <c r="Z1860" t="str">
        <f>HYPERLINK("Melting_Curves/meltCurve_sp_Q7Z406_6_MYH14_HUMAN_.pdf", "Melting_Curves/meltCurve_sp_Q7Z406_6_MYH14_HUMAN_.pdf")</f>
        <v>Melting_Curves/meltCurve_sp_Q7Z406_6_MYH14_HUMAN_.pdf</v>
      </c>
      <c r="AA1860" t="s">
        <v>12714</v>
      </c>
      <c r="AB1860" t="s">
        <v>16285</v>
      </c>
    </row>
    <row r="1861" spans="1:28" x14ac:dyDescent="0.25">
      <c r="A1861" t="s">
        <v>1865</v>
      </c>
      <c r="B1861">
        <v>0.98018197421672304</v>
      </c>
      <c r="C1861">
        <v>1.0964208888722</v>
      </c>
      <c r="D1861">
        <v>0.97467869035981303</v>
      </c>
      <c r="E1861">
        <v>0.80028876527402104</v>
      </c>
      <c r="F1861">
        <v>0.66675560343909801</v>
      </c>
      <c r="G1861">
        <v>0.41277929340038</v>
      </c>
      <c r="H1861">
        <v>0.44547997267372902</v>
      </c>
      <c r="I1861">
        <v>0.47648361294346703</v>
      </c>
      <c r="J1861">
        <v>0.53914602726368899</v>
      </c>
      <c r="K1861">
        <v>0.83521654562262404</v>
      </c>
      <c r="L1861">
        <v>1778.48131776828</v>
      </c>
      <c r="M1861">
        <v>35.206261039260397</v>
      </c>
      <c r="O1861">
        <v>50.353910501148903</v>
      </c>
      <c r="P1861">
        <v>-7.9159863451667797E-2</v>
      </c>
      <c r="Q1861">
        <v>0.54712667311952701</v>
      </c>
      <c r="R1861">
        <v>0.76493569188830302</v>
      </c>
      <c r="S1861" t="s">
        <v>5490</v>
      </c>
      <c r="T1861" t="s">
        <v>7256</v>
      </c>
      <c r="U1861" t="s">
        <v>7256</v>
      </c>
      <c r="V1861" t="s">
        <v>7256</v>
      </c>
      <c r="W1861">
        <v>6</v>
      </c>
      <c r="X1861" t="s">
        <v>9117</v>
      </c>
      <c r="Y1861">
        <v>0.70792060581434813</v>
      </c>
      <c r="Z1861" t="str">
        <f>HYPERLINK("Melting_Curves/meltCurve_sp_Q7Z417_NUFP2_HUMAN_.pdf", "Melting_Curves/meltCurve_sp_Q7Z417_NUFP2_HUMAN_.pdf")</f>
        <v>Melting_Curves/meltCurve_sp_Q7Z417_NUFP2_HUMAN_.pdf</v>
      </c>
      <c r="AA1861" t="s">
        <v>12715</v>
      </c>
      <c r="AB1861" t="s">
        <v>16286</v>
      </c>
    </row>
    <row r="1862" spans="1:28" x14ac:dyDescent="0.25">
      <c r="A1862" t="s">
        <v>1866</v>
      </c>
      <c r="B1862">
        <v>0.98018197421672304</v>
      </c>
      <c r="C1862">
        <v>0.96788641961941901</v>
      </c>
      <c r="D1862">
        <v>0.94627811824112296</v>
      </c>
      <c r="E1862">
        <v>0.81402562795089095</v>
      </c>
      <c r="F1862">
        <v>0.76617021567971599</v>
      </c>
      <c r="G1862">
        <v>0.65218193928345802</v>
      </c>
      <c r="H1862">
        <v>0.50957589256036895</v>
      </c>
      <c r="I1862">
        <v>0.57306732201278199</v>
      </c>
      <c r="J1862">
        <v>0.73538744160617198</v>
      </c>
      <c r="K1862">
        <v>0.88722414730293697</v>
      </c>
      <c r="L1862">
        <v>1189.6633105129499</v>
      </c>
      <c r="M1862">
        <v>24.055248251372198</v>
      </c>
      <c r="O1862">
        <v>49.117479795604901</v>
      </c>
      <c r="P1862">
        <v>-3.9897482467027602E-2</v>
      </c>
      <c r="Q1862">
        <v>0.67414460828976097</v>
      </c>
      <c r="R1862">
        <v>0.63485124709930996</v>
      </c>
      <c r="S1862" t="s">
        <v>5491</v>
      </c>
      <c r="T1862" t="s">
        <v>7256</v>
      </c>
      <c r="U1862" t="s">
        <v>7256</v>
      </c>
      <c r="V1862" t="s">
        <v>7256</v>
      </c>
      <c r="W1862">
        <v>2</v>
      </c>
      <c r="X1862" t="s">
        <v>9118</v>
      </c>
      <c r="Y1862">
        <v>0.77998215422745387</v>
      </c>
      <c r="Z1862" t="str">
        <f>HYPERLINK("Melting_Curves/meltCurve_sp_Q7Z422_2_SZRD1_HUMAN_.pdf", "Melting_Curves/meltCurve_sp_Q7Z422_2_SZRD1_HUMAN_.pdf")</f>
        <v>Melting_Curves/meltCurve_sp_Q7Z422_2_SZRD1_HUMAN_.pdf</v>
      </c>
      <c r="AA1862" t="s">
        <v>12716</v>
      </c>
      <c r="AB1862" t="s">
        <v>16287</v>
      </c>
    </row>
    <row r="1863" spans="1:28" x14ac:dyDescent="0.25">
      <c r="A1863" t="s">
        <v>1867</v>
      </c>
      <c r="B1863">
        <v>0.98018197421672304</v>
      </c>
      <c r="C1863">
        <v>0.90891733763077898</v>
      </c>
      <c r="D1863">
        <v>0.92505420579446196</v>
      </c>
      <c r="E1863">
        <v>0.84630601292118102</v>
      </c>
      <c r="F1863">
        <v>0.89815818764830901</v>
      </c>
      <c r="G1863">
        <v>0.58676152905400503</v>
      </c>
      <c r="H1863">
        <v>0.53007807077660296</v>
      </c>
      <c r="I1863">
        <v>0.53863967587255701</v>
      </c>
      <c r="J1863">
        <v>0.63342063463568699</v>
      </c>
      <c r="K1863">
        <v>0.68064461358178197</v>
      </c>
      <c r="L1863">
        <v>1298.9860108445801</v>
      </c>
      <c r="M1863">
        <v>24.4512848120401</v>
      </c>
      <c r="O1863">
        <v>52.773949602440098</v>
      </c>
      <c r="P1863">
        <v>-4.8137754721557499E-2</v>
      </c>
      <c r="Q1863">
        <v>0.58441740093313699</v>
      </c>
      <c r="R1863">
        <v>0.81229483911218103</v>
      </c>
      <c r="S1863" t="s">
        <v>5492</v>
      </c>
      <c r="T1863" t="s">
        <v>7256</v>
      </c>
      <c r="U1863" t="s">
        <v>7256</v>
      </c>
      <c r="V1863" t="s">
        <v>7256</v>
      </c>
      <c r="W1863">
        <v>4</v>
      </c>
      <c r="X1863" t="s">
        <v>9119</v>
      </c>
      <c r="Y1863">
        <v>0.77023268997933036</v>
      </c>
      <c r="Z1863" t="str">
        <f>HYPERLINK("Melting_Curves/meltCurve_sp_Q7Z434_MAVS_HUMAN_.pdf", "Melting_Curves/meltCurve_sp_Q7Z434_MAVS_HUMAN_.pdf")</f>
        <v>Melting_Curves/meltCurve_sp_Q7Z434_MAVS_HUMAN_.pdf</v>
      </c>
      <c r="AA1863" t="s">
        <v>12717</v>
      </c>
      <c r="AB1863" t="s">
        <v>16288</v>
      </c>
    </row>
    <row r="1864" spans="1:28" x14ac:dyDescent="0.25">
      <c r="A1864" t="s">
        <v>1868</v>
      </c>
      <c r="B1864">
        <v>0.98018197421672304</v>
      </c>
      <c r="C1864">
        <v>0.89417806694814905</v>
      </c>
      <c r="D1864">
        <v>0.85954161357858505</v>
      </c>
      <c r="E1864">
        <v>0.66909142711957004</v>
      </c>
      <c r="F1864">
        <v>0.50916803657994703</v>
      </c>
      <c r="G1864">
        <v>0.31970953215137099</v>
      </c>
      <c r="H1864">
        <v>0.253294416740175</v>
      </c>
      <c r="I1864">
        <v>0.19562032837808699</v>
      </c>
      <c r="J1864">
        <v>0.29815610861495001</v>
      </c>
      <c r="K1864">
        <v>0.26093756431538701</v>
      </c>
      <c r="L1864">
        <v>747.19109552293503</v>
      </c>
      <c r="M1864">
        <v>14.737404811961699</v>
      </c>
      <c r="N1864">
        <v>52.766738898617398</v>
      </c>
      <c r="O1864">
        <v>49.794255929128603</v>
      </c>
      <c r="P1864">
        <v>-5.7775222468685897E-2</v>
      </c>
      <c r="Q1864">
        <v>0.21924848506529401</v>
      </c>
      <c r="R1864">
        <v>0.98428026501942201</v>
      </c>
      <c r="S1864" t="s">
        <v>5493</v>
      </c>
      <c r="T1864" t="s">
        <v>7256</v>
      </c>
      <c r="U1864" t="s">
        <v>7256</v>
      </c>
      <c r="V1864" t="s">
        <v>7256</v>
      </c>
      <c r="W1864">
        <v>7</v>
      </c>
      <c r="X1864" t="s">
        <v>9120</v>
      </c>
      <c r="Y1864">
        <v>0.51648372153751032</v>
      </c>
      <c r="Z1864" t="str">
        <f>HYPERLINK("Melting_Curves/meltCurve_sp_Q7Z460_2_CLAP1_HUMAN_.pdf", "Melting_Curves/meltCurve_sp_Q7Z460_2_CLAP1_HUMAN_.pdf")</f>
        <v>Melting_Curves/meltCurve_sp_Q7Z460_2_CLAP1_HUMAN_.pdf</v>
      </c>
      <c r="AA1864" t="s">
        <v>12718</v>
      </c>
      <c r="AB1864" t="s">
        <v>16289</v>
      </c>
    </row>
    <row r="1865" spans="1:28" x14ac:dyDescent="0.25">
      <c r="A1865" t="s">
        <v>1869</v>
      </c>
      <c r="B1865">
        <v>0.98018197421672304</v>
      </c>
      <c r="C1865">
        <v>0.96515339058900196</v>
      </c>
      <c r="D1865">
        <v>0.902002108158653</v>
      </c>
      <c r="E1865">
        <v>0.79880270638726403</v>
      </c>
      <c r="F1865">
        <v>0.72529867496574996</v>
      </c>
      <c r="G1865">
        <v>0.48888412666115799</v>
      </c>
      <c r="H1865">
        <v>0.40154294197017498</v>
      </c>
      <c r="I1865">
        <v>0.37088763954778903</v>
      </c>
      <c r="J1865">
        <v>0.37708874812783</v>
      </c>
      <c r="K1865">
        <v>0.476613796844855</v>
      </c>
      <c r="L1865">
        <v>853.88881805170797</v>
      </c>
      <c r="M1865">
        <v>16.262162218313499</v>
      </c>
      <c r="N1865">
        <v>57.530935240506103</v>
      </c>
      <c r="O1865">
        <v>51.732968380154503</v>
      </c>
      <c r="P1865">
        <v>-4.8795785192179003E-2</v>
      </c>
      <c r="Q1865">
        <v>0.37913174536824301</v>
      </c>
      <c r="R1865">
        <v>0.96938133506909396</v>
      </c>
      <c r="S1865" t="s">
        <v>5494</v>
      </c>
      <c r="T1865" t="s">
        <v>7256</v>
      </c>
      <c r="U1865" t="s">
        <v>7256</v>
      </c>
      <c r="V1865" t="s">
        <v>7256</v>
      </c>
      <c r="W1865">
        <v>2</v>
      </c>
      <c r="X1865" t="s">
        <v>9121</v>
      </c>
      <c r="Y1865">
        <v>0.65005215577754238</v>
      </c>
      <c r="Z1865" t="str">
        <f>HYPERLINK("Melting_Curves/meltCurve_sp_Q7Z478_DHX29_HUMAN_.pdf", "Melting_Curves/meltCurve_sp_Q7Z478_DHX29_HUMAN_.pdf")</f>
        <v>Melting_Curves/meltCurve_sp_Q7Z478_DHX29_HUMAN_.pdf</v>
      </c>
      <c r="AA1865" t="s">
        <v>12719</v>
      </c>
      <c r="AB1865" t="s">
        <v>16290</v>
      </c>
    </row>
    <row r="1866" spans="1:28" x14ac:dyDescent="0.25">
      <c r="A1866" t="s">
        <v>1870</v>
      </c>
      <c r="B1866">
        <v>0.98018197421672304</v>
      </c>
      <c r="C1866">
        <v>1.05010339017571</v>
      </c>
      <c r="D1866">
        <v>0.90096080689732105</v>
      </c>
      <c r="E1866">
        <v>0.69213467803549</v>
      </c>
      <c r="F1866">
        <v>0.35310844434202499</v>
      </c>
      <c r="G1866">
        <v>0.23878231880612499</v>
      </c>
      <c r="H1866">
        <v>0.15358788876082299</v>
      </c>
      <c r="I1866">
        <v>0.118485364961367</v>
      </c>
      <c r="J1866">
        <v>0.13257512122121101</v>
      </c>
      <c r="K1866">
        <v>0.103602882832017</v>
      </c>
      <c r="L1866">
        <v>1148.8719397821999</v>
      </c>
      <c r="M1866">
        <v>22.493074810341099</v>
      </c>
      <c r="N1866">
        <v>51.720909438307601</v>
      </c>
      <c r="O1866">
        <v>50.678104071056701</v>
      </c>
      <c r="P1866">
        <v>-9.7406516752618494E-2</v>
      </c>
      <c r="Q1866">
        <v>0.122169247098906</v>
      </c>
      <c r="R1866">
        <v>0.99300271771794102</v>
      </c>
      <c r="S1866" t="s">
        <v>5495</v>
      </c>
      <c r="T1866" t="s">
        <v>7256</v>
      </c>
      <c r="U1866" t="s">
        <v>7256</v>
      </c>
      <c r="V1866" t="s">
        <v>7256</v>
      </c>
      <c r="W1866">
        <v>2</v>
      </c>
      <c r="X1866" t="s">
        <v>9122</v>
      </c>
      <c r="Y1866">
        <v>0.45603385156298609</v>
      </c>
      <c r="Z1866" t="str">
        <f>HYPERLINK("Melting_Curves/meltCurve_sp_Q7Z4G1_COMD6_HUMAN_.pdf", "Melting_Curves/meltCurve_sp_Q7Z4G1_COMD6_HUMAN_.pdf")</f>
        <v>Melting_Curves/meltCurve_sp_Q7Z4G1_COMD6_HUMAN_.pdf</v>
      </c>
      <c r="AA1866" t="s">
        <v>12720</v>
      </c>
      <c r="AB1866" t="s">
        <v>16291</v>
      </c>
    </row>
    <row r="1867" spans="1:28" x14ac:dyDescent="0.25">
      <c r="A1867" t="s">
        <v>1871</v>
      </c>
      <c r="B1867">
        <v>0.98018197421672304</v>
      </c>
      <c r="C1867">
        <v>1.04241204999007</v>
      </c>
      <c r="D1867">
        <v>0.94208694743352095</v>
      </c>
      <c r="E1867">
        <v>0.80375947369584599</v>
      </c>
      <c r="F1867">
        <v>0.55490289469385201</v>
      </c>
      <c r="G1867">
        <v>0.226725708060148</v>
      </c>
      <c r="H1867">
        <v>9.8211312964884001E-2</v>
      </c>
      <c r="I1867">
        <v>6.9471278266196507E-2</v>
      </c>
      <c r="J1867">
        <v>9.9670576402391201E-2</v>
      </c>
      <c r="K1867">
        <v>5.6694108991444003E-2</v>
      </c>
      <c r="L1867">
        <v>1164.64575717704</v>
      </c>
      <c r="M1867">
        <v>21.9188461127126</v>
      </c>
      <c r="N1867">
        <v>53.438845675864002</v>
      </c>
      <c r="O1867">
        <v>52.698110356622898</v>
      </c>
      <c r="P1867">
        <v>-9.7882816696996999E-2</v>
      </c>
      <c r="Q1867">
        <v>5.86873202513278E-2</v>
      </c>
      <c r="R1867">
        <v>0.99691880062521199</v>
      </c>
      <c r="S1867" t="s">
        <v>5496</v>
      </c>
      <c r="T1867" t="s">
        <v>7256</v>
      </c>
      <c r="U1867" t="s">
        <v>7256</v>
      </c>
      <c r="V1867" t="s">
        <v>7256</v>
      </c>
      <c r="W1867">
        <v>3</v>
      </c>
      <c r="X1867" t="s">
        <v>9123</v>
      </c>
      <c r="Y1867">
        <v>0.48183731882221709</v>
      </c>
      <c r="Z1867" t="str">
        <f>HYPERLINK("Melting_Curves/meltCurve_sp_Q7Z4G4_2_TRM11_HUMAN_.pdf", "Melting_Curves/meltCurve_sp_Q7Z4G4_2_TRM11_HUMAN_.pdf")</f>
        <v>Melting_Curves/meltCurve_sp_Q7Z4G4_2_TRM11_HUMAN_.pdf</v>
      </c>
      <c r="AA1867" t="s">
        <v>12721</v>
      </c>
      <c r="AB1867" t="s">
        <v>16292</v>
      </c>
    </row>
    <row r="1868" spans="1:28" x14ac:dyDescent="0.25">
      <c r="A1868" t="s">
        <v>1872</v>
      </c>
      <c r="B1868">
        <v>0.98018197421672304</v>
      </c>
      <c r="C1868">
        <v>0.87029891965192396</v>
      </c>
      <c r="D1868">
        <v>0.87583335663319695</v>
      </c>
      <c r="E1868">
        <v>0.72263620554397001</v>
      </c>
      <c r="F1868">
        <v>0.61583902552164405</v>
      </c>
      <c r="G1868">
        <v>0.41709400180885597</v>
      </c>
      <c r="H1868">
        <v>0.27138128595597599</v>
      </c>
      <c r="I1868">
        <v>0.20504865088117799</v>
      </c>
      <c r="J1868">
        <v>0.20450177691129501</v>
      </c>
      <c r="K1868">
        <v>0.16412664945670299</v>
      </c>
      <c r="L1868">
        <v>529.61508732673701</v>
      </c>
      <c r="M1868">
        <v>9.7408277647718595</v>
      </c>
      <c r="N1868">
        <v>55.0082201473382</v>
      </c>
      <c r="O1868">
        <v>52.227594946615604</v>
      </c>
      <c r="P1868">
        <v>-4.4161583666617599E-2</v>
      </c>
      <c r="Q1868">
        <v>5.33807243504466E-2</v>
      </c>
      <c r="R1868">
        <v>0.99192035207965301</v>
      </c>
      <c r="S1868" t="s">
        <v>5497</v>
      </c>
      <c r="T1868" t="s">
        <v>7256</v>
      </c>
      <c r="U1868" t="s">
        <v>7256</v>
      </c>
      <c r="V1868" t="s">
        <v>7256</v>
      </c>
      <c r="W1868">
        <v>12</v>
      </c>
      <c r="X1868" t="s">
        <v>9124</v>
      </c>
      <c r="Y1868">
        <v>0.53435332117437917</v>
      </c>
      <c r="Z1868" t="str">
        <f>HYPERLINK("Melting_Curves/meltCurve_sp_Q7Z4I7_3_LIMS2_HUMAN_.pdf", "Melting_Curves/meltCurve_sp_Q7Z4I7_3_LIMS2_HUMAN_.pdf")</f>
        <v>Melting_Curves/meltCurve_sp_Q7Z4I7_3_LIMS2_HUMAN_.pdf</v>
      </c>
      <c r="AA1868" t="s">
        <v>12722</v>
      </c>
      <c r="AB1868" t="s">
        <v>16293</v>
      </c>
    </row>
    <row r="1869" spans="1:28" x14ac:dyDescent="0.25">
      <c r="A1869" t="s">
        <v>1873</v>
      </c>
      <c r="B1869">
        <v>0.98018197421672304</v>
      </c>
      <c r="C1869">
        <v>1.0032621136318101</v>
      </c>
      <c r="D1869">
        <v>0.80359235463186596</v>
      </c>
      <c r="E1869">
        <v>0.35504837280017199</v>
      </c>
      <c r="F1869">
        <v>0.18624812324241499</v>
      </c>
      <c r="G1869">
        <v>8.9633136031544894E-2</v>
      </c>
      <c r="H1869">
        <v>5.5749890007983499E-2</v>
      </c>
      <c r="I1869">
        <v>5.42956623263606E-2</v>
      </c>
      <c r="J1869">
        <v>7.2457354534448307E-2</v>
      </c>
      <c r="K1869">
        <v>4.6748505639882698E-2</v>
      </c>
      <c r="L1869">
        <v>1200.53952011605</v>
      </c>
      <c r="M1869">
        <v>24.731124655775702</v>
      </c>
      <c r="N1869">
        <v>48.793460262747701</v>
      </c>
      <c r="O1869">
        <v>48.229636460923203</v>
      </c>
      <c r="P1869">
        <v>-0.120573897820521</v>
      </c>
      <c r="Q1869">
        <v>5.9460323479048303E-2</v>
      </c>
      <c r="R1869">
        <v>0.99803333109019399</v>
      </c>
      <c r="S1869" t="s">
        <v>5498</v>
      </c>
      <c r="T1869" t="s">
        <v>7256</v>
      </c>
      <c r="U1869" t="s">
        <v>7256</v>
      </c>
      <c r="V1869" t="s">
        <v>7256</v>
      </c>
      <c r="W1869">
        <v>2</v>
      </c>
      <c r="X1869" t="s">
        <v>9125</v>
      </c>
      <c r="Y1869">
        <v>0.33582137248321942</v>
      </c>
      <c r="Z1869" t="str">
        <f>HYPERLINK("Melting_Curves/meltCurve_sp_Q7Z4Q2_HEAT3_HUMAN_.pdf", "Melting_Curves/meltCurve_sp_Q7Z4Q2_HEAT3_HUMAN_.pdf")</f>
        <v>Melting_Curves/meltCurve_sp_Q7Z4Q2_HEAT3_HUMAN_.pdf</v>
      </c>
      <c r="AA1869" t="s">
        <v>12723</v>
      </c>
      <c r="AB1869" t="s">
        <v>16294</v>
      </c>
    </row>
    <row r="1870" spans="1:28" x14ac:dyDescent="0.25">
      <c r="A1870" t="s">
        <v>1874</v>
      </c>
      <c r="B1870">
        <v>0.98018197421672304</v>
      </c>
      <c r="C1870">
        <v>0.85994052026488799</v>
      </c>
      <c r="D1870">
        <v>0.738342477338646</v>
      </c>
      <c r="E1870">
        <v>0.59449924762870499</v>
      </c>
      <c r="F1870">
        <v>0.48000745725252603</v>
      </c>
      <c r="G1870">
        <v>0.33783710610537698</v>
      </c>
      <c r="H1870">
        <v>0.22205239712337499</v>
      </c>
      <c r="I1870">
        <v>0.20219460270208001</v>
      </c>
      <c r="J1870">
        <v>0.15942823673256801</v>
      </c>
      <c r="K1870">
        <v>0.17041635435163999</v>
      </c>
      <c r="L1870">
        <v>493.140249385142</v>
      </c>
      <c r="M1870">
        <v>9.6717211569513601</v>
      </c>
      <c r="N1870">
        <v>52.056856946023501</v>
      </c>
      <c r="O1870">
        <v>48.951191417102699</v>
      </c>
      <c r="P1870">
        <v>-4.4970749185655502E-2</v>
      </c>
      <c r="Q1870">
        <v>9.0066320876061395E-2</v>
      </c>
      <c r="R1870">
        <v>0.99540738786016203</v>
      </c>
      <c r="S1870" t="s">
        <v>5499</v>
      </c>
      <c r="T1870" t="s">
        <v>7256</v>
      </c>
      <c r="U1870" t="s">
        <v>7256</v>
      </c>
      <c r="V1870" t="s">
        <v>7256</v>
      </c>
      <c r="W1870">
        <v>4</v>
      </c>
      <c r="X1870" t="s">
        <v>9126</v>
      </c>
      <c r="Y1870">
        <v>0.46279947945089978</v>
      </c>
      <c r="Z1870" t="str">
        <f>HYPERLINK("Melting_Curves/meltCurve_sp_Q7Z4S6_3_KI21A_HUMAN_.pdf", "Melting_Curves/meltCurve_sp_Q7Z4S6_3_KI21A_HUMAN_.pdf")</f>
        <v>Melting_Curves/meltCurve_sp_Q7Z4S6_3_KI21A_HUMAN_.pdf</v>
      </c>
      <c r="AA1870" t="s">
        <v>12724</v>
      </c>
      <c r="AB1870" t="s">
        <v>16295</v>
      </c>
    </row>
    <row r="1871" spans="1:28" x14ac:dyDescent="0.25">
      <c r="A1871" t="s">
        <v>1875</v>
      </c>
      <c r="B1871">
        <v>0.98018197421672304</v>
      </c>
      <c r="C1871">
        <v>0.95174961496166499</v>
      </c>
      <c r="D1871">
        <v>0.89333857396888605</v>
      </c>
      <c r="E1871">
        <v>0.78834208916522996</v>
      </c>
      <c r="F1871">
        <v>0.68545357795777695</v>
      </c>
      <c r="G1871">
        <v>0.56960942870672104</v>
      </c>
      <c r="H1871">
        <v>0.44343067352279297</v>
      </c>
      <c r="I1871">
        <v>0.53655275430003102</v>
      </c>
      <c r="J1871">
        <v>0.44807039593931303</v>
      </c>
      <c r="K1871">
        <v>0.71675187515456495</v>
      </c>
      <c r="L1871">
        <v>876.134111308657</v>
      </c>
      <c r="M1871">
        <v>17.498563663429898</v>
      </c>
      <c r="O1871">
        <v>49.428735790548899</v>
      </c>
      <c r="P1871">
        <v>-4.15245220587891E-2</v>
      </c>
      <c r="Q1871">
        <v>0.53084341224374398</v>
      </c>
      <c r="R1871">
        <v>0.846873866813732</v>
      </c>
      <c r="S1871" t="s">
        <v>5500</v>
      </c>
      <c r="T1871" t="s">
        <v>7256</v>
      </c>
      <c r="U1871" t="s">
        <v>7256</v>
      </c>
      <c r="V1871" t="s">
        <v>7256</v>
      </c>
      <c r="W1871">
        <v>7</v>
      </c>
      <c r="X1871" t="s">
        <v>9127</v>
      </c>
      <c r="Y1871">
        <v>0.69673732765943952</v>
      </c>
      <c r="Z1871" t="str">
        <f>HYPERLINK("Melting_Curves/meltCurve_sp_Q7Z4V5_HDGR2_HUMAN_.pdf", "Melting_Curves/meltCurve_sp_Q7Z4V5_HDGR2_HUMAN_.pdf")</f>
        <v>Melting_Curves/meltCurve_sp_Q7Z4V5_HDGR2_HUMAN_.pdf</v>
      </c>
      <c r="AA1871" t="s">
        <v>12725</v>
      </c>
      <c r="AB1871" t="s">
        <v>16296</v>
      </c>
    </row>
    <row r="1872" spans="1:28" x14ac:dyDescent="0.25">
      <c r="A1872" t="s">
        <v>1876</v>
      </c>
      <c r="B1872">
        <v>0.98018197421672304</v>
      </c>
      <c r="C1872">
        <v>0.85626545684108302</v>
      </c>
      <c r="D1872">
        <v>1.07130423651264</v>
      </c>
      <c r="E1872">
        <v>0.79474148352182405</v>
      </c>
      <c r="F1872">
        <v>0.51179159207448499</v>
      </c>
      <c r="G1872">
        <v>0.209356506000348</v>
      </c>
      <c r="H1872">
        <v>8.5077652969868606E-2</v>
      </c>
      <c r="I1872">
        <v>6.1238371091243499E-2</v>
      </c>
      <c r="J1872">
        <v>5.1417269848030897E-2</v>
      </c>
      <c r="K1872">
        <v>3.1450077663131397E-2</v>
      </c>
      <c r="L1872">
        <v>1237.8778835277401</v>
      </c>
      <c r="M1872">
        <v>23.366184278436702</v>
      </c>
      <c r="N1872">
        <v>53.175177063134299</v>
      </c>
      <c r="O1872">
        <v>52.5938786213176</v>
      </c>
      <c r="P1872">
        <v>-0.106446536719391</v>
      </c>
      <c r="Q1872">
        <v>4.1634409877400302E-2</v>
      </c>
      <c r="R1872">
        <v>0.98146943929929298</v>
      </c>
      <c r="S1872" t="s">
        <v>5501</v>
      </c>
      <c r="T1872" t="s">
        <v>7256</v>
      </c>
      <c r="U1872" t="s">
        <v>7256</v>
      </c>
      <c r="V1872" t="s">
        <v>7256</v>
      </c>
      <c r="W1872">
        <v>21</v>
      </c>
      <c r="X1872" t="s">
        <v>9128</v>
      </c>
      <c r="Y1872">
        <v>0.46620435821093043</v>
      </c>
      <c r="Z1872" t="str">
        <f>HYPERLINK("Melting_Curves/meltCurve_sp_Q7Z4W1_DCXR_HUMAN_.pdf", "Melting_Curves/meltCurve_sp_Q7Z4W1_DCXR_HUMAN_.pdf")</f>
        <v>Melting_Curves/meltCurve_sp_Q7Z4W1_DCXR_HUMAN_.pdf</v>
      </c>
      <c r="AA1872" t="s">
        <v>12726</v>
      </c>
      <c r="AB1872" t="s">
        <v>16297</v>
      </c>
    </row>
    <row r="1873" spans="1:28" x14ac:dyDescent="0.25">
      <c r="A1873" t="s">
        <v>1877</v>
      </c>
      <c r="B1873">
        <v>0.98018197421672304</v>
      </c>
      <c r="C1873">
        <v>0.89304562506758201</v>
      </c>
      <c r="D1873">
        <v>0.90127188385004797</v>
      </c>
      <c r="E1873">
        <v>0.65089773205215695</v>
      </c>
      <c r="F1873">
        <v>0.34916324136870902</v>
      </c>
      <c r="G1873">
        <v>0.21227518451018301</v>
      </c>
      <c r="H1873">
        <v>0.12942755106877499</v>
      </c>
      <c r="I1873">
        <v>0.116270150705093</v>
      </c>
      <c r="J1873">
        <v>0.107496436172131</v>
      </c>
      <c r="K1873">
        <v>9.9379659619334204E-2</v>
      </c>
      <c r="L1873">
        <v>949.32904879637397</v>
      </c>
      <c r="M1873">
        <v>18.665170658278001</v>
      </c>
      <c r="N1873">
        <v>51.436814333439997</v>
      </c>
      <c r="O1873">
        <v>50.287982074275703</v>
      </c>
      <c r="P1873">
        <v>-8.4046362151913301E-2</v>
      </c>
      <c r="Q1873">
        <v>9.4283147952923502E-2</v>
      </c>
      <c r="R1873">
        <v>0.99272607672899205</v>
      </c>
      <c r="S1873" t="s">
        <v>5502</v>
      </c>
      <c r="T1873" t="s">
        <v>7256</v>
      </c>
      <c r="U1873" t="s">
        <v>7256</v>
      </c>
      <c r="V1873" t="s">
        <v>7256</v>
      </c>
      <c r="W1873">
        <v>3</v>
      </c>
      <c r="X1873" t="s">
        <v>9129</v>
      </c>
      <c r="Y1873">
        <v>0.43648630485847417</v>
      </c>
      <c r="Z1873" t="str">
        <f>HYPERLINK("Melting_Curves/meltCurve_sp_Q7Z5K2_3_WAPL_HUMAN_.pdf", "Melting_Curves/meltCurve_sp_Q7Z5K2_3_WAPL_HUMAN_.pdf")</f>
        <v>Melting_Curves/meltCurve_sp_Q7Z5K2_3_WAPL_HUMAN_.pdf</v>
      </c>
      <c r="AA1873" t="s">
        <v>12727</v>
      </c>
      <c r="AB1873" t="s">
        <v>16298</v>
      </c>
    </row>
    <row r="1874" spans="1:28" x14ac:dyDescent="0.25">
      <c r="A1874" t="s">
        <v>1878</v>
      </c>
      <c r="B1874">
        <v>0.98018197421672304</v>
      </c>
      <c r="C1874">
        <v>0.98300228878014895</v>
      </c>
      <c r="D1874">
        <v>0.96601922002419305</v>
      </c>
      <c r="E1874">
        <v>0.80578486495643198</v>
      </c>
      <c r="F1874">
        <v>0.57710544304100497</v>
      </c>
      <c r="G1874">
        <v>0.39482447206083499</v>
      </c>
      <c r="H1874">
        <v>0.38048843662097898</v>
      </c>
      <c r="I1874">
        <v>0.391511460673865</v>
      </c>
      <c r="J1874">
        <v>0.40949880674647798</v>
      </c>
      <c r="K1874">
        <v>0.56803755170907499</v>
      </c>
      <c r="L1874">
        <v>1689.85439315956</v>
      </c>
      <c r="M1874">
        <v>33.095799042702502</v>
      </c>
      <c r="N1874">
        <v>54.221261130962802</v>
      </c>
      <c r="O1874">
        <v>50.874148880652299</v>
      </c>
      <c r="P1874">
        <v>-9.3122501337456198E-2</v>
      </c>
      <c r="Q1874">
        <v>0.42741892634403</v>
      </c>
      <c r="R1874">
        <v>0.955083556526519</v>
      </c>
      <c r="S1874" t="s">
        <v>5503</v>
      </c>
      <c r="T1874" t="s">
        <v>7256</v>
      </c>
      <c r="U1874" t="s">
        <v>7256</v>
      </c>
      <c r="V1874" t="s">
        <v>7256</v>
      </c>
      <c r="W1874">
        <v>4</v>
      </c>
      <c r="X1874" t="s">
        <v>9130</v>
      </c>
      <c r="Y1874">
        <v>0.64145967657841374</v>
      </c>
      <c r="Z1874" t="str">
        <f>HYPERLINK("Melting_Curves/meltCurve_sp_Q7Z5L9_2_I2BP2_HUMAN_.pdf", "Melting_Curves/meltCurve_sp_Q7Z5L9_2_I2BP2_HUMAN_.pdf")</f>
        <v>Melting_Curves/meltCurve_sp_Q7Z5L9_2_I2BP2_HUMAN_.pdf</v>
      </c>
      <c r="AA1874" t="s">
        <v>12728</v>
      </c>
      <c r="AB1874" t="s">
        <v>16299</v>
      </c>
    </row>
    <row r="1875" spans="1:28" x14ac:dyDescent="0.25">
      <c r="A1875" t="s">
        <v>1879</v>
      </c>
      <c r="B1875">
        <v>0.98018197421672304</v>
      </c>
      <c r="C1875">
        <v>0.94366982363557705</v>
      </c>
      <c r="D1875">
        <v>0.70220030981581305</v>
      </c>
      <c r="E1875">
        <v>0.24390850266342101</v>
      </c>
      <c r="F1875">
        <v>0.115573276321825</v>
      </c>
      <c r="G1875">
        <v>6.8362791477536294E-2</v>
      </c>
      <c r="H1875">
        <v>3.9380416862210402E-2</v>
      </c>
      <c r="I1875">
        <v>2.97552564876159E-2</v>
      </c>
      <c r="J1875">
        <v>2.8549772522480699E-2</v>
      </c>
      <c r="K1875">
        <v>1.92327995953212E-2</v>
      </c>
      <c r="L1875">
        <v>1163.87743685753</v>
      </c>
      <c r="M1875">
        <v>24.496707385488701</v>
      </c>
      <c r="N1875">
        <v>47.644907448205203</v>
      </c>
      <c r="O1875">
        <v>47.198363486356598</v>
      </c>
      <c r="P1875">
        <v>-0.12545770278971799</v>
      </c>
      <c r="Q1875">
        <v>3.31252517811595E-2</v>
      </c>
      <c r="R1875">
        <v>0.99927239754722796</v>
      </c>
      <c r="S1875" t="s">
        <v>5504</v>
      </c>
      <c r="T1875" t="s">
        <v>7256</v>
      </c>
      <c r="U1875" t="s">
        <v>7256</v>
      </c>
      <c r="V1875" t="s">
        <v>7256</v>
      </c>
      <c r="W1875">
        <v>10</v>
      </c>
      <c r="X1875" t="s">
        <v>9131</v>
      </c>
      <c r="Y1875">
        <v>0.28417236569382548</v>
      </c>
      <c r="Z1875" t="str">
        <f>HYPERLINK("Melting_Curves/meltCurve_sp_Q7Z5P4_DHB13_HUMAN_.pdf", "Melting_Curves/meltCurve_sp_Q7Z5P4_DHB13_HUMAN_.pdf")</f>
        <v>Melting_Curves/meltCurve_sp_Q7Z5P4_DHB13_HUMAN_.pdf</v>
      </c>
      <c r="AA1875" t="s">
        <v>12729</v>
      </c>
      <c r="AB1875" t="s">
        <v>16300</v>
      </c>
    </row>
    <row r="1876" spans="1:28" x14ac:dyDescent="0.25">
      <c r="A1876" t="s">
        <v>1880</v>
      </c>
      <c r="B1876">
        <v>0.98018197421672304</v>
      </c>
      <c r="C1876">
        <v>0.81991720856100803</v>
      </c>
      <c r="D1876">
        <v>0.83889904348643896</v>
      </c>
      <c r="E1876">
        <v>0.48974062398685603</v>
      </c>
      <c r="F1876">
        <v>0.27922001946640501</v>
      </c>
      <c r="G1876">
        <v>0.151016290659092</v>
      </c>
      <c r="H1876">
        <v>7.8986232232411802E-2</v>
      </c>
      <c r="I1876">
        <v>9.2103712807317495E-2</v>
      </c>
      <c r="J1876">
        <v>7.9268135575200405E-2</v>
      </c>
      <c r="K1876">
        <v>5.5448564888440098E-2</v>
      </c>
      <c r="L1876">
        <v>770.69369243030303</v>
      </c>
      <c r="M1876">
        <v>15.573949267741099</v>
      </c>
      <c r="N1876">
        <v>49.813009204557503</v>
      </c>
      <c r="O1876">
        <v>48.691721585735699</v>
      </c>
      <c r="P1876">
        <v>-7.6083934938921002E-2</v>
      </c>
      <c r="Q1876">
        <v>4.85818149632316E-2</v>
      </c>
      <c r="R1876">
        <v>0.987426084646708</v>
      </c>
      <c r="S1876" t="s">
        <v>5505</v>
      </c>
      <c r="T1876" t="s">
        <v>7256</v>
      </c>
      <c r="U1876" t="s">
        <v>7256</v>
      </c>
      <c r="V1876" t="s">
        <v>7256</v>
      </c>
      <c r="W1876">
        <v>1</v>
      </c>
      <c r="X1876" t="s">
        <v>9132</v>
      </c>
      <c r="Y1876">
        <v>0.37095733103674378</v>
      </c>
      <c r="Z1876" t="str">
        <f>HYPERLINK("Melting_Curves/meltCurve_sp_Q7Z5Q5_DPOLN_HUMAN_.pdf", "Melting_Curves/meltCurve_sp_Q7Z5Q5_DPOLN_HUMAN_.pdf")</f>
        <v>Melting_Curves/meltCurve_sp_Q7Z5Q5_DPOLN_HUMAN_.pdf</v>
      </c>
      <c r="AA1876" t="s">
        <v>12730</v>
      </c>
      <c r="AB1876" t="s">
        <v>16301</v>
      </c>
    </row>
    <row r="1877" spans="1:28" x14ac:dyDescent="0.25">
      <c r="A1877" t="s">
        <v>1881</v>
      </c>
      <c r="B1877">
        <v>0.98018197421672304</v>
      </c>
      <c r="C1877">
        <v>0.93497830589940401</v>
      </c>
      <c r="D1877">
        <v>0.91758545913627698</v>
      </c>
      <c r="E1877">
        <v>0.75508040751465999</v>
      </c>
      <c r="F1877">
        <v>0.47247093187795203</v>
      </c>
      <c r="G1877">
        <v>0.277678262341504</v>
      </c>
      <c r="H1877">
        <v>0.230794722661288</v>
      </c>
      <c r="I1877">
        <v>0.19836730053110899</v>
      </c>
      <c r="J1877">
        <v>0.230274796271244</v>
      </c>
      <c r="K1877">
        <v>0.21133396482776101</v>
      </c>
      <c r="L1877">
        <v>1129.2412334135099</v>
      </c>
      <c r="M1877">
        <v>21.9264553242168</v>
      </c>
      <c r="N1877">
        <v>52.763610307079603</v>
      </c>
      <c r="O1877">
        <v>51.078675099423002</v>
      </c>
      <c r="P1877">
        <v>-8.5416302083655707E-2</v>
      </c>
      <c r="Q1877">
        <v>0.20409343251564099</v>
      </c>
      <c r="R1877">
        <v>0.99422765293031001</v>
      </c>
      <c r="S1877" t="s">
        <v>5506</v>
      </c>
      <c r="T1877" t="s">
        <v>7256</v>
      </c>
      <c r="U1877" t="s">
        <v>7256</v>
      </c>
      <c r="V1877" t="s">
        <v>7256</v>
      </c>
      <c r="W1877">
        <v>9</v>
      </c>
      <c r="X1877" t="s">
        <v>9133</v>
      </c>
      <c r="Y1877">
        <v>0.51852405049544115</v>
      </c>
      <c r="Z1877" t="str">
        <f>HYPERLINK("Melting_Curves/meltCurve_sp_Q7Z5R6_AB1IP_HUMAN_.pdf", "Melting_Curves/meltCurve_sp_Q7Z5R6_AB1IP_HUMAN_.pdf")</f>
        <v>Melting_Curves/meltCurve_sp_Q7Z5R6_AB1IP_HUMAN_.pdf</v>
      </c>
      <c r="AA1877" t="s">
        <v>12731</v>
      </c>
      <c r="AB1877" t="s">
        <v>16302</v>
      </c>
    </row>
    <row r="1878" spans="1:28" x14ac:dyDescent="0.25">
      <c r="A1878" t="s">
        <v>1882</v>
      </c>
      <c r="B1878">
        <v>0.98018197421672304</v>
      </c>
      <c r="C1878">
        <v>1.00115021723135</v>
      </c>
      <c r="D1878">
        <v>0.95417733278598704</v>
      </c>
      <c r="E1878">
        <v>0.80418602844572995</v>
      </c>
      <c r="F1878">
        <v>0.81603667714702499</v>
      </c>
      <c r="G1878">
        <v>0.66186287663059196</v>
      </c>
      <c r="H1878">
        <v>0.35799425463617202</v>
      </c>
      <c r="I1878">
        <v>0.210884445867454</v>
      </c>
      <c r="J1878">
        <v>0.108123051457403</v>
      </c>
      <c r="K1878">
        <v>8.7625112862201496E-2</v>
      </c>
      <c r="L1878">
        <v>812.53994799550605</v>
      </c>
      <c r="M1878">
        <v>13.8925382416079</v>
      </c>
      <c r="N1878">
        <v>58.487508593601</v>
      </c>
      <c r="O1878">
        <v>57.315620534197201</v>
      </c>
      <c r="P1878">
        <v>-6.06049131187653E-2</v>
      </c>
      <c r="Q1878">
        <v>0</v>
      </c>
      <c r="R1878">
        <v>0.98375660277680699</v>
      </c>
      <c r="S1878" t="s">
        <v>5507</v>
      </c>
      <c r="T1878" t="s">
        <v>7256</v>
      </c>
      <c r="U1878" t="s">
        <v>7256</v>
      </c>
      <c r="V1878" t="s">
        <v>7256</v>
      </c>
      <c r="W1878">
        <v>6</v>
      </c>
      <c r="X1878" t="s">
        <v>9134</v>
      </c>
      <c r="Y1878">
        <v>0.62808611964996086</v>
      </c>
      <c r="Z1878" t="str">
        <f>HYPERLINK("Melting_Curves/meltCurve_sp_Q7Z6M1_RABEK_HUMAN_.pdf", "Melting_Curves/meltCurve_sp_Q7Z6M1_RABEK_HUMAN_.pdf")</f>
        <v>Melting_Curves/meltCurve_sp_Q7Z6M1_RABEK_HUMAN_.pdf</v>
      </c>
      <c r="AA1878" t="s">
        <v>12732</v>
      </c>
      <c r="AB1878" t="s">
        <v>16303</v>
      </c>
    </row>
    <row r="1879" spans="1:28" x14ac:dyDescent="0.25">
      <c r="A1879" t="s">
        <v>1883</v>
      </c>
      <c r="B1879">
        <v>0.98018197421672304</v>
      </c>
      <c r="C1879">
        <v>0.91762968007049694</v>
      </c>
      <c r="D1879">
        <v>0.82725073279696204</v>
      </c>
      <c r="E1879">
        <v>0.59597717710647502</v>
      </c>
      <c r="F1879">
        <v>0.35227868053871503</v>
      </c>
      <c r="G1879">
        <v>0.171051028260188</v>
      </c>
      <c r="H1879">
        <v>0.10330344902969101</v>
      </c>
      <c r="I1879">
        <v>8.0338433721230396E-2</v>
      </c>
      <c r="J1879">
        <v>9.6036837537876896E-2</v>
      </c>
      <c r="K1879">
        <v>9.2394671934282094E-2</v>
      </c>
      <c r="L1879">
        <v>815.98357449491095</v>
      </c>
      <c r="M1879">
        <v>16.1711430396998</v>
      </c>
      <c r="N1879">
        <v>50.8825547612349</v>
      </c>
      <c r="O1879">
        <v>49.706529755351802</v>
      </c>
      <c r="P1879">
        <v>-7.6219806311604202E-2</v>
      </c>
      <c r="Q1879">
        <v>6.2938944452048701E-2</v>
      </c>
      <c r="R1879">
        <v>0.99731107875515801</v>
      </c>
      <c r="S1879" t="s">
        <v>5508</v>
      </c>
      <c r="T1879" t="s">
        <v>7256</v>
      </c>
      <c r="U1879" t="s">
        <v>7256</v>
      </c>
      <c r="V1879" t="s">
        <v>7256</v>
      </c>
      <c r="W1879">
        <v>39</v>
      </c>
      <c r="X1879" t="s">
        <v>9135</v>
      </c>
      <c r="Y1879">
        <v>0.40894483966180972</v>
      </c>
      <c r="Z1879" t="str">
        <f>HYPERLINK("Melting_Curves/meltCurve_sp_Q7Z6Z7_2_HUWE1_HUMAN_.pdf", "Melting_Curves/meltCurve_sp_Q7Z6Z7_2_HUWE1_HUMAN_.pdf")</f>
        <v>Melting_Curves/meltCurve_sp_Q7Z6Z7_2_HUWE1_HUMAN_.pdf</v>
      </c>
      <c r="AA1879" t="s">
        <v>12733</v>
      </c>
      <c r="AB1879" t="s">
        <v>16304</v>
      </c>
    </row>
    <row r="1880" spans="1:28" x14ac:dyDescent="0.25">
      <c r="A1880" t="s">
        <v>1884</v>
      </c>
      <c r="B1880">
        <v>0.98018197421672304</v>
      </c>
      <c r="C1880">
        <v>0.99119629819553501</v>
      </c>
      <c r="D1880">
        <v>0.92202579902870596</v>
      </c>
      <c r="E1880">
        <v>0.81511051157018799</v>
      </c>
      <c r="F1880">
        <v>0.71802632526126198</v>
      </c>
      <c r="G1880">
        <v>0.44710389213674601</v>
      </c>
      <c r="H1880">
        <v>0.56045276778211695</v>
      </c>
      <c r="I1880">
        <v>0.49512897025839597</v>
      </c>
      <c r="J1880">
        <v>0.59505989593276098</v>
      </c>
      <c r="K1880">
        <v>0.80803076419011199</v>
      </c>
      <c r="L1880">
        <v>1396.4538364529301</v>
      </c>
      <c r="M1880">
        <v>27.759123751154299</v>
      </c>
      <c r="O1880">
        <v>50.047229652615698</v>
      </c>
      <c r="P1880">
        <v>-5.7378929198897803E-2</v>
      </c>
      <c r="Q1880">
        <v>0.58620733643726097</v>
      </c>
      <c r="R1880">
        <v>0.75825582082797605</v>
      </c>
      <c r="S1880" t="s">
        <v>5509</v>
      </c>
      <c r="T1880" t="s">
        <v>7256</v>
      </c>
      <c r="U1880" t="s">
        <v>7256</v>
      </c>
      <c r="V1880" t="s">
        <v>7256</v>
      </c>
      <c r="W1880">
        <v>1</v>
      </c>
      <c r="X1880" t="s">
        <v>9136</v>
      </c>
      <c r="Y1880">
        <v>0.73136820775921807</v>
      </c>
      <c r="Z1880" t="str">
        <f>HYPERLINK("Melting_Curves/meltCurve_sp_Q7Z7K0_COXM1_HUMAN_.pdf", "Melting_Curves/meltCurve_sp_Q7Z7K0_COXM1_HUMAN_.pdf")</f>
        <v>Melting_Curves/meltCurve_sp_Q7Z7K0_COXM1_HUMAN_.pdf</v>
      </c>
      <c r="AA1880" t="s">
        <v>12734</v>
      </c>
      <c r="AB1880" t="s">
        <v>16305</v>
      </c>
    </row>
    <row r="1881" spans="1:28" x14ac:dyDescent="0.25">
      <c r="A1881" t="s">
        <v>1885</v>
      </c>
      <c r="B1881">
        <v>0.98018197421672304</v>
      </c>
      <c r="C1881">
        <v>0.82922492052531405</v>
      </c>
      <c r="D1881">
        <v>0.83232301638761497</v>
      </c>
      <c r="E1881">
        <v>0.67631689226417102</v>
      </c>
      <c r="F1881">
        <v>0.80972375230347604</v>
      </c>
      <c r="G1881">
        <v>0.88588871358666299</v>
      </c>
      <c r="H1881">
        <v>0.60451481129082896</v>
      </c>
      <c r="I1881">
        <v>0.63594443420162305</v>
      </c>
      <c r="J1881">
        <v>0.70611367735962005</v>
      </c>
      <c r="K1881">
        <v>0.85300725799291099</v>
      </c>
      <c r="L1881">
        <v>932.44430683251801</v>
      </c>
      <c r="M1881">
        <v>21.800874492124699</v>
      </c>
      <c r="O1881">
        <v>42.4159610227481</v>
      </c>
      <c r="P1881">
        <v>-3.33955555893857E-2</v>
      </c>
      <c r="Q1881">
        <v>0.74010733519174798</v>
      </c>
      <c r="R1881">
        <v>0.399798686114271</v>
      </c>
      <c r="S1881" t="s">
        <v>5510</v>
      </c>
      <c r="T1881" t="s">
        <v>7256</v>
      </c>
      <c r="U1881" t="s">
        <v>7256</v>
      </c>
      <c r="V1881" t="s">
        <v>7256</v>
      </c>
      <c r="W1881">
        <v>1</v>
      </c>
      <c r="X1881" t="s">
        <v>9137</v>
      </c>
      <c r="Y1881">
        <v>0.76947520284964999</v>
      </c>
      <c r="Z1881" t="str">
        <f>HYPERLINK("Melting_Curves/meltCurve_sp_Q7Z7K6_3_CENPV_HUMAN_.pdf", "Melting_Curves/meltCurve_sp_Q7Z7K6_3_CENPV_HUMAN_.pdf")</f>
        <v>Melting_Curves/meltCurve_sp_Q7Z7K6_3_CENPV_HUMAN_.pdf</v>
      </c>
      <c r="AA1881" t="s">
        <v>12735</v>
      </c>
      <c r="AB1881" t="s">
        <v>16306</v>
      </c>
    </row>
    <row r="1882" spans="1:28" x14ac:dyDescent="0.25">
      <c r="A1882" t="s">
        <v>1886</v>
      </c>
      <c r="B1882">
        <v>0.98018197421672304</v>
      </c>
      <c r="C1882">
        <v>1.0334100093766201</v>
      </c>
      <c r="D1882">
        <v>0.93079470920315199</v>
      </c>
      <c r="E1882">
        <v>0.80009704446254004</v>
      </c>
      <c r="F1882">
        <v>0.76034494480112602</v>
      </c>
      <c r="G1882">
        <v>0.56616750975976804</v>
      </c>
      <c r="H1882">
        <v>0.46181009216146501</v>
      </c>
      <c r="I1882">
        <v>0.42471645558842003</v>
      </c>
      <c r="J1882">
        <v>0.44057877698648201</v>
      </c>
      <c r="K1882">
        <v>0.74702693158184197</v>
      </c>
      <c r="L1882">
        <v>1050.8145697263401</v>
      </c>
      <c r="M1882">
        <v>20.353166910640098</v>
      </c>
      <c r="O1882">
        <v>51.138393322829202</v>
      </c>
      <c r="P1882">
        <v>-4.8259762457244899E-2</v>
      </c>
      <c r="Q1882">
        <v>0.51499405036145496</v>
      </c>
      <c r="R1882">
        <v>0.82508374399145601</v>
      </c>
      <c r="S1882" t="s">
        <v>5511</v>
      </c>
      <c r="T1882" t="s">
        <v>7256</v>
      </c>
      <c r="U1882" t="s">
        <v>7256</v>
      </c>
      <c r="V1882" t="s">
        <v>7256</v>
      </c>
      <c r="W1882">
        <v>16</v>
      </c>
      <c r="X1882" t="s">
        <v>9138</v>
      </c>
      <c r="Y1882">
        <v>0.70950861368262463</v>
      </c>
      <c r="Z1882" t="str">
        <f>HYPERLINK("Melting_Curves/meltCurve_sp_Q86SQ0_3_PHLB2_HUMAN_.pdf", "Melting_Curves/meltCurve_sp_Q86SQ0_3_PHLB2_HUMAN_.pdf")</f>
        <v>Melting_Curves/meltCurve_sp_Q86SQ0_3_PHLB2_HUMAN_.pdf</v>
      </c>
      <c r="AA1882" t="s">
        <v>12736</v>
      </c>
      <c r="AB1882" t="s">
        <v>16307</v>
      </c>
    </row>
    <row r="1883" spans="1:28" x14ac:dyDescent="0.25">
      <c r="A1883" t="s">
        <v>1887</v>
      </c>
      <c r="B1883">
        <v>0.98018197421672304</v>
      </c>
      <c r="C1883">
        <v>0.89239121818533496</v>
      </c>
      <c r="D1883">
        <v>0.84506445931852703</v>
      </c>
      <c r="E1883">
        <v>0.68124215048109604</v>
      </c>
      <c r="F1883">
        <v>0.498921186420892</v>
      </c>
      <c r="G1883">
        <v>0.34411539671629399</v>
      </c>
      <c r="H1883">
        <v>0.32854098335690801</v>
      </c>
      <c r="I1883">
        <v>0.28329585163425303</v>
      </c>
      <c r="J1883">
        <v>0.41587079349589101</v>
      </c>
      <c r="K1883">
        <v>0.37996634614762098</v>
      </c>
      <c r="L1883">
        <v>817.51603672031104</v>
      </c>
      <c r="M1883">
        <v>16.523524523257201</v>
      </c>
      <c r="N1883">
        <v>52.9421667609503</v>
      </c>
      <c r="O1883">
        <v>48.768253183532302</v>
      </c>
      <c r="P1883">
        <v>-5.6712184453604E-2</v>
      </c>
      <c r="Q1883">
        <v>0.33051498287693098</v>
      </c>
      <c r="R1883">
        <v>0.96576297756249596</v>
      </c>
      <c r="S1883" t="s">
        <v>5512</v>
      </c>
      <c r="T1883" t="s">
        <v>7256</v>
      </c>
      <c r="U1883" t="s">
        <v>7256</v>
      </c>
      <c r="V1883" t="s">
        <v>7256</v>
      </c>
      <c r="W1883">
        <v>18</v>
      </c>
      <c r="X1883" t="s">
        <v>9139</v>
      </c>
      <c r="Y1883">
        <v>0.55554272313160324</v>
      </c>
      <c r="Z1883" t="str">
        <f>HYPERLINK("Melting_Curves/meltCurve_sp_Q86SQ0_PHLB2_HUMAN_.pdf", "Melting_Curves/meltCurve_sp_Q86SQ0_PHLB2_HUMAN_.pdf")</f>
        <v>Melting_Curves/meltCurve_sp_Q86SQ0_PHLB2_HUMAN_.pdf</v>
      </c>
      <c r="AA1883" t="s">
        <v>12736</v>
      </c>
      <c r="AB1883" t="s">
        <v>16308</v>
      </c>
    </row>
    <row r="1884" spans="1:28" x14ac:dyDescent="0.25">
      <c r="A1884" t="s">
        <v>1888</v>
      </c>
      <c r="B1884">
        <v>0.98018197421672304</v>
      </c>
      <c r="C1884">
        <v>1.0587434016410899</v>
      </c>
      <c r="D1884">
        <v>0.99908314665167397</v>
      </c>
      <c r="E1884">
        <v>0.86041332472174903</v>
      </c>
      <c r="F1884">
        <v>0.89004705252767102</v>
      </c>
      <c r="G1884">
        <v>0.63060461654075906</v>
      </c>
      <c r="H1884">
        <v>0.46754295925235001</v>
      </c>
      <c r="I1884">
        <v>0.49147956155926897</v>
      </c>
      <c r="J1884">
        <v>0.51967816556489499</v>
      </c>
      <c r="K1884">
        <v>0.71082401598050704</v>
      </c>
      <c r="L1884">
        <v>1617.2186904995001</v>
      </c>
      <c r="M1884">
        <v>29.872190087415198</v>
      </c>
      <c r="O1884">
        <v>53.897057774296201</v>
      </c>
      <c r="P1884">
        <v>-6.2998844258386699E-2</v>
      </c>
      <c r="Q1884">
        <v>0.54533902629148601</v>
      </c>
      <c r="R1884">
        <v>0.87524551013068297</v>
      </c>
      <c r="S1884" t="s">
        <v>5513</v>
      </c>
      <c r="T1884" t="s">
        <v>7256</v>
      </c>
      <c r="U1884" t="s">
        <v>7256</v>
      </c>
      <c r="V1884" t="s">
        <v>7256</v>
      </c>
      <c r="W1884">
        <v>5</v>
      </c>
      <c r="X1884" t="s">
        <v>9140</v>
      </c>
      <c r="Y1884">
        <v>0.76262046941846384</v>
      </c>
      <c r="Z1884" t="str">
        <f>HYPERLINK("Melting_Curves/meltCurve_sp_Q86SX6_GLRX5_HUMAN_.pdf", "Melting_Curves/meltCurve_sp_Q86SX6_GLRX5_HUMAN_.pdf")</f>
        <v>Melting_Curves/meltCurve_sp_Q86SX6_GLRX5_HUMAN_.pdf</v>
      </c>
      <c r="AA1884" t="s">
        <v>12737</v>
      </c>
      <c r="AB1884" t="s">
        <v>16309</v>
      </c>
    </row>
    <row r="1885" spans="1:28" x14ac:dyDescent="0.25">
      <c r="A1885" t="s">
        <v>1889</v>
      </c>
      <c r="B1885">
        <v>0.98018197421672304</v>
      </c>
      <c r="C1885">
        <v>1.0101294056422701</v>
      </c>
      <c r="D1885">
        <v>0.901728958102467</v>
      </c>
      <c r="E1885">
        <v>0.66969069007480797</v>
      </c>
      <c r="F1885">
        <v>0.51863612262582404</v>
      </c>
      <c r="G1885">
        <v>0.311992415548345</v>
      </c>
      <c r="H1885">
        <v>0.17422771272863499</v>
      </c>
      <c r="I1885">
        <v>9.1954883045146596E-2</v>
      </c>
      <c r="J1885">
        <v>0.110217654922736</v>
      </c>
      <c r="K1885">
        <v>6.2413115392896297E-2</v>
      </c>
      <c r="L1885">
        <v>735.62156769381897</v>
      </c>
      <c r="M1885">
        <v>13.917751760119801</v>
      </c>
      <c r="N1885">
        <v>53.176223558409397</v>
      </c>
      <c r="O1885">
        <v>51.799591015679802</v>
      </c>
      <c r="P1885">
        <v>-6.4470938927948598E-2</v>
      </c>
      <c r="Q1885">
        <v>4.0328880085798199E-2</v>
      </c>
      <c r="R1885">
        <v>0.996305276751835</v>
      </c>
      <c r="S1885" t="s">
        <v>5514</v>
      </c>
      <c r="T1885" t="s">
        <v>7256</v>
      </c>
      <c r="U1885" t="s">
        <v>7256</v>
      </c>
      <c r="V1885" t="s">
        <v>7256</v>
      </c>
      <c r="W1885">
        <v>3</v>
      </c>
      <c r="X1885" t="s">
        <v>9141</v>
      </c>
      <c r="Y1885">
        <v>0.47456148768218809</v>
      </c>
      <c r="Z1885" t="str">
        <f>HYPERLINK("Melting_Curves/meltCurve_sp_Q86SZ2_2_TPC6B_HUMAN_.pdf", "Melting_Curves/meltCurve_sp_Q86SZ2_2_TPC6B_HUMAN_.pdf")</f>
        <v>Melting_Curves/meltCurve_sp_Q86SZ2_2_TPC6B_HUMAN_.pdf</v>
      </c>
      <c r="AA1885" t="s">
        <v>12738</v>
      </c>
      <c r="AB1885" t="s">
        <v>16310</v>
      </c>
    </row>
    <row r="1886" spans="1:28" x14ac:dyDescent="0.25">
      <c r="A1886" t="s">
        <v>1890</v>
      </c>
      <c r="B1886">
        <v>0.98018197421672304</v>
      </c>
      <c r="C1886">
        <v>0.94714306326750397</v>
      </c>
      <c r="D1886">
        <v>0.80858007075034899</v>
      </c>
      <c r="E1886">
        <v>0.634271856267837</v>
      </c>
      <c r="F1886">
        <v>0.39005906119589401</v>
      </c>
      <c r="G1886">
        <v>0.19196338157637899</v>
      </c>
      <c r="H1886">
        <v>0.22772460793435001</v>
      </c>
      <c r="I1886">
        <v>0.220439065872231</v>
      </c>
      <c r="J1886">
        <v>0.26699901706686502</v>
      </c>
      <c r="K1886">
        <v>0.344915229823409</v>
      </c>
      <c r="L1886">
        <v>989.71608966097699</v>
      </c>
      <c r="M1886">
        <v>20.0484146966329</v>
      </c>
      <c r="N1886">
        <v>51.035289871883698</v>
      </c>
      <c r="O1886">
        <v>48.883019678735401</v>
      </c>
      <c r="P1886">
        <v>-7.7881692474675607E-2</v>
      </c>
      <c r="Q1886">
        <v>0.240444824814811</v>
      </c>
      <c r="R1886">
        <v>0.96736124749654395</v>
      </c>
      <c r="S1886" t="s">
        <v>5515</v>
      </c>
      <c r="T1886" t="s">
        <v>7256</v>
      </c>
      <c r="U1886" t="s">
        <v>7256</v>
      </c>
      <c r="V1886" t="s">
        <v>7256</v>
      </c>
      <c r="W1886">
        <v>1</v>
      </c>
      <c r="X1886" t="s">
        <v>9142</v>
      </c>
      <c r="Y1886">
        <v>0.48814289895899432</v>
      </c>
      <c r="Z1886" t="str">
        <f>HYPERLINK("Melting_Curves/meltCurve_sp_Q86TB9_4_PATL1_HUMAN_.pdf", "Melting_Curves/meltCurve_sp_Q86TB9_4_PATL1_HUMAN_.pdf")</f>
        <v>Melting_Curves/meltCurve_sp_Q86TB9_4_PATL1_HUMAN_.pdf</v>
      </c>
      <c r="AA1886" t="s">
        <v>12739</v>
      </c>
      <c r="AB1886" t="s">
        <v>16311</v>
      </c>
    </row>
    <row r="1887" spans="1:28" x14ac:dyDescent="0.25">
      <c r="A1887" t="s">
        <v>1891</v>
      </c>
      <c r="B1887">
        <v>0.98018197421672304</v>
      </c>
      <c r="C1887">
        <v>0.99069723546075295</v>
      </c>
      <c r="D1887">
        <v>0.92398960731814805</v>
      </c>
      <c r="E1887">
        <v>0.80145913984884598</v>
      </c>
      <c r="F1887">
        <v>0.59982467002784501</v>
      </c>
      <c r="G1887">
        <v>0.28197865236673297</v>
      </c>
      <c r="H1887">
        <v>9.6064323747198505E-2</v>
      </c>
      <c r="I1887">
        <v>5.4487076743898799E-2</v>
      </c>
      <c r="J1887">
        <v>5.3173661472198201E-2</v>
      </c>
      <c r="K1887">
        <v>5.2582301545581203E-2</v>
      </c>
      <c r="L1887">
        <v>985.73513934823598</v>
      </c>
      <c r="M1887">
        <v>18.3021017002519</v>
      </c>
      <c r="N1887">
        <v>53.965143708486202</v>
      </c>
      <c r="O1887">
        <v>53.228479268434398</v>
      </c>
      <c r="P1887">
        <v>-8.4446054867438405E-2</v>
      </c>
      <c r="Q1887">
        <v>1.7658747484076202E-2</v>
      </c>
      <c r="R1887">
        <v>0.99790999861261398</v>
      </c>
      <c r="S1887" t="s">
        <v>5516</v>
      </c>
      <c r="T1887" t="s">
        <v>7256</v>
      </c>
      <c r="U1887" t="s">
        <v>7256</v>
      </c>
      <c r="V1887" t="s">
        <v>7256</v>
      </c>
      <c r="W1887">
        <v>12</v>
      </c>
      <c r="X1887" t="s">
        <v>9143</v>
      </c>
      <c r="Y1887">
        <v>0.48685686560138441</v>
      </c>
      <c r="Z1887" t="str">
        <f>HYPERLINK("Melting_Curves/meltCurve_sp_Q86TI2_DPP9_HUMAN_.pdf", "Melting_Curves/meltCurve_sp_Q86TI2_DPP9_HUMAN_.pdf")</f>
        <v>Melting_Curves/meltCurve_sp_Q86TI2_DPP9_HUMAN_.pdf</v>
      </c>
      <c r="AA1887" t="s">
        <v>12740</v>
      </c>
      <c r="AB1887" t="s">
        <v>16312</v>
      </c>
    </row>
    <row r="1888" spans="1:28" x14ac:dyDescent="0.25">
      <c r="A1888" t="s">
        <v>1892</v>
      </c>
      <c r="B1888">
        <v>0.98018197421672304</v>
      </c>
      <c r="C1888">
        <v>0.97499231260027996</v>
      </c>
      <c r="D1888">
        <v>0.88212749503254895</v>
      </c>
      <c r="E1888">
        <v>0.63107268573777597</v>
      </c>
      <c r="F1888">
        <v>0.26066533929657698</v>
      </c>
      <c r="G1888">
        <v>0.169707994583499</v>
      </c>
      <c r="H1888">
        <v>7.0452598810778103E-2</v>
      </c>
      <c r="I1888">
        <v>4.61338937545131E-2</v>
      </c>
      <c r="J1888">
        <v>5.5604621482734602E-2</v>
      </c>
      <c r="K1888">
        <v>0</v>
      </c>
      <c r="L1888">
        <v>1054.34389199256</v>
      </c>
      <c r="M1888">
        <v>20.7728205366415</v>
      </c>
      <c r="N1888">
        <v>50.929464406736798</v>
      </c>
      <c r="O1888">
        <v>50.292554338687701</v>
      </c>
      <c r="P1888">
        <v>-9.9734681167512801E-2</v>
      </c>
      <c r="Q1888">
        <v>3.4166050038402999E-2</v>
      </c>
      <c r="R1888">
        <v>0.99411367968167497</v>
      </c>
      <c r="S1888" t="s">
        <v>5517</v>
      </c>
      <c r="T1888" t="s">
        <v>7256</v>
      </c>
      <c r="U1888" t="s">
        <v>7256</v>
      </c>
      <c r="V1888" t="s">
        <v>7256</v>
      </c>
      <c r="W1888">
        <v>5</v>
      </c>
      <c r="X1888" t="s">
        <v>9144</v>
      </c>
      <c r="Y1888">
        <v>0.39293011179853649</v>
      </c>
      <c r="Z1888" t="str">
        <f>HYPERLINK("Melting_Curves/meltCurve_sp_Q86TP1_PRUNE_HUMAN_.pdf", "Melting_Curves/meltCurve_sp_Q86TP1_PRUNE_HUMAN_.pdf")</f>
        <v>Melting_Curves/meltCurve_sp_Q86TP1_PRUNE_HUMAN_.pdf</v>
      </c>
      <c r="AA1888" t="s">
        <v>12741</v>
      </c>
      <c r="AB1888" t="s">
        <v>16313</v>
      </c>
    </row>
    <row r="1889" spans="1:28" x14ac:dyDescent="0.25">
      <c r="A1889" t="s">
        <v>1893</v>
      </c>
      <c r="B1889">
        <v>0.98018197421672304</v>
      </c>
      <c r="C1889">
        <v>0.87873901390914599</v>
      </c>
      <c r="D1889">
        <v>0.86579076767659602</v>
      </c>
      <c r="E1889">
        <v>0.56281478776458305</v>
      </c>
      <c r="F1889">
        <v>0.19491130461956799</v>
      </c>
      <c r="G1889">
        <v>0.12981109683449099</v>
      </c>
      <c r="H1889">
        <v>8.7808201810178801E-2</v>
      </c>
      <c r="I1889">
        <v>7.4227868267581404E-2</v>
      </c>
      <c r="J1889">
        <v>7.9004561712942803E-2</v>
      </c>
      <c r="K1889">
        <v>5.7073182096747402E-2</v>
      </c>
      <c r="L1889">
        <v>1097.5098415750399</v>
      </c>
      <c r="M1889">
        <v>22.038364569240301</v>
      </c>
      <c r="N1889">
        <v>50.108684402245501</v>
      </c>
      <c r="O1889">
        <v>49.395371476466202</v>
      </c>
      <c r="P1889">
        <v>-0.10446220990911501</v>
      </c>
      <c r="Q1889">
        <v>6.34812770107753E-2</v>
      </c>
      <c r="R1889">
        <v>0.98773654382265397</v>
      </c>
      <c r="S1889" t="s">
        <v>5518</v>
      </c>
      <c r="T1889" t="s">
        <v>7256</v>
      </c>
      <c r="U1889" t="s">
        <v>7256</v>
      </c>
      <c r="V1889" t="s">
        <v>7256</v>
      </c>
      <c r="W1889">
        <v>5</v>
      </c>
      <c r="X1889" t="s">
        <v>9145</v>
      </c>
      <c r="Y1889">
        <v>0.38017357660599099</v>
      </c>
      <c r="Z1889" t="str">
        <f>HYPERLINK("Melting_Curves/meltCurve_sp_Q86TU7_SETD3_HUMAN_.pdf", "Melting_Curves/meltCurve_sp_Q86TU7_SETD3_HUMAN_.pdf")</f>
        <v>Melting_Curves/meltCurve_sp_Q86TU7_SETD3_HUMAN_.pdf</v>
      </c>
      <c r="AA1889" t="s">
        <v>12742</v>
      </c>
      <c r="AB1889" t="s">
        <v>16314</v>
      </c>
    </row>
    <row r="1890" spans="1:28" x14ac:dyDescent="0.25">
      <c r="A1890" t="s">
        <v>1894</v>
      </c>
      <c r="B1890">
        <v>0.98018197421672304</v>
      </c>
      <c r="C1890">
        <v>1.0442642523101999</v>
      </c>
      <c r="D1890">
        <v>0.958400443764586</v>
      </c>
      <c r="E1890">
        <v>0.73170128001614498</v>
      </c>
      <c r="F1890">
        <v>0.40887437344409</v>
      </c>
      <c r="G1890">
        <v>9.6198606639966197E-2</v>
      </c>
      <c r="H1890">
        <v>5.0563847586086598E-2</v>
      </c>
      <c r="I1890">
        <v>3.5271786210822498E-2</v>
      </c>
      <c r="J1890">
        <v>4.41752001028261E-2</v>
      </c>
      <c r="K1890">
        <v>2.51827048271221E-2</v>
      </c>
      <c r="L1890">
        <v>1343.9273461248899</v>
      </c>
      <c r="M1890">
        <v>25.8637132464027</v>
      </c>
      <c r="N1890">
        <v>52.076563736076999</v>
      </c>
      <c r="O1890">
        <v>51.6542154479556</v>
      </c>
      <c r="P1890">
        <v>-0.121713750673537</v>
      </c>
      <c r="Q1890">
        <v>2.7679205914303302E-2</v>
      </c>
      <c r="R1890">
        <v>0.99786862487236805</v>
      </c>
      <c r="S1890" t="s">
        <v>5519</v>
      </c>
      <c r="T1890" t="s">
        <v>7256</v>
      </c>
      <c r="U1890" t="s">
        <v>7256</v>
      </c>
      <c r="V1890" t="s">
        <v>7256</v>
      </c>
      <c r="W1890">
        <v>22</v>
      </c>
      <c r="X1890" t="s">
        <v>9146</v>
      </c>
      <c r="Y1890">
        <v>0.42368129847804359</v>
      </c>
      <c r="Z1890" t="str">
        <f>HYPERLINK("Melting_Curves/meltCurve_sp_Q86TX2_ACOT1_HUMAN_.pdf", "Melting_Curves/meltCurve_sp_Q86TX2_ACOT1_HUMAN_.pdf")</f>
        <v>Melting_Curves/meltCurve_sp_Q86TX2_ACOT1_HUMAN_.pdf</v>
      </c>
      <c r="AA1890" t="s">
        <v>12743</v>
      </c>
      <c r="AB1890" t="s">
        <v>16315</v>
      </c>
    </row>
    <row r="1891" spans="1:28" x14ac:dyDescent="0.25">
      <c r="A1891" t="s">
        <v>1895</v>
      </c>
      <c r="B1891">
        <v>0.98018197421672304</v>
      </c>
      <c r="C1891">
        <v>1.1106743584188301</v>
      </c>
      <c r="D1891">
        <v>0.87579565549939298</v>
      </c>
      <c r="E1891">
        <v>0.78333477969851995</v>
      </c>
      <c r="F1891">
        <v>0.63654546652338795</v>
      </c>
      <c r="G1891">
        <v>0.44849005669755199</v>
      </c>
      <c r="H1891">
        <v>0.341137901352696</v>
      </c>
      <c r="I1891">
        <v>0.334564204376116</v>
      </c>
      <c r="J1891">
        <v>0.32735033856954798</v>
      </c>
      <c r="K1891">
        <v>0.32553762124267799</v>
      </c>
      <c r="L1891">
        <v>885.60297448373001</v>
      </c>
      <c r="M1891">
        <v>16.900237537894501</v>
      </c>
      <c r="N1891">
        <v>55.497140797501302</v>
      </c>
      <c r="O1891">
        <v>51.684615459222101</v>
      </c>
      <c r="P1891">
        <v>-5.6801841265546001E-2</v>
      </c>
      <c r="Q1891">
        <v>0.30519422540671998</v>
      </c>
      <c r="R1891">
        <v>0.97407078501811695</v>
      </c>
      <c r="S1891" t="s">
        <v>5520</v>
      </c>
      <c r="T1891" t="s">
        <v>7256</v>
      </c>
      <c r="U1891" t="s">
        <v>7256</v>
      </c>
      <c r="V1891" t="s">
        <v>7256</v>
      </c>
      <c r="W1891">
        <v>3</v>
      </c>
      <c r="X1891" t="s">
        <v>9147</v>
      </c>
      <c r="Y1891">
        <v>0.60516408720882886</v>
      </c>
      <c r="Z1891" t="str">
        <f>HYPERLINK("Melting_Curves/meltCurve_sp_Q86U17_SPA11_HUMAN_.pdf", "Melting_Curves/meltCurve_sp_Q86U17_SPA11_HUMAN_.pdf")</f>
        <v>Melting_Curves/meltCurve_sp_Q86U17_SPA11_HUMAN_.pdf</v>
      </c>
      <c r="AA1891" t="s">
        <v>12744</v>
      </c>
      <c r="AB1891" t="s">
        <v>16316</v>
      </c>
    </row>
    <row r="1892" spans="1:28" x14ac:dyDescent="0.25">
      <c r="A1892" t="s">
        <v>1896</v>
      </c>
      <c r="B1892">
        <v>0.98018197421672304</v>
      </c>
      <c r="C1892">
        <v>1.00375476694338</v>
      </c>
      <c r="D1892">
        <v>0.942704325676336</v>
      </c>
      <c r="E1892">
        <v>0.76143578827766101</v>
      </c>
      <c r="F1892">
        <v>0.69634334834081402</v>
      </c>
      <c r="G1892">
        <v>0.53253041255870703</v>
      </c>
      <c r="H1892">
        <v>0.40501622400706999</v>
      </c>
      <c r="I1892">
        <v>0.44937890733547298</v>
      </c>
      <c r="J1892">
        <v>0.46442316758582203</v>
      </c>
      <c r="K1892">
        <v>0.61673189967000397</v>
      </c>
      <c r="L1892">
        <v>1033.7777899805601</v>
      </c>
      <c r="M1892">
        <v>20.282495008723199</v>
      </c>
      <c r="N1892">
        <v>60.903446980696103</v>
      </c>
      <c r="O1892">
        <v>50.481261624717298</v>
      </c>
      <c r="P1892">
        <v>-5.2061225260515702E-2</v>
      </c>
      <c r="Q1892">
        <v>0.48171360925778101</v>
      </c>
      <c r="R1892">
        <v>0.93042913564183904</v>
      </c>
      <c r="S1892" t="s">
        <v>5521</v>
      </c>
      <c r="T1892" t="s">
        <v>7256</v>
      </c>
      <c r="U1892" t="s">
        <v>7256</v>
      </c>
      <c r="V1892" t="s">
        <v>7256</v>
      </c>
      <c r="W1892">
        <v>5</v>
      </c>
      <c r="X1892" t="s">
        <v>9148</v>
      </c>
      <c r="Y1892">
        <v>0.67822389054322385</v>
      </c>
      <c r="Z1892" t="str">
        <f>HYPERLINK("Melting_Curves/meltCurve_sp_Q86U28_ISCA2_HUMAN_.pdf", "Melting_Curves/meltCurve_sp_Q86U28_ISCA2_HUMAN_.pdf")</f>
        <v>Melting_Curves/meltCurve_sp_Q86U28_ISCA2_HUMAN_.pdf</v>
      </c>
      <c r="AA1892" t="s">
        <v>12745</v>
      </c>
      <c r="AB1892" t="s">
        <v>16317</v>
      </c>
    </row>
    <row r="1893" spans="1:28" x14ac:dyDescent="0.25">
      <c r="A1893" t="s">
        <v>1897</v>
      </c>
      <c r="B1893">
        <v>0.98018197421672304</v>
      </c>
      <c r="C1893">
        <v>0.889446079080216</v>
      </c>
      <c r="D1893">
        <v>0.89748287872714005</v>
      </c>
      <c r="E1893">
        <v>0.72117524248420295</v>
      </c>
      <c r="F1893">
        <v>0.57200537144391805</v>
      </c>
      <c r="G1893">
        <v>0.36588560650653501</v>
      </c>
      <c r="H1893">
        <v>0.26910562464068999</v>
      </c>
      <c r="I1893">
        <v>0.26426668117236701</v>
      </c>
      <c r="J1893">
        <v>0.27716704315826801</v>
      </c>
      <c r="K1893">
        <v>0.27894111282845802</v>
      </c>
      <c r="L1893">
        <v>753.81869121682098</v>
      </c>
      <c r="M1893">
        <v>14.5889458988049</v>
      </c>
      <c r="N1893">
        <v>53.987277854431703</v>
      </c>
      <c r="O1893">
        <v>50.728842237921199</v>
      </c>
      <c r="P1893">
        <v>-5.5176146388745399E-2</v>
      </c>
      <c r="Q1893">
        <v>0.23265039744649901</v>
      </c>
      <c r="R1893">
        <v>0.98780668355948398</v>
      </c>
      <c r="S1893" t="s">
        <v>5522</v>
      </c>
      <c r="T1893" t="s">
        <v>7256</v>
      </c>
      <c r="U1893" t="s">
        <v>7256</v>
      </c>
      <c r="V1893" t="s">
        <v>7256</v>
      </c>
      <c r="W1893">
        <v>2</v>
      </c>
      <c r="X1893" t="s">
        <v>9149</v>
      </c>
      <c r="Y1893">
        <v>0.54927909409838616</v>
      </c>
      <c r="Z1893" t="str">
        <f>HYPERLINK("Melting_Curves/meltCurve_sp_Q86U42_2_PABP2_HUMAN_.pdf", "Melting_Curves/meltCurve_sp_Q86U42_2_PABP2_HUMAN_.pdf")</f>
        <v>Melting_Curves/meltCurve_sp_Q86U42_2_PABP2_HUMAN_.pdf</v>
      </c>
      <c r="AA1893" t="s">
        <v>12746</v>
      </c>
      <c r="AB1893" t="s">
        <v>16318</v>
      </c>
    </row>
    <row r="1894" spans="1:28" x14ac:dyDescent="0.25">
      <c r="A1894" t="s">
        <v>1898</v>
      </c>
      <c r="B1894">
        <v>0.98018197421672304</v>
      </c>
      <c r="C1894">
        <v>0.90707820591293797</v>
      </c>
      <c r="D1894">
        <v>0.90110075968630199</v>
      </c>
      <c r="E1894">
        <v>0.755966442361651</v>
      </c>
      <c r="F1894">
        <v>0.40464897015954598</v>
      </c>
      <c r="G1894">
        <v>0.19119518195048499</v>
      </c>
      <c r="H1894">
        <v>0.13405330865867601</v>
      </c>
      <c r="I1894">
        <v>0.12507609545034101</v>
      </c>
      <c r="J1894">
        <v>0.16293933531427701</v>
      </c>
      <c r="K1894">
        <v>0.159209863504326</v>
      </c>
      <c r="L1894">
        <v>1313.3847325622701</v>
      </c>
      <c r="M1894">
        <v>25.512464767136201</v>
      </c>
      <c r="N1894">
        <v>52.129116600008302</v>
      </c>
      <c r="O1894">
        <v>51.1669619128253</v>
      </c>
      <c r="P1894">
        <v>-0.107693798697092</v>
      </c>
      <c r="Q1894">
        <v>0.136062286256772</v>
      </c>
      <c r="R1894">
        <v>0.98805539811701104</v>
      </c>
      <c r="S1894" t="s">
        <v>5523</v>
      </c>
      <c r="T1894" t="s">
        <v>7256</v>
      </c>
      <c r="U1894" t="s">
        <v>7256</v>
      </c>
      <c r="V1894" t="s">
        <v>7256</v>
      </c>
      <c r="W1894">
        <v>3</v>
      </c>
      <c r="X1894" t="s">
        <v>9150</v>
      </c>
      <c r="Y1894">
        <v>0.47420662913968931</v>
      </c>
      <c r="Z1894" t="str">
        <f>HYPERLINK("Melting_Curves/meltCurve_sp_Q86U44_MTA70_HUMAN_.pdf", "Melting_Curves/meltCurve_sp_Q86U44_MTA70_HUMAN_.pdf")</f>
        <v>Melting_Curves/meltCurve_sp_Q86U44_MTA70_HUMAN_.pdf</v>
      </c>
      <c r="AA1894" t="s">
        <v>12747</v>
      </c>
      <c r="AB1894" t="s">
        <v>16319</v>
      </c>
    </row>
    <row r="1895" spans="1:28" x14ac:dyDescent="0.25">
      <c r="A1895" t="s">
        <v>1899</v>
      </c>
      <c r="B1895">
        <v>0.98018197421672304</v>
      </c>
      <c r="C1895">
        <v>1.01720001080064</v>
      </c>
      <c r="D1895">
        <v>0.85078745557564694</v>
      </c>
      <c r="E1895">
        <v>0.52909287228463198</v>
      </c>
      <c r="F1895">
        <v>0.23632941764882201</v>
      </c>
      <c r="G1895">
        <v>0.191227629445097</v>
      </c>
      <c r="H1895">
        <v>9.2693003419205694E-2</v>
      </c>
      <c r="I1895">
        <v>7.2788344560611104E-2</v>
      </c>
      <c r="J1895">
        <v>3.4670841318210202E-2</v>
      </c>
      <c r="K1895">
        <v>0</v>
      </c>
      <c r="L1895">
        <v>993.10223619149099</v>
      </c>
      <c r="M1895">
        <v>19.8640143528763</v>
      </c>
      <c r="N1895">
        <v>50.242409799273901</v>
      </c>
      <c r="O1895">
        <v>49.496645477785599</v>
      </c>
      <c r="P1895">
        <v>-9.5659477436085397E-2</v>
      </c>
      <c r="Q1895">
        <v>4.6584910050058097E-2</v>
      </c>
      <c r="R1895">
        <v>0.99141948494759202</v>
      </c>
      <c r="S1895" t="s">
        <v>5524</v>
      </c>
      <c r="T1895" t="s">
        <v>7256</v>
      </c>
      <c r="U1895" t="s">
        <v>7256</v>
      </c>
      <c r="V1895" t="s">
        <v>7256</v>
      </c>
      <c r="W1895">
        <v>3</v>
      </c>
      <c r="X1895" t="s">
        <v>9151</v>
      </c>
      <c r="Y1895">
        <v>0.37768315794632162</v>
      </c>
      <c r="Z1895" t="str">
        <f>HYPERLINK("Melting_Curves/meltCurve_sp_Q86UA1_PRP39_HUMAN_.pdf", "Melting_Curves/meltCurve_sp_Q86UA1_PRP39_HUMAN_.pdf")</f>
        <v>Melting_Curves/meltCurve_sp_Q86UA1_PRP39_HUMAN_.pdf</v>
      </c>
      <c r="AA1895" t="s">
        <v>12748</v>
      </c>
      <c r="AB1895" t="s">
        <v>16320</v>
      </c>
    </row>
    <row r="1896" spans="1:28" x14ac:dyDescent="0.25">
      <c r="A1896" t="s">
        <v>1900</v>
      </c>
      <c r="B1896">
        <v>0.98018197421672304</v>
      </c>
      <c r="C1896">
        <v>1.1238354936444199</v>
      </c>
      <c r="D1896">
        <v>0.95053026286480002</v>
      </c>
      <c r="E1896">
        <v>0.84374593646401597</v>
      </c>
      <c r="F1896">
        <v>0.54005036391545203</v>
      </c>
      <c r="G1896">
        <v>0.12693324090188299</v>
      </c>
      <c r="H1896">
        <v>6.7099000283505697E-2</v>
      </c>
      <c r="I1896">
        <v>5.72080045787937E-2</v>
      </c>
      <c r="J1896">
        <v>7.7053600337281203E-2</v>
      </c>
      <c r="K1896">
        <v>5.8738616915233903E-2</v>
      </c>
      <c r="L1896">
        <v>1597.55248500275</v>
      </c>
      <c r="M1896">
        <v>30.177394626024601</v>
      </c>
      <c r="N1896">
        <v>53.143315692707297</v>
      </c>
      <c r="O1896">
        <v>52.707881220529501</v>
      </c>
      <c r="P1896">
        <v>-0.135285919519984</v>
      </c>
      <c r="Q1896">
        <v>5.4843747163521001E-2</v>
      </c>
      <c r="R1896">
        <v>0.98939682473875901</v>
      </c>
      <c r="S1896" t="s">
        <v>5525</v>
      </c>
      <c r="T1896" t="s">
        <v>7256</v>
      </c>
      <c r="U1896" t="s">
        <v>7256</v>
      </c>
      <c r="V1896" t="s">
        <v>7256</v>
      </c>
      <c r="W1896">
        <v>1</v>
      </c>
      <c r="X1896" t="s">
        <v>9152</v>
      </c>
      <c r="Y1896">
        <v>0.46853430601845542</v>
      </c>
      <c r="Z1896" t="str">
        <f>HYPERLINK("Melting_Curves/meltCurve_sp_Q86UK7_2_ZN598_HUMAN_.pdf", "Melting_Curves/meltCurve_sp_Q86UK7_2_ZN598_HUMAN_.pdf")</f>
        <v>Melting_Curves/meltCurve_sp_Q86UK7_2_ZN598_HUMAN_.pdf</v>
      </c>
      <c r="AA1896" t="s">
        <v>12749</v>
      </c>
      <c r="AB1896" t="s">
        <v>16321</v>
      </c>
    </row>
    <row r="1897" spans="1:28" x14ac:dyDescent="0.25">
      <c r="A1897" t="s">
        <v>1901</v>
      </c>
      <c r="B1897">
        <v>0.98018197421672304</v>
      </c>
      <c r="C1897">
        <v>0.94102596161935603</v>
      </c>
      <c r="D1897">
        <v>0.87417306754416602</v>
      </c>
      <c r="E1897">
        <v>0.76981419282386099</v>
      </c>
      <c r="F1897">
        <v>0.63537898858748298</v>
      </c>
      <c r="G1897">
        <v>0.46913998170949101</v>
      </c>
      <c r="H1897">
        <v>0.43188499972032302</v>
      </c>
      <c r="I1897">
        <v>0.46269984945024301</v>
      </c>
      <c r="J1897">
        <v>0.48364614763605002</v>
      </c>
      <c r="K1897">
        <v>0.46453708850167003</v>
      </c>
      <c r="L1897">
        <v>799.42358015050104</v>
      </c>
      <c r="M1897">
        <v>15.858359314508199</v>
      </c>
      <c r="N1897">
        <v>58.118494467654799</v>
      </c>
      <c r="O1897">
        <v>49.629065908361298</v>
      </c>
      <c r="P1897">
        <v>-4.48209440671542E-2</v>
      </c>
      <c r="Q1897">
        <v>0.438973254908544</v>
      </c>
      <c r="R1897">
        <v>0.98106621326780696</v>
      </c>
      <c r="S1897" t="s">
        <v>5526</v>
      </c>
      <c r="T1897" t="s">
        <v>7256</v>
      </c>
      <c r="U1897" t="s">
        <v>7256</v>
      </c>
      <c r="V1897" t="s">
        <v>7256</v>
      </c>
      <c r="W1897">
        <v>65</v>
      </c>
      <c r="X1897" t="s">
        <v>9153</v>
      </c>
      <c r="Y1897">
        <v>0.6456354080910186</v>
      </c>
      <c r="Z1897" t="str">
        <f>HYPERLINK("Melting_Curves/meltCurve_sp_Q86UP2_KTN1_HUMAN_.pdf", "Melting_Curves/meltCurve_sp_Q86UP2_KTN1_HUMAN_.pdf")</f>
        <v>Melting_Curves/meltCurve_sp_Q86UP2_KTN1_HUMAN_.pdf</v>
      </c>
      <c r="AA1897" t="s">
        <v>12750</v>
      </c>
      <c r="AB1897" t="s">
        <v>16322</v>
      </c>
    </row>
    <row r="1898" spans="1:28" x14ac:dyDescent="0.25">
      <c r="A1898" t="s">
        <v>1902</v>
      </c>
      <c r="B1898">
        <v>0.98018197421672304</v>
      </c>
      <c r="C1898">
        <v>0.90392126233266901</v>
      </c>
      <c r="D1898">
        <v>0.758348917187192</v>
      </c>
      <c r="E1898">
        <v>0.67422285326804798</v>
      </c>
      <c r="F1898">
        <v>0.53049523292810197</v>
      </c>
      <c r="G1898">
        <v>0.29177262753684102</v>
      </c>
      <c r="H1898">
        <v>0.19219001255452201</v>
      </c>
      <c r="I1898">
        <v>8.6976318682904993E-2</v>
      </c>
      <c r="J1898">
        <v>0.124288143063802</v>
      </c>
      <c r="K1898">
        <v>0.105244280254216</v>
      </c>
      <c r="L1898">
        <v>539.56680175404699</v>
      </c>
      <c r="M1898">
        <v>10.225927363655099</v>
      </c>
      <c r="N1898">
        <v>52.764581253087997</v>
      </c>
      <c r="O1898">
        <v>50.866143579873203</v>
      </c>
      <c r="P1898">
        <v>-5.0281448779989697E-2</v>
      </c>
      <c r="Q1898">
        <v>0</v>
      </c>
      <c r="R1898">
        <v>0.988632633532742</v>
      </c>
      <c r="S1898" t="s">
        <v>5527</v>
      </c>
      <c r="T1898" t="s">
        <v>7256</v>
      </c>
      <c r="U1898" t="s">
        <v>7256</v>
      </c>
      <c r="V1898" t="s">
        <v>7256</v>
      </c>
      <c r="W1898">
        <v>3</v>
      </c>
      <c r="X1898" t="s">
        <v>9154</v>
      </c>
      <c r="Y1898">
        <v>0.4598537607506834</v>
      </c>
      <c r="Z1898" t="str">
        <f>HYPERLINK("Melting_Curves/meltCurve_sp_Q86UX7_2_URP2_HUMAN_.pdf", "Melting_Curves/meltCurve_sp_Q86UX7_2_URP2_HUMAN_.pdf")</f>
        <v>Melting_Curves/meltCurve_sp_Q86UX7_2_URP2_HUMAN_.pdf</v>
      </c>
      <c r="AA1898" t="s">
        <v>12751</v>
      </c>
      <c r="AB1898" t="s">
        <v>16323</v>
      </c>
    </row>
    <row r="1899" spans="1:28" x14ac:dyDescent="0.25">
      <c r="A1899" t="s">
        <v>1903</v>
      </c>
      <c r="B1899">
        <v>0.98018197421672304</v>
      </c>
      <c r="C1899">
        <v>0.90274507246059199</v>
      </c>
      <c r="D1899">
        <v>0.84449147229829702</v>
      </c>
      <c r="E1899">
        <v>0.68860233468962095</v>
      </c>
      <c r="F1899">
        <v>0.496566868609358</v>
      </c>
      <c r="G1899">
        <v>0.256963139357263</v>
      </c>
      <c r="H1899">
        <v>0.10205951119915301</v>
      </c>
      <c r="I1899">
        <v>6.9960967000442395E-2</v>
      </c>
      <c r="J1899">
        <v>6.4747675168966207E-2</v>
      </c>
      <c r="K1899">
        <v>6.0676098754610303E-2</v>
      </c>
      <c r="L1899">
        <v>692.46672380239102</v>
      </c>
      <c r="M1899">
        <v>13.169069782871301</v>
      </c>
      <c r="N1899">
        <v>52.582827952871</v>
      </c>
      <c r="O1899">
        <v>51.414654867726</v>
      </c>
      <c r="P1899">
        <v>-6.4044401867115699E-2</v>
      </c>
      <c r="Q1899">
        <v>0</v>
      </c>
      <c r="R1899">
        <v>0.99500526058126004</v>
      </c>
      <c r="S1899" t="s">
        <v>5528</v>
      </c>
      <c r="T1899" t="s">
        <v>7256</v>
      </c>
      <c r="U1899" t="s">
        <v>7256</v>
      </c>
      <c r="V1899" t="s">
        <v>7256</v>
      </c>
      <c r="W1899">
        <v>5</v>
      </c>
      <c r="X1899" t="s">
        <v>9155</v>
      </c>
      <c r="Y1899">
        <v>0.44560051107856657</v>
      </c>
      <c r="Z1899" t="str">
        <f>HYPERLINK("Melting_Curves/meltCurve_sp_Q86UY8_2_NT5D3_HUMAN_.pdf", "Melting_Curves/meltCurve_sp_Q86UY8_2_NT5D3_HUMAN_.pdf")</f>
        <v>Melting_Curves/meltCurve_sp_Q86UY8_2_NT5D3_HUMAN_.pdf</v>
      </c>
      <c r="AA1899" t="s">
        <v>12752</v>
      </c>
      <c r="AB1899" t="s">
        <v>16324</v>
      </c>
    </row>
    <row r="1900" spans="1:28" x14ac:dyDescent="0.25">
      <c r="A1900" t="s">
        <v>1904</v>
      </c>
      <c r="B1900">
        <v>0.98018197421672304</v>
      </c>
      <c r="C1900">
        <v>0.82009267228524596</v>
      </c>
      <c r="D1900">
        <v>0.67259582439514498</v>
      </c>
      <c r="E1900">
        <v>0.597163682276874</v>
      </c>
      <c r="F1900">
        <v>0.411783256071385</v>
      </c>
      <c r="G1900">
        <v>0.233498403033083</v>
      </c>
      <c r="H1900">
        <v>0.186038033484339</v>
      </c>
      <c r="I1900">
        <v>0.24341458591526399</v>
      </c>
      <c r="J1900">
        <v>0.19810065986724801</v>
      </c>
      <c r="K1900">
        <v>0.35246059093042897</v>
      </c>
      <c r="L1900">
        <v>613.13485661428797</v>
      </c>
      <c r="M1900">
        <v>12.7692634393125</v>
      </c>
      <c r="N1900">
        <v>50.203247853027499</v>
      </c>
      <c r="O1900">
        <v>46.884552451902401</v>
      </c>
      <c r="P1900">
        <v>-5.3574890634475403E-2</v>
      </c>
      <c r="Q1900">
        <v>0.21331148671526901</v>
      </c>
      <c r="R1900">
        <v>0.94355768399833695</v>
      </c>
      <c r="S1900" t="s">
        <v>5529</v>
      </c>
      <c r="T1900" t="s">
        <v>7256</v>
      </c>
      <c r="U1900" t="s">
        <v>7256</v>
      </c>
      <c r="V1900" t="s">
        <v>7256</v>
      </c>
      <c r="W1900">
        <v>1</v>
      </c>
      <c r="X1900" t="s">
        <v>9156</v>
      </c>
      <c r="Y1900">
        <v>0.45102799452778258</v>
      </c>
      <c r="Z1900" t="str">
        <f>HYPERLINK("Melting_Curves/meltCurve_sp_Q86V48_2_LUZP1_HUMAN_.pdf", "Melting_Curves/meltCurve_sp_Q86V48_2_LUZP1_HUMAN_.pdf")</f>
        <v>Melting_Curves/meltCurve_sp_Q86V48_2_LUZP1_HUMAN_.pdf</v>
      </c>
      <c r="AA1900" t="s">
        <v>12753</v>
      </c>
      <c r="AB1900" t="s">
        <v>16325</v>
      </c>
    </row>
    <row r="1901" spans="1:28" x14ac:dyDescent="0.25">
      <c r="A1901" t="s">
        <v>1905</v>
      </c>
      <c r="B1901">
        <v>0.98018197421672304</v>
      </c>
      <c r="C1901">
        <v>0.83656644459573404</v>
      </c>
      <c r="D1901">
        <v>0.92204780419893995</v>
      </c>
      <c r="E1901">
        <v>0.73654757521001302</v>
      </c>
      <c r="F1901">
        <v>0.60214550166507597</v>
      </c>
      <c r="G1901">
        <v>0.458498696320357</v>
      </c>
      <c r="H1901">
        <v>0.403826961025892</v>
      </c>
      <c r="I1901">
        <v>0.34397403585632602</v>
      </c>
      <c r="J1901">
        <v>0.50180514385341002</v>
      </c>
      <c r="K1901">
        <v>0.43750740532730698</v>
      </c>
      <c r="L1901">
        <v>740.92376588444301</v>
      </c>
      <c r="M1901">
        <v>14.722903554144199</v>
      </c>
      <c r="N1901">
        <v>56.399865416919901</v>
      </c>
      <c r="O1901">
        <v>49.423490377612303</v>
      </c>
      <c r="P1901">
        <v>-4.4865964148948299E-2</v>
      </c>
      <c r="Q1901">
        <v>0.39762096585517498</v>
      </c>
      <c r="R1901">
        <v>0.92859927329096204</v>
      </c>
      <c r="S1901" t="s">
        <v>5530</v>
      </c>
      <c r="T1901" t="s">
        <v>7256</v>
      </c>
      <c r="U1901" t="s">
        <v>7256</v>
      </c>
      <c r="V1901" t="s">
        <v>7256</v>
      </c>
      <c r="W1901">
        <v>2</v>
      </c>
      <c r="X1901" t="s">
        <v>9157</v>
      </c>
      <c r="Y1901">
        <v>0.61961259830012383</v>
      </c>
      <c r="Z1901" t="str">
        <f>HYPERLINK("Melting_Curves/meltCurve_sp_Q86V81_THOC4_HUMAN_.pdf", "Melting_Curves/meltCurve_sp_Q86V81_THOC4_HUMAN_.pdf")</f>
        <v>Melting_Curves/meltCurve_sp_Q86V81_THOC4_HUMAN_.pdf</v>
      </c>
      <c r="AA1901" t="s">
        <v>12754</v>
      </c>
      <c r="AB1901" t="s">
        <v>16326</v>
      </c>
    </row>
    <row r="1902" spans="1:28" x14ac:dyDescent="0.25">
      <c r="A1902" t="s">
        <v>1906</v>
      </c>
      <c r="B1902">
        <v>0.98018197421672304</v>
      </c>
      <c r="C1902">
        <v>0.93360782223114802</v>
      </c>
      <c r="D1902">
        <v>0.92462494900649495</v>
      </c>
      <c r="E1902">
        <v>0.77108342126339302</v>
      </c>
      <c r="F1902">
        <v>0.40919373826187799</v>
      </c>
      <c r="G1902">
        <v>0.17739557297604899</v>
      </c>
      <c r="H1902">
        <v>0.10067264794065001</v>
      </c>
      <c r="I1902">
        <v>7.2412185962690404E-2</v>
      </c>
      <c r="J1902">
        <v>5.9883480680031097E-2</v>
      </c>
      <c r="K1902">
        <v>7.9187987589172407E-2</v>
      </c>
      <c r="L1902">
        <v>1234.8968311973699</v>
      </c>
      <c r="M1902">
        <v>23.746226627261301</v>
      </c>
      <c r="N1902">
        <v>52.319778860600202</v>
      </c>
      <c r="O1902">
        <v>51.639332775959197</v>
      </c>
      <c r="P1902">
        <v>-0.10728679206778099</v>
      </c>
      <c r="Q1902">
        <v>6.6777892455575097E-2</v>
      </c>
      <c r="R1902">
        <v>0.99522379870805899</v>
      </c>
      <c r="S1902" t="s">
        <v>5531</v>
      </c>
      <c r="T1902" t="s">
        <v>7256</v>
      </c>
      <c r="U1902" t="s">
        <v>7256</v>
      </c>
      <c r="V1902" t="s">
        <v>7256</v>
      </c>
      <c r="W1902">
        <v>8</v>
      </c>
      <c r="X1902" t="s">
        <v>9158</v>
      </c>
      <c r="Y1902">
        <v>0.44958945643493492</v>
      </c>
      <c r="Z1902" t="str">
        <f>HYPERLINK("Melting_Curves/meltCurve_sp_Q86VN1_2_VPS36_HUMAN_.pdf", "Melting_Curves/meltCurve_sp_Q86VN1_2_VPS36_HUMAN_.pdf")</f>
        <v>Melting_Curves/meltCurve_sp_Q86VN1_2_VPS36_HUMAN_.pdf</v>
      </c>
      <c r="AA1902" t="s">
        <v>12755</v>
      </c>
      <c r="AB1902" t="s">
        <v>16327</v>
      </c>
    </row>
    <row r="1903" spans="1:28" x14ac:dyDescent="0.25">
      <c r="A1903" t="s">
        <v>1907</v>
      </c>
      <c r="B1903">
        <v>0.98018197421672304</v>
      </c>
      <c r="C1903">
        <v>0.953902662358739</v>
      </c>
      <c r="D1903">
        <v>0.89844087971231601</v>
      </c>
      <c r="E1903">
        <v>0.81387851100163899</v>
      </c>
      <c r="F1903">
        <v>0.69894801303228804</v>
      </c>
      <c r="G1903">
        <v>0.57389292913148704</v>
      </c>
      <c r="H1903">
        <v>0.235793952336599</v>
      </c>
      <c r="I1903">
        <v>6.1957382585128E-2</v>
      </c>
      <c r="J1903">
        <v>5.0605108223030701E-2</v>
      </c>
      <c r="K1903">
        <v>3.5458261167536601E-2</v>
      </c>
      <c r="L1903">
        <v>835.01756400488398</v>
      </c>
      <c r="M1903">
        <v>14.8159849045649</v>
      </c>
      <c r="N1903">
        <v>56.359225093061099</v>
      </c>
      <c r="O1903">
        <v>55.362387263836197</v>
      </c>
      <c r="P1903">
        <v>-6.6911655297917899E-2</v>
      </c>
      <c r="Q1903">
        <v>0</v>
      </c>
      <c r="R1903">
        <v>0.97762379581596004</v>
      </c>
      <c r="S1903" t="s">
        <v>5532</v>
      </c>
      <c r="T1903" t="s">
        <v>7256</v>
      </c>
      <c r="U1903" t="s">
        <v>7256</v>
      </c>
      <c r="V1903" t="s">
        <v>7256</v>
      </c>
      <c r="W1903">
        <v>48</v>
      </c>
      <c r="X1903" t="s">
        <v>9159</v>
      </c>
      <c r="Y1903">
        <v>0.56256535984459133</v>
      </c>
      <c r="Z1903" t="str">
        <f>HYPERLINK("Melting_Curves/meltCurve_sp_Q86VP6_CAND1_HUMAN_.pdf", "Melting_Curves/meltCurve_sp_Q86VP6_CAND1_HUMAN_.pdf")</f>
        <v>Melting_Curves/meltCurve_sp_Q86VP6_CAND1_HUMAN_.pdf</v>
      </c>
      <c r="AA1903" t="s">
        <v>12756</v>
      </c>
      <c r="AB1903" t="s">
        <v>16328</v>
      </c>
    </row>
    <row r="1904" spans="1:28" x14ac:dyDescent="0.25">
      <c r="A1904" t="s">
        <v>1908</v>
      </c>
      <c r="B1904">
        <v>0.98018197421672304</v>
      </c>
      <c r="C1904">
        <v>0.85895881062413704</v>
      </c>
      <c r="D1904">
        <v>0.83212220528408898</v>
      </c>
      <c r="E1904">
        <v>0.75676890153851495</v>
      </c>
      <c r="F1904">
        <v>0.66349018786699498</v>
      </c>
      <c r="G1904">
        <v>0.54483934989862703</v>
      </c>
      <c r="H1904">
        <v>0.227646056864719</v>
      </c>
      <c r="I1904">
        <v>9.3352531270225705E-2</v>
      </c>
      <c r="J1904">
        <v>8.0334403926141704E-2</v>
      </c>
      <c r="K1904">
        <v>6.4556709327160997E-2</v>
      </c>
      <c r="L1904">
        <v>638.38718561219696</v>
      </c>
      <c r="M1904">
        <v>11.5132222727153</v>
      </c>
      <c r="N1904">
        <v>55.448176928938402</v>
      </c>
      <c r="O1904">
        <v>53.854511690743202</v>
      </c>
      <c r="P1904">
        <v>-5.34610691530562E-2</v>
      </c>
      <c r="Q1904">
        <v>0</v>
      </c>
      <c r="R1904">
        <v>0.96151185904061798</v>
      </c>
      <c r="S1904" t="s">
        <v>5533</v>
      </c>
      <c r="T1904" t="s">
        <v>7256</v>
      </c>
      <c r="U1904" t="s">
        <v>7256</v>
      </c>
      <c r="V1904" t="s">
        <v>7256</v>
      </c>
      <c r="W1904">
        <v>6</v>
      </c>
      <c r="X1904" t="s">
        <v>9160</v>
      </c>
      <c r="Y1904">
        <v>0.53755940172067129</v>
      </c>
      <c r="Z1904" t="str">
        <f>HYPERLINK("Melting_Curves/meltCurve_sp_Q86VQ6_TRXR3_HUMAN_.pdf", "Melting_Curves/meltCurve_sp_Q86VQ6_TRXR3_HUMAN_.pdf")</f>
        <v>Melting_Curves/meltCurve_sp_Q86VQ6_TRXR3_HUMAN_.pdf</v>
      </c>
      <c r="AA1904" t="s">
        <v>12757</v>
      </c>
      <c r="AB1904" t="s">
        <v>16329</v>
      </c>
    </row>
    <row r="1905" spans="1:28" x14ac:dyDescent="0.25">
      <c r="A1905" t="s">
        <v>1909</v>
      </c>
      <c r="B1905">
        <v>0.98018197421672304</v>
      </c>
      <c r="C1905">
        <v>0.96063844269283905</v>
      </c>
      <c r="D1905">
        <v>0.91259016251247504</v>
      </c>
      <c r="E1905">
        <v>0.76571541564319501</v>
      </c>
      <c r="F1905">
        <v>0.52635435521208696</v>
      </c>
      <c r="G1905">
        <v>0.314311454840428</v>
      </c>
      <c r="H1905">
        <v>0.27115464275413598</v>
      </c>
      <c r="I1905">
        <v>0.214713673087742</v>
      </c>
      <c r="J1905">
        <v>0.204714692515956</v>
      </c>
      <c r="K1905">
        <v>0.17290919653842601</v>
      </c>
      <c r="L1905">
        <v>904.01826488133702</v>
      </c>
      <c r="M1905">
        <v>17.317259620382199</v>
      </c>
      <c r="N1905">
        <v>53.590396695313302</v>
      </c>
      <c r="O1905">
        <v>51.522105733835502</v>
      </c>
      <c r="P1905">
        <v>-6.8855118224227602E-2</v>
      </c>
      <c r="Q1905">
        <v>0.18061948134904399</v>
      </c>
      <c r="R1905">
        <v>0.99680934197896898</v>
      </c>
      <c r="S1905" t="s">
        <v>5534</v>
      </c>
      <c r="T1905" t="s">
        <v>7256</v>
      </c>
      <c r="U1905" t="s">
        <v>7256</v>
      </c>
      <c r="V1905" t="s">
        <v>7256</v>
      </c>
      <c r="W1905">
        <v>11</v>
      </c>
      <c r="X1905" t="s">
        <v>9161</v>
      </c>
      <c r="Y1905">
        <v>0.52842587244862338</v>
      </c>
      <c r="Z1905" t="str">
        <f>HYPERLINK("Melting_Curves/meltCurve_sp_Q86VS8_HOOK3_HUMAN_.pdf", "Melting_Curves/meltCurve_sp_Q86VS8_HOOK3_HUMAN_.pdf")</f>
        <v>Melting_Curves/meltCurve_sp_Q86VS8_HOOK3_HUMAN_.pdf</v>
      </c>
      <c r="AA1905" t="s">
        <v>12758</v>
      </c>
      <c r="AB1905" t="s">
        <v>16330</v>
      </c>
    </row>
    <row r="1906" spans="1:28" x14ac:dyDescent="0.25">
      <c r="A1906" t="s">
        <v>1910</v>
      </c>
      <c r="B1906">
        <v>0.98018197421672304</v>
      </c>
      <c r="C1906">
        <v>0.84696435177432206</v>
      </c>
      <c r="D1906">
        <v>0.86187223075724395</v>
      </c>
      <c r="E1906">
        <v>0.69071937780255799</v>
      </c>
      <c r="F1906">
        <v>0.64065267057979802</v>
      </c>
      <c r="G1906">
        <v>0.35087464358103998</v>
      </c>
      <c r="H1906">
        <v>0.10397970910182699</v>
      </c>
      <c r="I1906">
        <v>6.8809592348066995E-2</v>
      </c>
      <c r="J1906">
        <v>6.7983576741217702E-2</v>
      </c>
      <c r="K1906">
        <v>5.7007393330119699E-2</v>
      </c>
      <c r="L1906">
        <v>684.90225167893902</v>
      </c>
      <c r="M1906">
        <v>12.745550806058199</v>
      </c>
      <c r="N1906">
        <v>53.736576467521701</v>
      </c>
      <c r="O1906">
        <v>52.465270858911197</v>
      </c>
      <c r="P1906">
        <v>-6.0744861633047702E-2</v>
      </c>
      <c r="Q1906">
        <v>0</v>
      </c>
      <c r="R1906">
        <v>0.97398954935844695</v>
      </c>
      <c r="S1906" t="s">
        <v>5535</v>
      </c>
      <c r="T1906" t="s">
        <v>7256</v>
      </c>
      <c r="U1906" t="s">
        <v>7256</v>
      </c>
      <c r="V1906" t="s">
        <v>7256</v>
      </c>
      <c r="W1906">
        <v>3</v>
      </c>
      <c r="X1906" t="s">
        <v>9162</v>
      </c>
      <c r="Y1906">
        <v>0.48305659626615982</v>
      </c>
      <c r="Z1906" t="str">
        <f>HYPERLINK("Melting_Curves/meltCurve_sp_Q86VX2_2_COMD7_HUMAN_.pdf", "Melting_Curves/meltCurve_sp_Q86VX2_2_COMD7_HUMAN_.pdf")</f>
        <v>Melting_Curves/meltCurve_sp_Q86VX2_2_COMD7_HUMAN_.pdf</v>
      </c>
      <c r="AA1906" t="s">
        <v>12759</v>
      </c>
      <c r="AB1906" t="s">
        <v>16331</v>
      </c>
    </row>
    <row r="1907" spans="1:28" x14ac:dyDescent="0.25">
      <c r="A1907" t="s">
        <v>1911</v>
      </c>
      <c r="B1907">
        <v>0.98018197421672304</v>
      </c>
      <c r="C1907">
        <v>0.88883391805007606</v>
      </c>
      <c r="D1907">
        <v>0.79390641914808902</v>
      </c>
      <c r="E1907">
        <v>0.58658459697981002</v>
      </c>
      <c r="F1907">
        <v>0.34048375595373798</v>
      </c>
      <c r="G1907">
        <v>0.187598461381075</v>
      </c>
      <c r="H1907">
        <v>0.16502067060838199</v>
      </c>
      <c r="I1907">
        <v>0.163372353034937</v>
      </c>
      <c r="J1907">
        <v>0.20928250101194101</v>
      </c>
      <c r="K1907">
        <v>0.11325738112269899</v>
      </c>
      <c r="L1907">
        <v>780.07849878067304</v>
      </c>
      <c r="M1907">
        <v>15.7394306056775</v>
      </c>
      <c r="N1907">
        <v>50.546677559316699</v>
      </c>
      <c r="O1907">
        <v>48.782683129163701</v>
      </c>
      <c r="P1907">
        <v>-7.0017471741804505E-2</v>
      </c>
      <c r="Q1907">
        <v>0.13202593503149801</v>
      </c>
      <c r="R1907">
        <v>0.98873082559855396</v>
      </c>
      <c r="S1907" t="s">
        <v>5536</v>
      </c>
      <c r="T1907" t="s">
        <v>7256</v>
      </c>
      <c r="U1907" t="s">
        <v>7256</v>
      </c>
      <c r="V1907" t="s">
        <v>7256</v>
      </c>
      <c r="W1907">
        <v>8</v>
      </c>
      <c r="X1907" t="s">
        <v>9163</v>
      </c>
      <c r="Y1907">
        <v>0.42790074072321321</v>
      </c>
      <c r="Z1907" t="str">
        <f>HYPERLINK("Melting_Curves/meltCurve_sp_Q86W92_4_LIPB1_HUMAN_.pdf", "Melting_Curves/meltCurve_sp_Q86W92_4_LIPB1_HUMAN_.pdf")</f>
        <v>Melting_Curves/meltCurve_sp_Q86W92_4_LIPB1_HUMAN_.pdf</v>
      </c>
      <c r="AA1907" t="s">
        <v>12760</v>
      </c>
      <c r="AB1907" t="s">
        <v>16332</v>
      </c>
    </row>
    <row r="1908" spans="1:28" x14ac:dyDescent="0.25">
      <c r="A1908" t="s">
        <v>1912</v>
      </c>
      <c r="B1908">
        <v>0.98018197421672304</v>
      </c>
      <c r="C1908">
        <v>1.0565876959937901</v>
      </c>
      <c r="D1908">
        <v>0.999364455757354</v>
      </c>
      <c r="E1908">
        <v>0.83739865030295901</v>
      </c>
      <c r="F1908">
        <v>0.72353954022739997</v>
      </c>
      <c r="G1908">
        <v>0.177652059028195</v>
      </c>
      <c r="H1908">
        <v>6.70420255800485E-2</v>
      </c>
      <c r="I1908">
        <v>5.2403276204441997E-2</v>
      </c>
      <c r="J1908">
        <v>4.9193208335011798E-2</v>
      </c>
      <c r="K1908">
        <v>4.8228054995486103E-2</v>
      </c>
      <c r="L1908">
        <v>1633.4426188209</v>
      </c>
      <c r="M1908">
        <v>30.1608306619129</v>
      </c>
      <c r="N1908">
        <v>54.301750361530502</v>
      </c>
      <c r="O1908">
        <v>53.921336667354602</v>
      </c>
      <c r="P1908">
        <v>-0.13446346568557499</v>
      </c>
      <c r="Q1908">
        <v>3.8434507857209602E-2</v>
      </c>
      <c r="R1908">
        <v>0.99143419162234103</v>
      </c>
      <c r="S1908" t="s">
        <v>5537</v>
      </c>
      <c r="T1908" t="s">
        <v>7256</v>
      </c>
      <c r="U1908" t="s">
        <v>7256</v>
      </c>
      <c r="V1908" t="s">
        <v>7256</v>
      </c>
      <c r="W1908">
        <v>11</v>
      </c>
      <c r="X1908" t="s">
        <v>9164</v>
      </c>
      <c r="Y1908">
        <v>0.49848393790949319</v>
      </c>
      <c r="Z1908" t="str">
        <f>HYPERLINK("Melting_Curves/meltCurve_sp_Q86WA6_BPHL_HUMAN_.pdf", "Melting_Curves/meltCurve_sp_Q86WA6_BPHL_HUMAN_.pdf")</f>
        <v>Melting_Curves/meltCurve_sp_Q86WA6_BPHL_HUMAN_.pdf</v>
      </c>
      <c r="AA1908" t="s">
        <v>12761</v>
      </c>
      <c r="AB1908" t="s">
        <v>16333</v>
      </c>
    </row>
    <row r="1909" spans="1:28" x14ac:dyDescent="0.25">
      <c r="A1909" t="s">
        <v>1913</v>
      </c>
      <c r="B1909">
        <v>0.98018197421672304</v>
      </c>
      <c r="C1909">
        <v>0.82314870550900099</v>
      </c>
      <c r="D1909">
        <v>0.540572650357803</v>
      </c>
      <c r="E1909">
        <v>0.39577182731232702</v>
      </c>
      <c r="F1909">
        <v>0.270888657743038</v>
      </c>
      <c r="G1909">
        <v>0.17923053820625401</v>
      </c>
      <c r="H1909">
        <v>0.14479650227951199</v>
      </c>
      <c r="I1909">
        <v>0.118206949889098</v>
      </c>
      <c r="J1909">
        <v>0.163933206583395</v>
      </c>
      <c r="K1909">
        <v>9.1321245808728899E-2</v>
      </c>
      <c r="L1909">
        <v>675.97847990069499</v>
      </c>
      <c r="M1909">
        <v>14.4888958034325</v>
      </c>
      <c r="N1909">
        <v>47.548981070926502</v>
      </c>
      <c r="O1909">
        <v>45.793182527789099</v>
      </c>
      <c r="P1909">
        <v>-6.9676032303878699E-2</v>
      </c>
      <c r="Q1909">
        <v>0.119237393105078</v>
      </c>
      <c r="R1909">
        <v>0.987097839901805</v>
      </c>
      <c r="S1909" t="s">
        <v>5538</v>
      </c>
      <c r="T1909" t="s">
        <v>7256</v>
      </c>
      <c r="U1909" t="s">
        <v>7256</v>
      </c>
      <c r="V1909" t="s">
        <v>7256</v>
      </c>
      <c r="W1909">
        <v>2</v>
      </c>
      <c r="X1909" t="s">
        <v>9165</v>
      </c>
      <c r="Y1909">
        <v>0.34090999640980529</v>
      </c>
      <c r="Z1909" t="str">
        <f>HYPERLINK("Melting_Curves/meltCurve_sp_Q86WA8_LONP2_HUMAN_.pdf", "Melting_Curves/meltCurve_sp_Q86WA8_LONP2_HUMAN_.pdf")</f>
        <v>Melting_Curves/meltCurve_sp_Q86WA8_LONP2_HUMAN_.pdf</v>
      </c>
      <c r="AA1909" t="s">
        <v>12762</v>
      </c>
      <c r="AB1909" t="s">
        <v>16334</v>
      </c>
    </row>
    <row r="1910" spans="1:28" x14ac:dyDescent="0.25">
      <c r="A1910" t="s">
        <v>1914</v>
      </c>
      <c r="B1910">
        <v>0.98018197421672304</v>
      </c>
      <c r="C1910">
        <v>0.97633718999135699</v>
      </c>
      <c r="D1910">
        <v>0.97252117081360401</v>
      </c>
      <c r="E1910">
        <v>0.79667524091087005</v>
      </c>
      <c r="F1910">
        <v>0.44553030584118603</v>
      </c>
      <c r="G1910">
        <v>0.12693628671267401</v>
      </c>
      <c r="H1910">
        <v>7.3631926631676003E-2</v>
      </c>
      <c r="I1910">
        <v>5.8323660087670801E-2</v>
      </c>
      <c r="J1910">
        <v>7.0918289694147901E-2</v>
      </c>
      <c r="K1910">
        <v>6.4406561221977202E-2</v>
      </c>
      <c r="L1910">
        <v>1501.5489658805</v>
      </c>
      <c r="M1910">
        <v>28.723484131506801</v>
      </c>
      <c r="N1910">
        <v>52.506765696542999</v>
      </c>
      <c r="O1910">
        <v>52.024584019468399</v>
      </c>
      <c r="P1910">
        <v>-0.12984476007599799</v>
      </c>
      <c r="Q1910">
        <v>5.9296922238654001E-2</v>
      </c>
      <c r="R1910">
        <v>0.99920495825503897</v>
      </c>
      <c r="S1910" t="s">
        <v>5539</v>
      </c>
      <c r="T1910" t="s">
        <v>7256</v>
      </c>
      <c r="U1910" t="s">
        <v>7256</v>
      </c>
      <c r="V1910" t="s">
        <v>7256</v>
      </c>
      <c r="W1910">
        <v>7</v>
      </c>
      <c r="X1910" t="s">
        <v>9166</v>
      </c>
      <c r="Y1910">
        <v>0.45080899277689301</v>
      </c>
      <c r="Z1910" t="str">
        <f>HYPERLINK("Melting_Curves/meltCurve_sp_Q86WR0_CCD25_HUMAN_.pdf", "Melting_Curves/meltCurve_sp_Q86WR0_CCD25_HUMAN_.pdf")</f>
        <v>Melting_Curves/meltCurve_sp_Q86WR0_CCD25_HUMAN_.pdf</v>
      </c>
      <c r="AA1910" t="s">
        <v>12763</v>
      </c>
      <c r="AB1910" t="s">
        <v>16335</v>
      </c>
    </row>
    <row r="1911" spans="1:28" x14ac:dyDescent="0.25">
      <c r="A1911" t="s">
        <v>1915</v>
      </c>
      <c r="B1911">
        <v>0.98018197421672304</v>
      </c>
      <c r="C1911">
        <v>1.0506212284129799</v>
      </c>
      <c r="D1911">
        <v>0.93769494556519595</v>
      </c>
      <c r="E1911">
        <v>0.84734418397504496</v>
      </c>
      <c r="F1911">
        <v>0.68242970346115905</v>
      </c>
      <c r="G1911">
        <v>0.439491262911612</v>
      </c>
      <c r="H1911">
        <v>0.42117837379404</v>
      </c>
      <c r="I1911">
        <v>0.45011725423471999</v>
      </c>
      <c r="J1911">
        <v>0.55707289811358796</v>
      </c>
      <c r="K1911">
        <v>0.74306932600753595</v>
      </c>
      <c r="L1911">
        <v>1729.6549318433499</v>
      </c>
      <c r="M1911">
        <v>33.722753437957003</v>
      </c>
      <c r="O1911">
        <v>51.111103307773803</v>
      </c>
      <c r="P1911">
        <v>-7.8509155308628606E-2</v>
      </c>
      <c r="Q1911">
        <v>0.52403983252765396</v>
      </c>
      <c r="R1911">
        <v>0.83679225749083597</v>
      </c>
      <c r="S1911" t="s">
        <v>5540</v>
      </c>
      <c r="T1911" t="s">
        <v>7256</v>
      </c>
      <c r="U1911" t="s">
        <v>7256</v>
      </c>
      <c r="V1911" t="s">
        <v>7256</v>
      </c>
      <c r="W1911">
        <v>4</v>
      </c>
      <c r="X1911" t="s">
        <v>9167</v>
      </c>
      <c r="Y1911">
        <v>0.70554506759090196</v>
      </c>
      <c r="Z1911" t="str">
        <f>HYPERLINK("Melting_Curves/meltCurve_sp_Q86WR7_PRSR2_HUMAN_.pdf", "Melting_Curves/meltCurve_sp_Q86WR7_PRSR2_HUMAN_.pdf")</f>
        <v>Melting_Curves/meltCurve_sp_Q86WR7_PRSR2_HUMAN_.pdf</v>
      </c>
      <c r="AA1911" t="s">
        <v>12764</v>
      </c>
      <c r="AB1911" t="s">
        <v>16336</v>
      </c>
    </row>
    <row r="1912" spans="1:28" x14ac:dyDescent="0.25">
      <c r="A1912" t="s">
        <v>1916</v>
      </c>
      <c r="B1912">
        <v>0.98018197421672304</v>
      </c>
      <c r="C1912">
        <v>0.57679123481277905</v>
      </c>
      <c r="D1912">
        <v>0.88101690586177595</v>
      </c>
      <c r="E1912">
        <v>0.67069776860564001</v>
      </c>
      <c r="F1912">
        <v>0.40741080257773998</v>
      </c>
      <c r="G1912">
        <v>0.59278567096164603</v>
      </c>
      <c r="H1912">
        <v>0.40842218715589801</v>
      </c>
      <c r="I1912">
        <v>0.31002204862588101</v>
      </c>
      <c r="J1912">
        <v>0.14754853706394599</v>
      </c>
      <c r="K1912">
        <v>0.110086066637174</v>
      </c>
      <c r="L1912">
        <v>330.46719458194599</v>
      </c>
      <c r="M1912">
        <v>6.0774574951240501</v>
      </c>
      <c r="N1912">
        <v>54.3758956148179</v>
      </c>
      <c r="O1912">
        <v>49.368977954967797</v>
      </c>
      <c r="P1912">
        <v>-3.0870889422993E-2</v>
      </c>
      <c r="Q1912">
        <v>0</v>
      </c>
      <c r="R1912">
        <v>0.78782472322285801</v>
      </c>
      <c r="S1912" t="s">
        <v>5541</v>
      </c>
      <c r="T1912" t="s">
        <v>7256</v>
      </c>
      <c r="U1912" t="s">
        <v>7256</v>
      </c>
      <c r="V1912" t="s">
        <v>7256</v>
      </c>
      <c r="W1912">
        <v>18</v>
      </c>
      <c r="X1912" t="s">
        <v>9168</v>
      </c>
      <c r="Y1912">
        <v>0.51215137232712471</v>
      </c>
      <c r="Z1912" t="str">
        <f>HYPERLINK("Melting_Curves/meltCurve_sp_Q86WU2_2_LDHD_HUMAN_.pdf", "Melting_Curves/meltCurve_sp_Q86WU2_2_LDHD_HUMAN_.pdf")</f>
        <v>Melting_Curves/meltCurve_sp_Q86WU2_2_LDHD_HUMAN_.pdf</v>
      </c>
      <c r="AA1912" t="s">
        <v>12765</v>
      </c>
      <c r="AB1912" t="s">
        <v>16337</v>
      </c>
    </row>
    <row r="1913" spans="1:28" x14ac:dyDescent="0.25">
      <c r="A1913" t="s">
        <v>1917</v>
      </c>
      <c r="B1913">
        <v>0.98018197421672304</v>
      </c>
      <c r="C1913">
        <v>0.86882322421014502</v>
      </c>
      <c r="D1913">
        <v>0.84600198642259195</v>
      </c>
      <c r="E1913">
        <v>0.431478076334327</v>
      </c>
      <c r="F1913">
        <v>0.17031740430293099</v>
      </c>
      <c r="G1913">
        <v>8.6669141471663894E-2</v>
      </c>
      <c r="H1913">
        <v>0.105997351418466</v>
      </c>
      <c r="I1913">
        <v>3.1272669354338901E-2</v>
      </c>
      <c r="J1913">
        <v>0.12913918874350599</v>
      </c>
      <c r="K1913">
        <v>0.17053320012821899</v>
      </c>
      <c r="L1913">
        <v>1195.03206594074</v>
      </c>
      <c r="M1913">
        <v>24.532757700179101</v>
      </c>
      <c r="N1913">
        <v>49.132786270354202</v>
      </c>
      <c r="O1913">
        <v>48.391469102640698</v>
      </c>
      <c r="P1913">
        <v>-0.114726018766967</v>
      </c>
      <c r="Q1913">
        <v>9.4813187486264397E-2</v>
      </c>
      <c r="R1913">
        <v>0.980504947291026</v>
      </c>
      <c r="S1913" t="s">
        <v>5542</v>
      </c>
      <c r="T1913" t="s">
        <v>7256</v>
      </c>
      <c r="U1913" t="s">
        <v>7256</v>
      </c>
      <c r="V1913" t="s">
        <v>7256</v>
      </c>
      <c r="W1913">
        <v>2</v>
      </c>
      <c r="X1913" t="s">
        <v>9169</v>
      </c>
      <c r="Y1913">
        <v>0.36599870783949268</v>
      </c>
      <c r="Z1913" t="str">
        <f>HYPERLINK("Melting_Curves/meltCurve_sp_Q86X10_3_RLGPB_HUMAN_.pdf", "Melting_Curves/meltCurve_sp_Q86X10_3_RLGPB_HUMAN_.pdf")</f>
        <v>Melting_Curves/meltCurve_sp_Q86X10_3_RLGPB_HUMAN_.pdf</v>
      </c>
      <c r="AA1913" t="s">
        <v>12766</v>
      </c>
      <c r="AB1913" t="s">
        <v>16338</v>
      </c>
    </row>
    <row r="1914" spans="1:28" x14ac:dyDescent="0.25">
      <c r="A1914" t="s">
        <v>1918</v>
      </c>
      <c r="B1914">
        <v>0.98018197421672304</v>
      </c>
      <c r="C1914">
        <v>1.03671965731875</v>
      </c>
      <c r="D1914">
        <v>0.86296031265654205</v>
      </c>
      <c r="E1914">
        <v>0.69490270679407895</v>
      </c>
      <c r="F1914">
        <v>0.42240074669626398</v>
      </c>
      <c r="G1914">
        <v>0.199938782580344</v>
      </c>
      <c r="H1914">
        <v>0.117898315752359</v>
      </c>
      <c r="I1914">
        <v>0.10153659705165501</v>
      </c>
      <c r="J1914">
        <v>0.18485978109750301</v>
      </c>
      <c r="K1914">
        <v>0.14131131171171399</v>
      </c>
      <c r="L1914">
        <v>1072.1288774024499</v>
      </c>
      <c r="M1914">
        <v>20.921190098626798</v>
      </c>
      <c r="N1914">
        <v>51.940109757889203</v>
      </c>
      <c r="O1914">
        <v>50.784754360420102</v>
      </c>
      <c r="P1914">
        <v>-9.0433503092302706E-2</v>
      </c>
      <c r="Q1914">
        <v>0.12193931416088601</v>
      </c>
      <c r="R1914">
        <v>0.98969692415216604</v>
      </c>
      <c r="S1914" t="s">
        <v>5543</v>
      </c>
      <c r="T1914" t="s">
        <v>7256</v>
      </c>
      <c r="U1914" t="s">
        <v>7256</v>
      </c>
      <c r="V1914" t="s">
        <v>7256</v>
      </c>
      <c r="W1914">
        <v>4</v>
      </c>
      <c r="X1914" t="s">
        <v>9170</v>
      </c>
      <c r="Y1914">
        <v>0.4622967632081682</v>
      </c>
      <c r="Z1914" t="str">
        <f>HYPERLINK("Melting_Curves/meltCurve_sp_Q86X27_RGPS2_HUMAN_.pdf", "Melting_Curves/meltCurve_sp_Q86X27_RGPS2_HUMAN_.pdf")</f>
        <v>Melting_Curves/meltCurve_sp_Q86X27_RGPS2_HUMAN_.pdf</v>
      </c>
      <c r="AA1914" t="s">
        <v>12767</v>
      </c>
      <c r="AB1914" t="s">
        <v>16339</v>
      </c>
    </row>
    <row r="1915" spans="1:28" x14ac:dyDescent="0.25">
      <c r="A1915" t="s">
        <v>1919</v>
      </c>
      <c r="B1915">
        <v>0.98018197421672304</v>
      </c>
      <c r="C1915">
        <v>0.93793587350663599</v>
      </c>
      <c r="D1915">
        <v>0.84143987963399802</v>
      </c>
      <c r="E1915">
        <v>0.72337359058666595</v>
      </c>
      <c r="F1915">
        <v>0.44067681864554997</v>
      </c>
      <c r="G1915">
        <v>0.19050018480859601</v>
      </c>
      <c r="H1915">
        <v>8.5537027454434894E-2</v>
      </c>
      <c r="I1915">
        <v>6.3841373519901906E-2</v>
      </c>
      <c r="J1915">
        <v>7.51343613223312E-2</v>
      </c>
      <c r="K1915">
        <v>4.6929111503419899E-2</v>
      </c>
      <c r="L1915">
        <v>848.23809296422098</v>
      </c>
      <c r="M1915">
        <v>16.2899101444747</v>
      </c>
      <c r="N1915">
        <v>52.227379276463999</v>
      </c>
      <c r="O1915">
        <v>51.305631935639603</v>
      </c>
      <c r="P1915">
        <v>-7.7497590158673094E-2</v>
      </c>
      <c r="Q1915">
        <v>2.3746058232244599E-2</v>
      </c>
      <c r="R1915">
        <v>0.99350619855843603</v>
      </c>
      <c r="S1915" t="s">
        <v>5544</v>
      </c>
      <c r="T1915" t="s">
        <v>7256</v>
      </c>
      <c r="U1915" t="s">
        <v>7256</v>
      </c>
      <c r="V1915" t="s">
        <v>7256</v>
      </c>
      <c r="W1915">
        <v>8</v>
      </c>
      <c r="X1915" t="s">
        <v>9171</v>
      </c>
      <c r="Y1915">
        <v>0.43570985392913941</v>
      </c>
      <c r="Z1915" t="str">
        <f>HYPERLINK("Melting_Curves/meltCurve_sp_Q86X55_1_CARM1_HUMAN_.pdf", "Melting_Curves/meltCurve_sp_Q86X55_1_CARM1_HUMAN_.pdf")</f>
        <v>Melting_Curves/meltCurve_sp_Q86X55_1_CARM1_HUMAN_.pdf</v>
      </c>
      <c r="AA1915" t="s">
        <v>12768</v>
      </c>
      <c r="AB1915" t="s">
        <v>16340</v>
      </c>
    </row>
    <row r="1916" spans="1:28" x14ac:dyDescent="0.25">
      <c r="A1916" t="s">
        <v>1920</v>
      </c>
      <c r="B1916">
        <v>0.98018197421672304</v>
      </c>
      <c r="C1916">
        <v>0.97712522538349</v>
      </c>
      <c r="D1916">
        <v>0.87737494071852595</v>
      </c>
      <c r="E1916">
        <v>0.79834871859249401</v>
      </c>
      <c r="F1916">
        <v>0.65497285713657805</v>
      </c>
      <c r="G1916">
        <v>0.52625072354181501</v>
      </c>
      <c r="H1916">
        <v>0.371709527076728</v>
      </c>
      <c r="I1916">
        <v>0.38565964530958902</v>
      </c>
      <c r="J1916">
        <v>0.268186035481076</v>
      </c>
      <c r="K1916">
        <v>0.100802270976431</v>
      </c>
      <c r="L1916">
        <v>486.03060213404302</v>
      </c>
      <c r="M1916">
        <v>8.4125625470968401</v>
      </c>
      <c r="N1916">
        <v>57.7743837927041</v>
      </c>
      <c r="O1916">
        <v>54.786626039030402</v>
      </c>
      <c r="P1916">
        <v>-3.8423795507588399E-2</v>
      </c>
      <c r="Q1916">
        <v>0</v>
      </c>
      <c r="R1916">
        <v>0.98048927598448798</v>
      </c>
      <c r="S1916" t="s">
        <v>5545</v>
      </c>
      <c r="T1916" t="s">
        <v>7256</v>
      </c>
      <c r="U1916" t="s">
        <v>7256</v>
      </c>
      <c r="V1916" t="s">
        <v>7256</v>
      </c>
      <c r="W1916">
        <v>12</v>
      </c>
      <c r="X1916" t="s">
        <v>9172</v>
      </c>
      <c r="Y1916">
        <v>0.59957757287120472</v>
      </c>
      <c r="Z1916" t="str">
        <f>HYPERLINK("Melting_Curves/meltCurve_sp_Q86X76_2_NIT1_HUMAN_.pdf", "Melting_Curves/meltCurve_sp_Q86X76_2_NIT1_HUMAN_.pdf")</f>
        <v>Melting_Curves/meltCurve_sp_Q86X76_2_NIT1_HUMAN_.pdf</v>
      </c>
      <c r="AA1916" t="s">
        <v>12769</v>
      </c>
      <c r="AB1916" t="s">
        <v>16341</v>
      </c>
    </row>
    <row r="1917" spans="1:28" x14ac:dyDescent="0.25">
      <c r="A1917" t="s">
        <v>1921</v>
      </c>
      <c r="B1917">
        <v>0.98018197421672304</v>
      </c>
      <c r="C1917">
        <v>1.0028162816844299</v>
      </c>
      <c r="D1917">
        <v>0.86506871116623596</v>
      </c>
      <c r="E1917">
        <v>0.75906670283033595</v>
      </c>
      <c r="F1917">
        <v>0.67446817235027301</v>
      </c>
      <c r="G1917">
        <v>0.60086719665245603</v>
      </c>
      <c r="H1917">
        <v>0.496014590403908</v>
      </c>
      <c r="I1917">
        <v>0.52437564901045197</v>
      </c>
      <c r="J1917">
        <v>0.62820525084072498</v>
      </c>
      <c r="K1917">
        <v>0.52762590442593704</v>
      </c>
      <c r="L1917">
        <v>794.74866880505601</v>
      </c>
      <c r="M1917">
        <v>16.032500471547699</v>
      </c>
      <c r="O1917">
        <v>48.819116062242301</v>
      </c>
      <c r="P1917">
        <v>-3.7896189124273297E-2</v>
      </c>
      <c r="Q1917">
        <v>0.53845889247700596</v>
      </c>
      <c r="R1917">
        <v>0.95339319178012405</v>
      </c>
      <c r="S1917" t="s">
        <v>5546</v>
      </c>
      <c r="T1917" t="s">
        <v>7256</v>
      </c>
      <c r="U1917" t="s">
        <v>7256</v>
      </c>
      <c r="V1917" t="s">
        <v>7256</v>
      </c>
      <c r="W1917">
        <v>11</v>
      </c>
      <c r="X1917" t="s">
        <v>9173</v>
      </c>
      <c r="Y1917">
        <v>0.69558028636547709</v>
      </c>
      <c r="Z1917" t="str">
        <f>HYPERLINK("Melting_Curves/meltCurve_sp_Q86XE5_HOGA1_HUMAN_.pdf", "Melting_Curves/meltCurve_sp_Q86XE5_HOGA1_HUMAN_.pdf")</f>
        <v>Melting_Curves/meltCurve_sp_Q86XE5_HOGA1_HUMAN_.pdf</v>
      </c>
      <c r="AA1917" t="s">
        <v>12770</v>
      </c>
      <c r="AB1917" t="s">
        <v>16342</v>
      </c>
    </row>
    <row r="1918" spans="1:28" x14ac:dyDescent="0.25">
      <c r="A1918" t="s">
        <v>1922</v>
      </c>
      <c r="B1918">
        <v>0.98018197421672304</v>
      </c>
      <c r="C1918">
        <v>0.92651960774497999</v>
      </c>
      <c r="D1918">
        <v>0.88927610934198298</v>
      </c>
      <c r="E1918">
        <v>0.53875699138098498</v>
      </c>
      <c r="F1918">
        <v>0.30150468548142001</v>
      </c>
      <c r="G1918">
        <v>0.22000098833606499</v>
      </c>
      <c r="H1918">
        <v>0.164575759597756</v>
      </c>
      <c r="I1918">
        <v>0.12843471429964901</v>
      </c>
      <c r="J1918">
        <v>0.16489017096626801</v>
      </c>
      <c r="K1918">
        <v>0.123802273612442</v>
      </c>
      <c r="L1918">
        <v>1051.9118368806601</v>
      </c>
      <c r="M1918">
        <v>21.1846666196532</v>
      </c>
      <c r="N1918">
        <v>50.444357324435401</v>
      </c>
      <c r="O1918">
        <v>49.2183082269433</v>
      </c>
      <c r="P1918">
        <v>-9.2417847811352399E-2</v>
      </c>
      <c r="Q1918">
        <v>0.14116538568256601</v>
      </c>
      <c r="R1918">
        <v>0.99570241644947399</v>
      </c>
      <c r="S1918" t="s">
        <v>5547</v>
      </c>
      <c r="T1918" t="s">
        <v>7256</v>
      </c>
      <c r="U1918" t="s">
        <v>7256</v>
      </c>
      <c r="V1918" t="s">
        <v>7256</v>
      </c>
      <c r="W1918">
        <v>10</v>
      </c>
      <c r="X1918" t="s">
        <v>9174</v>
      </c>
      <c r="Y1918">
        <v>0.42822975146171949</v>
      </c>
      <c r="Z1918" t="str">
        <f>HYPERLINK("Melting_Curves/meltCurve_sp_Q86XP3_DDX42_HUMAN_.pdf", "Melting_Curves/meltCurve_sp_Q86XP3_DDX42_HUMAN_.pdf")</f>
        <v>Melting_Curves/meltCurve_sp_Q86XP3_DDX42_HUMAN_.pdf</v>
      </c>
      <c r="AA1918" t="s">
        <v>12771</v>
      </c>
      <c r="AB1918" t="s">
        <v>16343</v>
      </c>
    </row>
    <row r="1919" spans="1:28" x14ac:dyDescent="0.25">
      <c r="A1919" t="s">
        <v>1923</v>
      </c>
      <c r="B1919">
        <v>0.98018197421672304</v>
      </c>
      <c r="C1919">
        <v>0.92492303248395602</v>
      </c>
      <c r="D1919">
        <v>0.88468061543842402</v>
      </c>
      <c r="E1919">
        <v>0.43265646342295</v>
      </c>
      <c r="F1919">
        <v>0.230711646087223</v>
      </c>
      <c r="G1919">
        <v>0.130726831783153</v>
      </c>
      <c r="H1919">
        <v>6.1019167093997601E-2</v>
      </c>
      <c r="I1919">
        <v>2.4475623703453998E-2</v>
      </c>
      <c r="J1919">
        <v>4.7862391269613801E-2</v>
      </c>
      <c r="K1919">
        <v>0</v>
      </c>
      <c r="L1919">
        <v>1041.9935819423799</v>
      </c>
      <c r="M1919">
        <v>21.050958160371898</v>
      </c>
      <c r="N1919">
        <v>49.659468708989102</v>
      </c>
      <c r="O1919">
        <v>49.058422622578902</v>
      </c>
      <c r="P1919">
        <v>-0.103742509905269</v>
      </c>
      <c r="Q1919">
        <v>3.2954138856367603E-2</v>
      </c>
      <c r="R1919">
        <v>0.99434968536930202</v>
      </c>
      <c r="S1919" t="s">
        <v>5548</v>
      </c>
      <c r="T1919" t="s">
        <v>7256</v>
      </c>
      <c r="U1919" t="s">
        <v>7256</v>
      </c>
      <c r="V1919" t="s">
        <v>7256</v>
      </c>
      <c r="W1919">
        <v>1</v>
      </c>
      <c r="X1919" t="s">
        <v>9175</v>
      </c>
      <c r="Y1919">
        <v>0.3513228294080844</v>
      </c>
      <c r="Z1919" t="str">
        <f>HYPERLINK("Melting_Curves/meltCurve_sp_Q86Y07_4_VRK2_HUMAN_.pdf", "Melting_Curves/meltCurve_sp_Q86Y07_4_VRK2_HUMAN_.pdf")</f>
        <v>Melting_Curves/meltCurve_sp_Q86Y07_4_VRK2_HUMAN_.pdf</v>
      </c>
      <c r="AA1919" t="s">
        <v>12772</v>
      </c>
      <c r="AB1919" t="s">
        <v>16344</v>
      </c>
    </row>
    <row r="1920" spans="1:28" x14ac:dyDescent="0.25">
      <c r="A1920" t="s">
        <v>1924</v>
      </c>
      <c r="B1920">
        <v>0.98018197421672304</v>
      </c>
      <c r="C1920">
        <v>0.85580067258916404</v>
      </c>
      <c r="D1920">
        <v>0.74767849953164001</v>
      </c>
      <c r="E1920">
        <v>0.69795403309391602</v>
      </c>
      <c r="F1920">
        <v>0.63774232259729302</v>
      </c>
      <c r="G1920">
        <v>0.461726026087036</v>
      </c>
      <c r="H1920">
        <v>0.32878414656909599</v>
      </c>
      <c r="I1920">
        <v>0.33385579122616199</v>
      </c>
      <c r="J1920">
        <v>0.49826975495856102</v>
      </c>
      <c r="K1920">
        <v>0.47365777965518402</v>
      </c>
      <c r="L1920">
        <v>532.36868094730403</v>
      </c>
      <c r="M1920">
        <v>10.889915294286901</v>
      </c>
      <c r="N1920">
        <v>56.255204847414298</v>
      </c>
      <c r="O1920">
        <v>47.324555693824401</v>
      </c>
      <c r="P1920">
        <v>-3.5684297246101497E-2</v>
      </c>
      <c r="Q1920">
        <v>0.37992117556611599</v>
      </c>
      <c r="R1920">
        <v>0.89373643971826999</v>
      </c>
      <c r="S1920" t="s">
        <v>5549</v>
      </c>
      <c r="T1920" t="s">
        <v>7256</v>
      </c>
      <c r="U1920" t="s">
        <v>7256</v>
      </c>
      <c r="V1920" t="s">
        <v>7256</v>
      </c>
      <c r="W1920">
        <v>3</v>
      </c>
      <c r="X1920" t="s">
        <v>9176</v>
      </c>
      <c r="Y1920">
        <v>0.59047492507577881</v>
      </c>
      <c r="Z1920" t="str">
        <f>HYPERLINK("Melting_Curves/meltCurve_sp_Q86Y82_STX12_HUMAN_.pdf", "Melting_Curves/meltCurve_sp_Q86Y82_STX12_HUMAN_.pdf")</f>
        <v>Melting_Curves/meltCurve_sp_Q86Y82_STX12_HUMAN_.pdf</v>
      </c>
      <c r="AA1920" t="s">
        <v>12773</v>
      </c>
      <c r="AB1920" t="s">
        <v>16345</v>
      </c>
    </row>
    <row r="1921" spans="1:28" x14ac:dyDescent="0.25">
      <c r="A1921" t="s">
        <v>1925</v>
      </c>
      <c r="B1921">
        <v>0.98018197421672304</v>
      </c>
      <c r="C1921">
        <v>1.00109707893359</v>
      </c>
      <c r="D1921">
        <v>0.87962865129200796</v>
      </c>
      <c r="E1921">
        <v>0.74863397643776297</v>
      </c>
      <c r="F1921">
        <v>0.280845889476458</v>
      </c>
      <c r="G1921">
        <v>0.148941391157701</v>
      </c>
      <c r="H1921">
        <v>7.7112234272608299E-2</v>
      </c>
      <c r="I1921">
        <v>4.4242678550698397E-2</v>
      </c>
      <c r="J1921">
        <v>3.9753521186821503E-2</v>
      </c>
      <c r="K1921">
        <v>2.74945496504778E-2</v>
      </c>
      <c r="L1921">
        <v>1440.6948877761299</v>
      </c>
      <c r="M1921">
        <v>28.043400303705301</v>
      </c>
      <c r="N1921">
        <v>51.558584708373402</v>
      </c>
      <c r="O1921">
        <v>51.114655331852198</v>
      </c>
      <c r="P1921">
        <v>-0.13060182347010299</v>
      </c>
      <c r="Q1921">
        <v>4.7817333183452E-2</v>
      </c>
      <c r="R1921">
        <v>0.990342451641268</v>
      </c>
      <c r="S1921" t="s">
        <v>5550</v>
      </c>
      <c r="T1921" t="s">
        <v>7256</v>
      </c>
      <c r="U1921" t="s">
        <v>7256</v>
      </c>
      <c r="V1921" t="s">
        <v>7256</v>
      </c>
      <c r="W1921">
        <v>15</v>
      </c>
      <c r="X1921" t="s">
        <v>9177</v>
      </c>
      <c r="Y1921">
        <v>0.41570239286528721</v>
      </c>
      <c r="Z1921" t="str">
        <f>HYPERLINK("Melting_Curves/meltCurve_sp_Q86YB7_ECHD2_HUMAN_.pdf", "Melting_Curves/meltCurve_sp_Q86YB7_ECHD2_HUMAN_.pdf")</f>
        <v>Melting_Curves/meltCurve_sp_Q86YB7_ECHD2_HUMAN_.pdf</v>
      </c>
      <c r="AA1921" t="s">
        <v>12774</v>
      </c>
      <c r="AB1921" t="s">
        <v>16346</v>
      </c>
    </row>
    <row r="1922" spans="1:28" x14ac:dyDescent="0.25">
      <c r="A1922" t="s">
        <v>1926</v>
      </c>
      <c r="B1922">
        <v>0.98018197421672304</v>
      </c>
      <c r="C1922">
        <v>0.92354464570234196</v>
      </c>
      <c r="D1922">
        <v>0.87887588730059396</v>
      </c>
      <c r="E1922">
        <v>0.699208176211779</v>
      </c>
      <c r="F1922">
        <v>0.52220140176246599</v>
      </c>
      <c r="G1922">
        <v>0.325257270824856</v>
      </c>
      <c r="H1922">
        <v>0.157019408456474</v>
      </c>
      <c r="I1922">
        <v>8.8784136357511603E-2</v>
      </c>
      <c r="J1922">
        <v>0.17980723503262899</v>
      </c>
      <c r="K1922">
        <v>8.2513680746612E-2</v>
      </c>
      <c r="L1922">
        <v>698.53714278941595</v>
      </c>
      <c r="M1922">
        <v>13.242783476385901</v>
      </c>
      <c r="N1922">
        <v>53.220479924681499</v>
      </c>
      <c r="O1922">
        <v>51.589227625679499</v>
      </c>
      <c r="P1922">
        <v>-6.0628745470538099E-2</v>
      </c>
      <c r="Q1922">
        <v>5.5402532813374997E-2</v>
      </c>
      <c r="R1922">
        <v>0.99134722762310601</v>
      </c>
      <c r="S1922" t="s">
        <v>5551</v>
      </c>
      <c r="T1922" t="s">
        <v>7256</v>
      </c>
      <c r="U1922" t="s">
        <v>7256</v>
      </c>
      <c r="V1922" t="s">
        <v>7256</v>
      </c>
      <c r="W1922">
        <v>4</v>
      </c>
      <c r="X1922" t="s">
        <v>9178</v>
      </c>
      <c r="Y1922">
        <v>0.48112025614995468</v>
      </c>
      <c r="Z1922" t="str">
        <f>HYPERLINK("Melting_Curves/meltCurve_sp_Q86YH6_DLP1_HUMAN_.pdf", "Melting_Curves/meltCurve_sp_Q86YH6_DLP1_HUMAN_.pdf")</f>
        <v>Melting_Curves/meltCurve_sp_Q86YH6_DLP1_HUMAN_.pdf</v>
      </c>
      <c r="AA1922" t="s">
        <v>12775</v>
      </c>
      <c r="AB1922" t="s">
        <v>16347</v>
      </c>
    </row>
    <row r="1923" spans="1:28" x14ac:dyDescent="0.25">
      <c r="A1923" t="s">
        <v>1927</v>
      </c>
      <c r="B1923">
        <v>0.98018197421672304</v>
      </c>
      <c r="C1923">
        <v>0.99772428584705797</v>
      </c>
      <c r="D1923">
        <v>0.91848678624661295</v>
      </c>
      <c r="E1923">
        <v>0.77742318520173503</v>
      </c>
      <c r="F1923">
        <v>0.70367061747444504</v>
      </c>
      <c r="G1923">
        <v>0.54854391945603698</v>
      </c>
      <c r="H1923">
        <v>0.15069374605716501</v>
      </c>
      <c r="I1923">
        <v>8.9876323856805093E-2</v>
      </c>
      <c r="J1923">
        <v>6.8574085636264798E-2</v>
      </c>
      <c r="K1923">
        <v>8.2019573583732394E-2</v>
      </c>
      <c r="L1923">
        <v>813.01281968545402</v>
      </c>
      <c r="M1923">
        <v>14.529116191068701</v>
      </c>
      <c r="N1923">
        <v>55.957488333105701</v>
      </c>
      <c r="O1923">
        <v>54.9294879894465</v>
      </c>
      <c r="P1923">
        <v>-6.6133800602668394E-2</v>
      </c>
      <c r="Q1923">
        <v>0</v>
      </c>
      <c r="R1923">
        <v>0.97844831417440303</v>
      </c>
      <c r="S1923" t="s">
        <v>5552</v>
      </c>
      <c r="T1923" t="s">
        <v>7256</v>
      </c>
      <c r="U1923" t="s">
        <v>7256</v>
      </c>
      <c r="V1923" t="s">
        <v>7256</v>
      </c>
      <c r="W1923">
        <v>3</v>
      </c>
      <c r="X1923" t="s">
        <v>9179</v>
      </c>
      <c r="Y1923">
        <v>0.55020732770463543</v>
      </c>
      <c r="Z1923" t="str">
        <f>HYPERLINK("Melting_Curves/meltCurve_sp_Q86YJ6_4_THNS2_HUMAN_.pdf", "Melting_Curves/meltCurve_sp_Q86YJ6_4_THNS2_HUMAN_.pdf")</f>
        <v>Melting_Curves/meltCurve_sp_Q86YJ6_4_THNS2_HUMAN_.pdf</v>
      </c>
      <c r="AA1923" t="s">
        <v>12776</v>
      </c>
      <c r="AB1923" t="s">
        <v>16348</v>
      </c>
    </row>
    <row r="1924" spans="1:28" x14ac:dyDescent="0.25">
      <c r="A1924" t="s">
        <v>1928</v>
      </c>
      <c r="B1924">
        <v>0.98018197421672304</v>
      </c>
      <c r="C1924">
        <v>0.99134794579095897</v>
      </c>
      <c r="D1924">
        <v>0.861989394958664</v>
      </c>
      <c r="E1924">
        <v>0.64652923938247697</v>
      </c>
      <c r="F1924">
        <v>0.49446068907183999</v>
      </c>
      <c r="G1924">
        <v>0.32328475638231002</v>
      </c>
      <c r="H1924">
        <v>0.29380499364771101</v>
      </c>
      <c r="I1924">
        <v>0.286314135183799</v>
      </c>
      <c r="J1924">
        <v>0.332838550544583</v>
      </c>
      <c r="K1924">
        <v>0.33173513342243199</v>
      </c>
      <c r="L1924">
        <v>960.27279520481704</v>
      </c>
      <c r="M1924">
        <v>19.2476029987236</v>
      </c>
      <c r="N1924">
        <v>52.363833089953097</v>
      </c>
      <c r="O1924">
        <v>49.361341981773997</v>
      </c>
      <c r="P1924">
        <v>-6.8380964335092401E-2</v>
      </c>
      <c r="Q1924">
        <v>0.298562413212419</v>
      </c>
      <c r="R1924">
        <v>0.99248553971162201</v>
      </c>
      <c r="S1924" t="s">
        <v>5553</v>
      </c>
      <c r="T1924" t="s">
        <v>7256</v>
      </c>
      <c r="U1924" t="s">
        <v>7256</v>
      </c>
      <c r="V1924" t="s">
        <v>7256</v>
      </c>
      <c r="W1924">
        <v>3</v>
      </c>
      <c r="X1924" t="s">
        <v>9180</v>
      </c>
      <c r="Y1924">
        <v>0.54034332862844825</v>
      </c>
      <c r="Z1924" t="str">
        <f>HYPERLINK("Melting_Curves/meltCurve_sp_Q86YP4_2_P66A_HUMAN_.pdf", "Melting_Curves/meltCurve_sp_Q86YP4_2_P66A_HUMAN_.pdf")</f>
        <v>Melting_Curves/meltCurve_sp_Q86YP4_2_P66A_HUMAN_.pdf</v>
      </c>
      <c r="AA1924" t="s">
        <v>12777</v>
      </c>
      <c r="AB1924" t="s">
        <v>16349</v>
      </c>
    </row>
    <row r="1925" spans="1:28" x14ac:dyDescent="0.25">
      <c r="A1925" t="s">
        <v>1929</v>
      </c>
      <c r="B1925">
        <v>0.98018197421672304</v>
      </c>
      <c r="C1925">
        <v>1.0977017589014799</v>
      </c>
      <c r="D1925">
        <v>1.4425362342449199</v>
      </c>
      <c r="E1925">
        <v>0.75496697566817095</v>
      </c>
      <c r="F1925">
        <v>0.78126790532758605</v>
      </c>
      <c r="G1925">
        <v>0.398078032035522</v>
      </c>
      <c r="H1925">
        <v>16.227514127305401</v>
      </c>
      <c r="I1925">
        <v>1.7750228196650899</v>
      </c>
      <c r="J1925">
        <v>0.409476585109184</v>
      </c>
      <c r="K1925">
        <v>37.500999803028101</v>
      </c>
      <c r="L1925">
        <v>3010.4617732677102</v>
      </c>
      <c r="M1925">
        <v>53.558357212854602</v>
      </c>
      <c r="O1925">
        <v>56.130802037780199</v>
      </c>
      <c r="P1925">
        <v>0.11927139370586</v>
      </c>
      <c r="Q1925">
        <v>1.5</v>
      </c>
      <c r="R1925">
        <v>-0.164137445420627</v>
      </c>
      <c r="S1925" t="s">
        <v>5554</v>
      </c>
      <c r="T1925" t="s">
        <v>7256</v>
      </c>
      <c r="U1925" t="s">
        <v>7256</v>
      </c>
      <c r="V1925" t="s">
        <v>7256</v>
      </c>
      <c r="W1925">
        <v>4</v>
      </c>
      <c r="X1925" t="s">
        <v>9181</v>
      </c>
      <c r="Y1925">
        <v>1.228771058033199</v>
      </c>
      <c r="Z1925" t="str">
        <f>HYPERLINK("Melting_Curves/meltCurve_sp_Q86YZ3_HORN_HUMAN_.pdf", "Melting_Curves/meltCurve_sp_Q86YZ3_HORN_HUMAN_.pdf")</f>
        <v>Melting_Curves/meltCurve_sp_Q86YZ3_HORN_HUMAN_.pdf</v>
      </c>
      <c r="AA1925" t="s">
        <v>12778</v>
      </c>
      <c r="AB1925" t="s">
        <v>16350</v>
      </c>
    </row>
    <row r="1926" spans="1:28" x14ac:dyDescent="0.25">
      <c r="A1926" t="s">
        <v>1930</v>
      </c>
      <c r="B1926">
        <v>0.98018197421672304</v>
      </c>
      <c r="C1926">
        <v>0.99927026273175701</v>
      </c>
      <c r="D1926">
        <v>0.78385220243034504</v>
      </c>
      <c r="E1926">
        <v>0.64641035213637799</v>
      </c>
      <c r="F1926">
        <v>0.62459286251875101</v>
      </c>
      <c r="G1926">
        <v>0.36997738852920398</v>
      </c>
      <c r="H1926">
        <v>0.280123922990201</v>
      </c>
      <c r="I1926">
        <v>0.34404232426875497</v>
      </c>
      <c r="J1926">
        <v>0.36939208973535897</v>
      </c>
      <c r="K1926">
        <v>0.31117999414993103</v>
      </c>
      <c r="L1926">
        <v>681.28192122939299</v>
      </c>
      <c r="M1926">
        <v>13.5263498615288</v>
      </c>
      <c r="N1926">
        <v>53.906184180820901</v>
      </c>
      <c r="O1926">
        <v>49.304384034780497</v>
      </c>
      <c r="P1926">
        <v>-4.8410233507814399E-2</v>
      </c>
      <c r="Q1926">
        <v>0.29427360807287001</v>
      </c>
      <c r="R1926">
        <v>0.96098614287704098</v>
      </c>
      <c r="S1926" t="s">
        <v>5555</v>
      </c>
      <c r="T1926" t="s">
        <v>7256</v>
      </c>
      <c r="U1926" t="s">
        <v>7256</v>
      </c>
      <c r="V1926" t="s">
        <v>7256</v>
      </c>
      <c r="W1926">
        <v>1</v>
      </c>
      <c r="X1926" t="s">
        <v>9182</v>
      </c>
      <c r="Y1926">
        <v>0.55794482652225252</v>
      </c>
      <c r="Z1926" t="str">
        <f>HYPERLINK("Melting_Curves/meltCurve_sp_Q8IU81_I2BP1_HUMAN_.pdf", "Melting_Curves/meltCurve_sp_Q8IU81_I2BP1_HUMAN_.pdf")</f>
        <v>Melting_Curves/meltCurve_sp_Q8IU81_I2BP1_HUMAN_.pdf</v>
      </c>
      <c r="AA1926" t="s">
        <v>12779</v>
      </c>
      <c r="AB1926" t="s">
        <v>16351</v>
      </c>
    </row>
    <row r="1927" spans="1:28" x14ac:dyDescent="0.25">
      <c r="A1927" t="s">
        <v>1931</v>
      </c>
      <c r="B1927">
        <v>0.98018197421672304</v>
      </c>
      <c r="C1927">
        <v>0.91622003009230901</v>
      </c>
      <c r="D1927">
        <v>0.91661615639313099</v>
      </c>
      <c r="E1927">
        <v>0.77990135826940699</v>
      </c>
      <c r="F1927">
        <v>0.55452098308808695</v>
      </c>
      <c r="G1927">
        <v>0.34652700119893598</v>
      </c>
      <c r="H1927">
        <v>0.34721876046905997</v>
      </c>
      <c r="I1927">
        <v>0.33029035394664402</v>
      </c>
      <c r="J1927">
        <v>0.36989856103316399</v>
      </c>
      <c r="K1927">
        <v>0.34627364673847399</v>
      </c>
      <c r="L1927">
        <v>1161.03124369478</v>
      </c>
      <c r="M1927">
        <v>22.6654100556032</v>
      </c>
      <c r="N1927">
        <v>53.830510670775901</v>
      </c>
      <c r="O1927">
        <v>50.831062945444202</v>
      </c>
      <c r="P1927">
        <v>-7.4345270554349405E-2</v>
      </c>
      <c r="Q1927">
        <v>0.33308536398107103</v>
      </c>
      <c r="R1927">
        <v>0.98329756212971098</v>
      </c>
      <c r="S1927" t="s">
        <v>5556</v>
      </c>
      <c r="T1927" t="s">
        <v>7256</v>
      </c>
      <c r="U1927" t="s">
        <v>7256</v>
      </c>
      <c r="V1927" t="s">
        <v>7256</v>
      </c>
      <c r="W1927">
        <v>25</v>
      </c>
      <c r="X1927" t="s">
        <v>9183</v>
      </c>
      <c r="Y1927">
        <v>0.58992329043523639</v>
      </c>
      <c r="Z1927" t="str">
        <f>HYPERLINK("Melting_Curves/meltCurve_sp_Q8IUD2_RB6I2_HUMAN_.pdf", "Melting_Curves/meltCurve_sp_Q8IUD2_RB6I2_HUMAN_.pdf")</f>
        <v>Melting_Curves/meltCurve_sp_Q8IUD2_RB6I2_HUMAN_.pdf</v>
      </c>
      <c r="AA1927" t="s">
        <v>12780</v>
      </c>
      <c r="AB1927" t="s">
        <v>16352</v>
      </c>
    </row>
    <row r="1928" spans="1:28" x14ac:dyDescent="0.25">
      <c r="A1928" t="s">
        <v>1932</v>
      </c>
      <c r="B1928">
        <v>0.98018197421672304</v>
      </c>
      <c r="C1928">
        <v>0.58052012625577099</v>
      </c>
      <c r="D1928">
        <v>0.35239412833543798</v>
      </c>
      <c r="E1928">
        <v>0.152510017370796</v>
      </c>
      <c r="F1928">
        <v>9.6660913618715705E-2</v>
      </c>
      <c r="G1928">
        <v>7.6821454572445297E-2</v>
      </c>
      <c r="H1928">
        <v>3.1660406731390298E-2</v>
      </c>
      <c r="I1928">
        <v>1.8333232898573401E-2</v>
      </c>
      <c r="J1928">
        <v>2.1576305633839499E-2</v>
      </c>
      <c r="K1928">
        <v>1.7181831735495801E-2</v>
      </c>
      <c r="L1928">
        <v>857.37877442544402</v>
      </c>
      <c r="M1928">
        <v>19.425981768779099</v>
      </c>
      <c r="N1928">
        <v>44.3122899233392</v>
      </c>
      <c r="O1928">
        <v>43.6759473108918</v>
      </c>
      <c r="P1928">
        <v>-0.10705567166181899</v>
      </c>
      <c r="Q1928">
        <v>3.7250793702542598E-2</v>
      </c>
      <c r="R1928">
        <v>0.981408199350983</v>
      </c>
      <c r="S1928" t="s">
        <v>5557</v>
      </c>
      <c r="T1928" t="s">
        <v>7256</v>
      </c>
      <c r="U1928" t="s">
        <v>7256</v>
      </c>
      <c r="V1928" t="s">
        <v>7256</v>
      </c>
      <c r="W1928">
        <v>3</v>
      </c>
      <c r="X1928" t="s">
        <v>9184</v>
      </c>
      <c r="Y1928">
        <v>0.18954710470082281</v>
      </c>
      <c r="Z1928" t="str">
        <f>HYPERLINK("Melting_Curves/meltCurve_sp_Q8IUR7_7_ARMC8_HUMAN_.pdf", "Melting_Curves/meltCurve_sp_Q8IUR7_7_ARMC8_HUMAN_.pdf")</f>
        <v>Melting_Curves/meltCurve_sp_Q8IUR7_7_ARMC8_HUMAN_.pdf</v>
      </c>
      <c r="AA1928" t="s">
        <v>12781</v>
      </c>
      <c r="AB1928" t="s">
        <v>16353</v>
      </c>
    </row>
    <row r="1929" spans="1:28" x14ac:dyDescent="0.25">
      <c r="A1929" t="s">
        <v>1933</v>
      </c>
      <c r="B1929">
        <v>0.98018197421672304</v>
      </c>
      <c r="C1929">
        <v>0.94117394168231605</v>
      </c>
      <c r="D1929">
        <v>0.92259932113645704</v>
      </c>
      <c r="E1929">
        <v>0.83687162120485303</v>
      </c>
      <c r="F1929">
        <v>0.74090056042565799</v>
      </c>
      <c r="G1929">
        <v>0.64627124100962596</v>
      </c>
      <c r="H1929">
        <v>0.42530932386292403</v>
      </c>
      <c r="I1929">
        <v>0.29215194750388601</v>
      </c>
      <c r="J1929">
        <v>0.22870679174900699</v>
      </c>
      <c r="K1929">
        <v>0.184904579514723</v>
      </c>
      <c r="L1929">
        <v>570.90541045430996</v>
      </c>
      <c r="M1929">
        <v>9.6629413111298703</v>
      </c>
      <c r="N1929">
        <v>59.081945851084299</v>
      </c>
      <c r="O1929">
        <v>56.7179580981093</v>
      </c>
      <c r="P1929">
        <v>-4.26156739291998E-2</v>
      </c>
      <c r="Q1929">
        <v>0</v>
      </c>
      <c r="R1929">
        <v>0.99261624587665598</v>
      </c>
      <c r="S1929" t="s">
        <v>5558</v>
      </c>
      <c r="T1929" t="s">
        <v>7256</v>
      </c>
      <c r="U1929" t="s">
        <v>7256</v>
      </c>
      <c r="V1929" t="s">
        <v>7256</v>
      </c>
      <c r="W1929">
        <v>14</v>
      </c>
      <c r="X1929" t="s">
        <v>9185</v>
      </c>
      <c r="Y1929">
        <v>0.63767929837282511</v>
      </c>
      <c r="Z1929" t="str">
        <f>HYPERLINK("Melting_Curves/meltCurve_sp_Q8IUZ5_AT2L2_HUMAN_.pdf", "Melting_Curves/meltCurve_sp_Q8IUZ5_AT2L2_HUMAN_.pdf")</f>
        <v>Melting_Curves/meltCurve_sp_Q8IUZ5_AT2L2_HUMAN_.pdf</v>
      </c>
      <c r="AA1929" t="s">
        <v>12782</v>
      </c>
      <c r="AB1929" t="s">
        <v>16354</v>
      </c>
    </row>
    <row r="1930" spans="1:28" x14ac:dyDescent="0.25">
      <c r="A1930" t="s">
        <v>1934</v>
      </c>
      <c r="B1930">
        <v>0.98018197421672304</v>
      </c>
      <c r="C1930">
        <v>0.93993306801822296</v>
      </c>
      <c r="D1930">
        <v>0.79289707497988404</v>
      </c>
      <c r="E1930">
        <v>0.55709319777588795</v>
      </c>
      <c r="F1930">
        <v>0.33014555162432702</v>
      </c>
      <c r="G1930">
        <v>0.20783069960099601</v>
      </c>
      <c r="H1930">
        <v>0.11381763369089599</v>
      </c>
      <c r="I1930">
        <v>7.0488248100446294E-2</v>
      </c>
      <c r="J1930">
        <v>0.113608389533479</v>
      </c>
      <c r="K1930">
        <v>5.14156279583214E-2</v>
      </c>
      <c r="L1930">
        <v>747.97026821272004</v>
      </c>
      <c r="M1930">
        <v>14.905705062173899</v>
      </c>
      <c r="N1930">
        <v>50.579362934129399</v>
      </c>
      <c r="O1930">
        <v>49.302922272927297</v>
      </c>
      <c r="P1930">
        <v>-7.13950160692092E-2</v>
      </c>
      <c r="Q1930">
        <v>5.5497604867949399E-2</v>
      </c>
      <c r="R1930">
        <v>0.99733437454551499</v>
      </c>
      <c r="S1930" t="s">
        <v>5559</v>
      </c>
      <c r="T1930" t="s">
        <v>7256</v>
      </c>
      <c r="U1930" t="s">
        <v>7256</v>
      </c>
      <c r="V1930" t="s">
        <v>7256</v>
      </c>
      <c r="W1930">
        <v>6</v>
      </c>
      <c r="X1930" t="s">
        <v>9186</v>
      </c>
      <c r="Y1930">
        <v>0.39864440846416399</v>
      </c>
      <c r="Z1930" t="str">
        <f>HYPERLINK("Melting_Curves/meltCurve_sp_Q8IV08_PLD3_HUMAN_.pdf", "Melting_Curves/meltCurve_sp_Q8IV08_PLD3_HUMAN_.pdf")</f>
        <v>Melting_Curves/meltCurve_sp_Q8IV08_PLD3_HUMAN_.pdf</v>
      </c>
      <c r="AA1930" t="s">
        <v>12783</v>
      </c>
      <c r="AB1930" t="s">
        <v>16355</v>
      </c>
    </row>
    <row r="1931" spans="1:28" x14ac:dyDescent="0.25">
      <c r="A1931" t="s">
        <v>1935</v>
      </c>
      <c r="B1931">
        <v>0.98018197421672304</v>
      </c>
      <c r="C1931">
        <v>0.956245040129312</v>
      </c>
      <c r="D1931">
        <v>0.94293029985041399</v>
      </c>
      <c r="E1931">
        <v>0.63301336799020103</v>
      </c>
      <c r="F1931">
        <v>0.18878497563791899</v>
      </c>
      <c r="G1931">
        <v>8.03050700182774E-2</v>
      </c>
      <c r="H1931">
        <v>5.1290042958653102E-2</v>
      </c>
      <c r="I1931">
        <v>1.9828060486545399E-2</v>
      </c>
      <c r="J1931">
        <v>3.9869525344485401E-2</v>
      </c>
      <c r="K1931">
        <v>1.34357935535881E-2</v>
      </c>
      <c r="L1931">
        <v>1719.9129030844699</v>
      </c>
      <c r="M1931">
        <v>33.964756660856601</v>
      </c>
      <c r="N1931">
        <v>50.741644868527402</v>
      </c>
      <c r="O1931">
        <v>50.463591702188403</v>
      </c>
      <c r="P1931">
        <v>-0.16263467848031701</v>
      </c>
      <c r="Q1931">
        <v>3.3457290863979999E-2</v>
      </c>
      <c r="R1931">
        <v>0.99710226419881098</v>
      </c>
      <c r="S1931" t="s">
        <v>5560</v>
      </c>
      <c r="T1931" t="s">
        <v>7256</v>
      </c>
      <c r="U1931" t="s">
        <v>7256</v>
      </c>
      <c r="V1931" t="s">
        <v>7256</v>
      </c>
      <c r="W1931">
        <v>3</v>
      </c>
      <c r="X1931" t="s">
        <v>9187</v>
      </c>
      <c r="Y1931">
        <v>0.38090363424515578</v>
      </c>
      <c r="Z1931" t="str">
        <f>HYPERLINK("Melting_Curves/meltCurve_sp_Q8IV38_ANKY2_HUMAN_.pdf", "Melting_Curves/meltCurve_sp_Q8IV38_ANKY2_HUMAN_.pdf")</f>
        <v>Melting_Curves/meltCurve_sp_Q8IV38_ANKY2_HUMAN_.pdf</v>
      </c>
      <c r="AA1931" t="s">
        <v>12784</v>
      </c>
      <c r="AB1931" t="s">
        <v>16356</v>
      </c>
    </row>
    <row r="1932" spans="1:28" x14ac:dyDescent="0.25">
      <c r="A1932" t="s">
        <v>1936</v>
      </c>
      <c r="B1932">
        <v>0.98018197421672304</v>
      </c>
      <c r="C1932">
        <v>1.0305510261142401</v>
      </c>
      <c r="D1932">
        <v>0.95820139450542996</v>
      </c>
      <c r="E1932">
        <v>0.78568122013325103</v>
      </c>
      <c r="F1932">
        <v>0.55169787987449004</v>
      </c>
      <c r="G1932">
        <v>0.37068761988533599</v>
      </c>
      <c r="H1932">
        <v>0.35232674486983501</v>
      </c>
      <c r="I1932">
        <v>0.36294869054354501</v>
      </c>
      <c r="J1932">
        <v>0.42801692467425201</v>
      </c>
      <c r="K1932">
        <v>0.541402213210044</v>
      </c>
      <c r="L1932">
        <v>1698.92494614573</v>
      </c>
      <c r="M1932">
        <v>33.3933574912731</v>
      </c>
      <c r="N1932">
        <v>53.634688150305898</v>
      </c>
      <c r="O1932">
        <v>50.694727139013999</v>
      </c>
      <c r="P1932">
        <v>-9.7120911018946807E-2</v>
      </c>
      <c r="Q1932">
        <v>0.41024239552941799</v>
      </c>
      <c r="R1932">
        <v>0.95783135191819402</v>
      </c>
      <c r="S1932" t="s">
        <v>5561</v>
      </c>
      <c r="T1932" t="s">
        <v>7256</v>
      </c>
      <c r="U1932" t="s">
        <v>7256</v>
      </c>
      <c r="V1932" t="s">
        <v>7256</v>
      </c>
      <c r="W1932">
        <v>1</v>
      </c>
      <c r="X1932" t="s">
        <v>9188</v>
      </c>
      <c r="Y1932">
        <v>0.62703541295679244</v>
      </c>
      <c r="Z1932" t="str">
        <f>HYPERLINK("Melting_Curves/meltCurve_sp_Q8IV50_LYSM2_HUMAN_.pdf", "Melting_Curves/meltCurve_sp_Q8IV50_LYSM2_HUMAN_.pdf")</f>
        <v>Melting_Curves/meltCurve_sp_Q8IV50_LYSM2_HUMAN_.pdf</v>
      </c>
      <c r="AA1932" t="s">
        <v>12785</v>
      </c>
      <c r="AB1932" t="s">
        <v>16357</v>
      </c>
    </row>
    <row r="1933" spans="1:28" x14ac:dyDescent="0.25">
      <c r="A1933" t="s">
        <v>1937</v>
      </c>
      <c r="B1933">
        <v>0.98018197421672304</v>
      </c>
      <c r="C1933">
        <v>0.98764689901058</v>
      </c>
      <c r="D1933">
        <v>0.94392410206683997</v>
      </c>
      <c r="E1933">
        <v>0.78671837889004603</v>
      </c>
      <c r="F1933">
        <v>0.61214262324334201</v>
      </c>
      <c r="G1933">
        <v>0.32230964078838198</v>
      </c>
      <c r="H1933">
        <v>0.14520452644113599</v>
      </c>
      <c r="I1933">
        <v>0.115948672758168</v>
      </c>
      <c r="J1933">
        <v>0.122133878272213</v>
      </c>
      <c r="K1933">
        <v>8.2646611423887004E-2</v>
      </c>
      <c r="L1933">
        <v>935.56953276562501</v>
      </c>
      <c r="M1933">
        <v>17.401870716435401</v>
      </c>
      <c r="N1933">
        <v>54.2154620875761</v>
      </c>
      <c r="O1933">
        <v>53.067681667445299</v>
      </c>
      <c r="P1933">
        <v>-7.6438102667664098E-2</v>
      </c>
      <c r="Q1933">
        <v>6.7648633835297498E-2</v>
      </c>
      <c r="R1933">
        <v>0.99821297304743495</v>
      </c>
      <c r="S1933" t="s">
        <v>5562</v>
      </c>
      <c r="T1933" t="s">
        <v>7256</v>
      </c>
      <c r="U1933" t="s">
        <v>7256</v>
      </c>
      <c r="V1933" t="s">
        <v>7256</v>
      </c>
      <c r="W1933">
        <v>2</v>
      </c>
      <c r="X1933" t="s">
        <v>9189</v>
      </c>
      <c r="Y1933">
        <v>0.51115583902373374</v>
      </c>
      <c r="Z1933" t="str">
        <f>HYPERLINK("Melting_Curves/meltCurve_sp_Q8IVD9_NUDC3_HUMAN_.pdf", "Melting_Curves/meltCurve_sp_Q8IVD9_NUDC3_HUMAN_.pdf")</f>
        <v>Melting_Curves/meltCurve_sp_Q8IVD9_NUDC3_HUMAN_.pdf</v>
      </c>
      <c r="AA1933" t="s">
        <v>12786</v>
      </c>
      <c r="AB1933" t="s">
        <v>16358</v>
      </c>
    </row>
    <row r="1934" spans="1:28" x14ac:dyDescent="0.25">
      <c r="A1934" t="s">
        <v>1938</v>
      </c>
      <c r="B1934">
        <v>0.98018197421672304</v>
      </c>
      <c r="C1934">
        <v>0.98256601203334604</v>
      </c>
      <c r="D1934">
        <v>0.796489683735363</v>
      </c>
      <c r="E1934">
        <v>0.71132397463201702</v>
      </c>
      <c r="F1934">
        <v>0.52488374806951399</v>
      </c>
      <c r="G1934">
        <v>0.42200592230102701</v>
      </c>
      <c r="H1934">
        <v>0.275318483632157</v>
      </c>
      <c r="I1934">
        <v>0.23679417619759199</v>
      </c>
      <c r="J1934">
        <v>9.5982530561026305E-2</v>
      </c>
      <c r="K1934">
        <v>4.67324770647808E-2</v>
      </c>
      <c r="L1934">
        <v>526.08608953770602</v>
      </c>
      <c r="M1934">
        <v>9.6854836104250506</v>
      </c>
      <c r="N1934">
        <v>54.316966462780897</v>
      </c>
      <c r="O1934">
        <v>52.153092078549001</v>
      </c>
      <c r="P1934">
        <v>-4.6453648902266199E-2</v>
      </c>
      <c r="Q1934">
        <v>0</v>
      </c>
      <c r="R1934">
        <v>0.985141840694576</v>
      </c>
      <c r="S1934" t="s">
        <v>5563</v>
      </c>
      <c r="T1934" t="s">
        <v>7256</v>
      </c>
      <c r="U1934" t="s">
        <v>7256</v>
      </c>
      <c r="V1934" t="s">
        <v>7256</v>
      </c>
      <c r="W1934">
        <v>2</v>
      </c>
      <c r="X1934" t="s">
        <v>9190</v>
      </c>
      <c r="Y1934">
        <v>0.50664320412238462</v>
      </c>
      <c r="Z1934" t="str">
        <f>HYPERLINK("Melting_Curves/meltCurve_sp_Q8IVF2_3_AHNK2_HUMAN_.pdf", "Melting_Curves/meltCurve_sp_Q8IVF2_3_AHNK2_HUMAN_.pdf")</f>
        <v>Melting_Curves/meltCurve_sp_Q8IVF2_3_AHNK2_HUMAN_.pdf</v>
      </c>
      <c r="AA1934" t="s">
        <v>12787</v>
      </c>
      <c r="AB1934" t="s">
        <v>16359</v>
      </c>
    </row>
    <row r="1935" spans="1:28" x14ac:dyDescent="0.25">
      <c r="A1935" t="s">
        <v>1939</v>
      </c>
      <c r="B1935">
        <v>0.98018197421672304</v>
      </c>
      <c r="C1935">
        <v>0.93017555752353698</v>
      </c>
      <c r="D1935">
        <v>0.82398587591144101</v>
      </c>
      <c r="E1935">
        <v>0.38037827277751302</v>
      </c>
      <c r="F1935">
        <v>0.12029030093502301</v>
      </c>
      <c r="G1935">
        <v>7.0026190470522498E-2</v>
      </c>
      <c r="H1935">
        <v>5.3506529100294298E-2</v>
      </c>
      <c r="I1935">
        <v>3.8260164216873699E-2</v>
      </c>
      <c r="J1935">
        <v>4.4032349473476298E-2</v>
      </c>
      <c r="K1935">
        <v>3.70349084138685E-2</v>
      </c>
      <c r="L1935">
        <v>1214.28073528712</v>
      </c>
      <c r="M1935">
        <v>24.942913483392001</v>
      </c>
      <c r="N1935">
        <v>48.837874605558703</v>
      </c>
      <c r="O1935">
        <v>48.372697169043697</v>
      </c>
      <c r="P1935">
        <v>-0.12399139568531301</v>
      </c>
      <c r="Q1935">
        <v>3.8168712020999897E-2</v>
      </c>
      <c r="R1935">
        <v>0.99801393490718204</v>
      </c>
      <c r="S1935" t="s">
        <v>5564</v>
      </c>
      <c r="T1935" t="s">
        <v>7256</v>
      </c>
      <c r="U1935" t="s">
        <v>7256</v>
      </c>
      <c r="V1935" t="s">
        <v>7256</v>
      </c>
      <c r="W1935">
        <v>15</v>
      </c>
      <c r="X1935" t="s">
        <v>9191</v>
      </c>
      <c r="Y1935">
        <v>0.32508442587091141</v>
      </c>
      <c r="Z1935" t="str">
        <f>HYPERLINK("Melting_Curves/meltCurve_sp_Q8IVH4_MMAA_HUMAN_.pdf", "Melting_Curves/meltCurve_sp_Q8IVH4_MMAA_HUMAN_.pdf")</f>
        <v>Melting_Curves/meltCurve_sp_Q8IVH4_MMAA_HUMAN_.pdf</v>
      </c>
      <c r="AA1935" t="s">
        <v>12788</v>
      </c>
      <c r="AB1935" t="s">
        <v>16360</v>
      </c>
    </row>
    <row r="1936" spans="1:28" x14ac:dyDescent="0.25">
      <c r="A1936" t="s">
        <v>1940</v>
      </c>
      <c r="B1936">
        <v>0.98018197421672304</v>
      </c>
      <c r="C1936">
        <v>0.97125333320225704</v>
      </c>
      <c r="D1936">
        <v>0.93124046525939497</v>
      </c>
      <c r="E1936">
        <v>0.77049826391694198</v>
      </c>
      <c r="F1936">
        <v>0.73697064530876899</v>
      </c>
      <c r="G1936">
        <v>0.563606247147447</v>
      </c>
      <c r="H1936">
        <v>0.48474287937851401</v>
      </c>
      <c r="I1936">
        <v>0.52685084814574701</v>
      </c>
      <c r="J1936">
        <v>0.60704255031994003</v>
      </c>
      <c r="K1936">
        <v>0.73890819983532097</v>
      </c>
      <c r="L1936">
        <v>1044.9412100168699</v>
      </c>
      <c r="M1936">
        <v>20.9688078039229</v>
      </c>
      <c r="O1936">
        <v>49.386524856233102</v>
      </c>
      <c r="P1936">
        <v>-4.4131821606289902E-2</v>
      </c>
      <c r="Q1936">
        <v>0.58424744650217297</v>
      </c>
      <c r="R1936">
        <v>0.84927036010524404</v>
      </c>
      <c r="S1936" t="s">
        <v>5565</v>
      </c>
      <c r="T1936" t="s">
        <v>7256</v>
      </c>
      <c r="U1936" t="s">
        <v>7256</v>
      </c>
      <c r="V1936" t="s">
        <v>7256</v>
      </c>
      <c r="W1936">
        <v>7</v>
      </c>
      <c r="X1936" t="s">
        <v>9192</v>
      </c>
      <c r="Y1936">
        <v>0.72579477139811743</v>
      </c>
      <c r="Z1936" t="str">
        <f>HYPERLINK("Melting_Curves/meltCurve_sp_Q8IVM0_CCD50_HUMAN_.pdf", "Melting_Curves/meltCurve_sp_Q8IVM0_CCD50_HUMAN_.pdf")</f>
        <v>Melting_Curves/meltCurve_sp_Q8IVM0_CCD50_HUMAN_.pdf</v>
      </c>
      <c r="AA1936" t="s">
        <v>12789</v>
      </c>
      <c r="AB1936" t="s">
        <v>16361</v>
      </c>
    </row>
    <row r="1937" spans="1:28" x14ac:dyDescent="0.25">
      <c r="A1937" t="s">
        <v>1941</v>
      </c>
      <c r="B1937">
        <v>0.98018197421672304</v>
      </c>
      <c r="C1937">
        <v>1.1582412614361699</v>
      </c>
      <c r="D1937">
        <v>0.98847490288973705</v>
      </c>
      <c r="E1937">
        <v>0.94460514555913999</v>
      </c>
      <c r="F1937">
        <v>0.96723274237985302</v>
      </c>
      <c r="G1937">
        <v>0.90686756788754896</v>
      </c>
      <c r="H1937">
        <v>0.77008222516561298</v>
      </c>
      <c r="I1937">
        <v>0.89113508341252201</v>
      </c>
      <c r="J1937">
        <v>0.86011779068077299</v>
      </c>
      <c r="K1937">
        <v>0.549428460027518</v>
      </c>
      <c r="L1937">
        <v>636.37519074951797</v>
      </c>
      <c r="M1937">
        <v>8.4775849801709295</v>
      </c>
      <c r="Q1937">
        <v>0</v>
      </c>
      <c r="R1937">
        <v>0.68765599319059401</v>
      </c>
      <c r="S1937" t="s">
        <v>5566</v>
      </c>
      <c r="T1937" t="s">
        <v>7256</v>
      </c>
      <c r="U1937" t="s">
        <v>7256</v>
      </c>
      <c r="V1937" t="s">
        <v>7256</v>
      </c>
      <c r="W1937">
        <v>3</v>
      </c>
      <c r="X1937" t="s">
        <v>9193</v>
      </c>
      <c r="Y1937">
        <v>0.90951165789264965</v>
      </c>
      <c r="Z1937" t="str">
        <f>HYPERLINK("Melting_Curves/meltCurve_sp_Q8IVS2_FABD_HUMAN_.pdf", "Melting_Curves/meltCurve_sp_Q8IVS2_FABD_HUMAN_.pdf")</f>
        <v>Melting_Curves/meltCurve_sp_Q8IVS2_FABD_HUMAN_.pdf</v>
      </c>
      <c r="AA1937" t="s">
        <v>12790</v>
      </c>
      <c r="AB1937" t="s">
        <v>16362</v>
      </c>
    </row>
    <row r="1938" spans="1:28" x14ac:dyDescent="0.25">
      <c r="A1938" t="s">
        <v>1942</v>
      </c>
      <c r="B1938">
        <v>0.98018197421672304</v>
      </c>
      <c r="C1938">
        <v>0.795210224615296</v>
      </c>
      <c r="D1938">
        <v>0.43333505775702802</v>
      </c>
      <c r="E1938">
        <v>0.13700451397576299</v>
      </c>
      <c r="F1938">
        <v>6.4724525635868002E-2</v>
      </c>
      <c r="G1938">
        <v>3.5791354215769497E-2</v>
      </c>
      <c r="H1938">
        <v>2.10136669701422E-2</v>
      </c>
      <c r="I1938">
        <v>1.5115279776662899E-2</v>
      </c>
      <c r="J1938">
        <v>1.49540147945239E-2</v>
      </c>
      <c r="K1938">
        <v>6.5832822205637099E-3</v>
      </c>
      <c r="L1938">
        <v>1031.4836910874501</v>
      </c>
      <c r="M1938">
        <v>22.700984028989101</v>
      </c>
      <c r="N1938">
        <v>45.512451006640198</v>
      </c>
      <c r="O1938">
        <v>45.089650972452901</v>
      </c>
      <c r="P1938">
        <v>-0.12356927213169901</v>
      </c>
      <c r="Q1938">
        <v>1.8265395987599901E-2</v>
      </c>
      <c r="R1938">
        <v>0.99914361156332299</v>
      </c>
      <c r="S1938" t="s">
        <v>5567</v>
      </c>
      <c r="T1938" t="s">
        <v>7256</v>
      </c>
      <c r="U1938" t="s">
        <v>7256</v>
      </c>
      <c r="V1938" t="s">
        <v>7256</v>
      </c>
      <c r="W1938">
        <v>6</v>
      </c>
      <c r="X1938" t="s">
        <v>9194</v>
      </c>
      <c r="Y1938">
        <v>0.20802460705595299</v>
      </c>
      <c r="Z1938" t="str">
        <f>HYPERLINK("Melting_Curves/meltCurve_sp_Q8IVS8_GLCTK_HUMAN_.pdf", "Melting_Curves/meltCurve_sp_Q8IVS8_GLCTK_HUMAN_.pdf")</f>
        <v>Melting_Curves/meltCurve_sp_Q8IVS8_GLCTK_HUMAN_.pdf</v>
      </c>
      <c r="AA1938" t="s">
        <v>12791</v>
      </c>
      <c r="AB1938" t="s">
        <v>16363</v>
      </c>
    </row>
    <row r="1939" spans="1:28" x14ac:dyDescent="0.25">
      <c r="A1939" t="s">
        <v>1943</v>
      </c>
      <c r="B1939">
        <v>0.98018197421672304</v>
      </c>
      <c r="C1939">
        <v>1.00249143087241</v>
      </c>
      <c r="D1939">
        <v>0.91590597283004405</v>
      </c>
      <c r="E1939">
        <v>0.76603883655564797</v>
      </c>
      <c r="F1939">
        <v>0.652001364518913</v>
      </c>
      <c r="G1939">
        <v>0.52728999487539097</v>
      </c>
      <c r="H1939">
        <v>0.40026684095670501</v>
      </c>
      <c r="I1939">
        <v>0.419179563860553</v>
      </c>
      <c r="J1939">
        <v>0.42793543806212903</v>
      </c>
      <c r="K1939">
        <v>0.341508829950746</v>
      </c>
      <c r="L1939">
        <v>737.10864201055801</v>
      </c>
      <c r="M1939">
        <v>14.1014864295054</v>
      </c>
      <c r="N1939">
        <v>57.430639238578003</v>
      </c>
      <c r="O1939">
        <v>51.254173405200298</v>
      </c>
      <c r="P1939">
        <v>-4.4086538423916903E-2</v>
      </c>
      <c r="Q1939">
        <v>0.35912334398430601</v>
      </c>
      <c r="R1939">
        <v>0.99014338120914902</v>
      </c>
      <c r="S1939" t="s">
        <v>5568</v>
      </c>
      <c r="T1939" t="s">
        <v>7256</v>
      </c>
      <c r="U1939" t="s">
        <v>7256</v>
      </c>
      <c r="V1939" t="s">
        <v>7256</v>
      </c>
      <c r="W1939">
        <v>14</v>
      </c>
      <c r="X1939" t="s">
        <v>9195</v>
      </c>
      <c r="Y1939">
        <v>0.63680537120316494</v>
      </c>
      <c r="Z1939" t="str">
        <f>HYPERLINK("Melting_Curves/meltCurve_sp_Q8IW45_NNRD_HUMAN_.pdf", "Melting_Curves/meltCurve_sp_Q8IW45_NNRD_HUMAN_.pdf")</f>
        <v>Melting_Curves/meltCurve_sp_Q8IW45_NNRD_HUMAN_.pdf</v>
      </c>
      <c r="AA1939" t="s">
        <v>12792</v>
      </c>
      <c r="AB1939" t="s">
        <v>16364</v>
      </c>
    </row>
    <row r="1940" spans="1:28" x14ac:dyDescent="0.25">
      <c r="A1940" t="s">
        <v>1944</v>
      </c>
      <c r="B1940">
        <v>0.98018197421672304</v>
      </c>
      <c r="C1940">
        <v>0.91774705390664701</v>
      </c>
      <c r="D1940">
        <v>0.97664458451047398</v>
      </c>
      <c r="E1940">
        <v>0.83571307526045702</v>
      </c>
      <c r="F1940">
        <v>0.826940895834958</v>
      </c>
      <c r="G1940">
        <v>0.48873579085862701</v>
      </c>
      <c r="H1940">
        <v>0.36587315117605301</v>
      </c>
      <c r="I1940">
        <v>0.48521570327626101</v>
      </c>
      <c r="J1940">
        <v>0.70596762135511404</v>
      </c>
      <c r="K1940">
        <v>0.41744653018498001</v>
      </c>
      <c r="L1940">
        <v>1527.9750310785901</v>
      </c>
      <c r="M1940">
        <v>28.789257693870301</v>
      </c>
      <c r="N1940">
        <v>60.2397840259692</v>
      </c>
      <c r="O1940">
        <v>52.820376198907603</v>
      </c>
      <c r="P1940">
        <v>-7.0349605454140707E-2</v>
      </c>
      <c r="Q1940">
        <v>0.483715131690726</v>
      </c>
      <c r="R1940">
        <v>0.81679999312676699</v>
      </c>
      <c r="S1940" t="s">
        <v>5569</v>
      </c>
      <c r="T1940" t="s">
        <v>7256</v>
      </c>
      <c r="U1940" t="s">
        <v>7256</v>
      </c>
      <c r="V1940" t="s">
        <v>7256</v>
      </c>
      <c r="W1940">
        <v>1</v>
      </c>
      <c r="X1940" t="s">
        <v>9196</v>
      </c>
      <c r="Y1940">
        <v>0.71235234391396773</v>
      </c>
      <c r="Z1940" t="str">
        <f>HYPERLINK("Melting_Curves/meltCurve_sp_Q8IWB9_TEX2_HUMAN_.pdf", "Melting_Curves/meltCurve_sp_Q8IWB9_TEX2_HUMAN_.pdf")</f>
        <v>Melting_Curves/meltCurve_sp_Q8IWB9_TEX2_HUMAN_.pdf</v>
      </c>
      <c r="AA1940" t="s">
        <v>12793</v>
      </c>
      <c r="AB1940" t="s">
        <v>16365</v>
      </c>
    </row>
    <row r="1941" spans="1:28" x14ac:dyDescent="0.25">
      <c r="A1941" t="s">
        <v>1945</v>
      </c>
      <c r="B1941">
        <v>0.98018197421672304</v>
      </c>
      <c r="C1941">
        <v>1.06916133190796</v>
      </c>
      <c r="D1941">
        <v>0.91970715729546404</v>
      </c>
      <c r="E1941">
        <v>0.81141499854789501</v>
      </c>
      <c r="F1941">
        <v>0.62339490800627695</v>
      </c>
      <c r="G1941">
        <v>0.33033070461404601</v>
      </c>
      <c r="H1941">
        <v>0.17028788299112901</v>
      </c>
      <c r="I1941">
        <v>0.106836269589814</v>
      </c>
      <c r="J1941">
        <v>0.104025261947108</v>
      </c>
      <c r="K1941">
        <v>9.5499969746646998E-2</v>
      </c>
      <c r="L1941">
        <v>958.91231390333098</v>
      </c>
      <c r="M1941">
        <v>17.7617352755749</v>
      </c>
      <c r="N1941">
        <v>54.440609978345002</v>
      </c>
      <c r="O1941">
        <v>53.317142417546101</v>
      </c>
      <c r="P1941">
        <v>-7.75655538750087E-2</v>
      </c>
      <c r="Q1941">
        <v>6.8703907193472094E-2</v>
      </c>
      <c r="R1941">
        <v>0.99399030000384403</v>
      </c>
      <c r="S1941" t="s">
        <v>5570</v>
      </c>
      <c r="T1941" t="s">
        <v>7256</v>
      </c>
      <c r="U1941" t="s">
        <v>7256</v>
      </c>
      <c r="V1941" t="s">
        <v>7256</v>
      </c>
      <c r="W1941">
        <v>12</v>
      </c>
      <c r="X1941" t="s">
        <v>9197</v>
      </c>
      <c r="Y1941">
        <v>0.51812394674970197</v>
      </c>
      <c r="Z1941" t="str">
        <f>HYPERLINK("Melting_Curves/meltCurve_sp_Q8IWE2_NXP20_HUMAN_.pdf", "Melting_Curves/meltCurve_sp_Q8IWE2_NXP20_HUMAN_.pdf")</f>
        <v>Melting_Curves/meltCurve_sp_Q8IWE2_NXP20_HUMAN_.pdf</v>
      </c>
      <c r="AA1941" t="s">
        <v>12794</v>
      </c>
      <c r="AB1941" t="s">
        <v>16366</v>
      </c>
    </row>
    <row r="1942" spans="1:28" x14ac:dyDescent="0.25">
      <c r="A1942" t="s">
        <v>1946</v>
      </c>
      <c r="B1942">
        <v>0.98018197421672304</v>
      </c>
      <c r="C1942">
        <v>0.92278319840738099</v>
      </c>
      <c r="D1942">
        <v>0.87423467750416795</v>
      </c>
      <c r="E1942">
        <v>0.70155895885236197</v>
      </c>
      <c r="F1942">
        <v>0.485785399827042</v>
      </c>
      <c r="G1942">
        <v>0.34376964486397199</v>
      </c>
      <c r="H1942">
        <v>0.26305888903158398</v>
      </c>
      <c r="I1942">
        <v>0.255569674119413</v>
      </c>
      <c r="J1942">
        <v>0.29612722891616999</v>
      </c>
      <c r="K1942">
        <v>0.26566236351260603</v>
      </c>
      <c r="L1942">
        <v>838.79279891866702</v>
      </c>
      <c r="M1942">
        <v>16.5312836963965</v>
      </c>
      <c r="N1942">
        <v>52.923298169452401</v>
      </c>
      <c r="O1942">
        <v>50.014680091518102</v>
      </c>
      <c r="P1942">
        <v>-6.2208569975576701E-2</v>
      </c>
      <c r="Q1942">
        <v>0.24721463497511001</v>
      </c>
      <c r="R1942">
        <v>0.993077663920923</v>
      </c>
      <c r="S1942" t="s">
        <v>5571</v>
      </c>
      <c r="T1942" t="s">
        <v>7256</v>
      </c>
      <c r="U1942" t="s">
        <v>7256</v>
      </c>
      <c r="V1942" t="s">
        <v>7256</v>
      </c>
      <c r="W1942">
        <v>21</v>
      </c>
      <c r="X1942" t="s">
        <v>9198</v>
      </c>
      <c r="Y1942">
        <v>0.53153158004670653</v>
      </c>
      <c r="Z1942" t="str">
        <f>HYPERLINK("Melting_Curves/meltCurve_sp_Q8IWJ2_GCC2_HUMAN_.pdf", "Melting_Curves/meltCurve_sp_Q8IWJ2_GCC2_HUMAN_.pdf")</f>
        <v>Melting_Curves/meltCurve_sp_Q8IWJ2_GCC2_HUMAN_.pdf</v>
      </c>
      <c r="AA1942" t="s">
        <v>12795</v>
      </c>
      <c r="AB1942" t="s">
        <v>16367</v>
      </c>
    </row>
    <row r="1943" spans="1:28" x14ac:dyDescent="0.25">
      <c r="A1943" t="s">
        <v>1947</v>
      </c>
      <c r="B1943">
        <v>0.98018197421672304</v>
      </c>
      <c r="C1943">
        <v>0.97443743362104596</v>
      </c>
      <c r="D1943">
        <v>0.91628670480728602</v>
      </c>
      <c r="E1943">
        <v>0.80322735216796504</v>
      </c>
      <c r="F1943">
        <v>0.83594596292043499</v>
      </c>
      <c r="G1943">
        <v>0.67730334619821198</v>
      </c>
      <c r="H1943">
        <v>0.43787828080402802</v>
      </c>
      <c r="I1943">
        <v>0.34548397024474198</v>
      </c>
      <c r="J1943">
        <v>0.35117166545767597</v>
      </c>
      <c r="K1943">
        <v>0.31929013954546998</v>
      </c>
      <c r="L1943">
        <v>599.33982021127702</v>
      </c>
      <c r="M1943">
        <v>10.324444581433299</v>
      </c>
      <c r="N1943">
        <v>60.453341068101601</v>
      </c>
      <c r="O1943">
        <v>55.999312156823699</v>
      </c>
      <c r="P1943">
        <v>-3.8351397403737199E-2</v>
      </c>
      <c r="Q1943">
        <v>0.16829314167067499</v>
      </c>
      <c r="R1943">
        <v>0.97355097124609202</v>
      </c>
      <c r="S1943" t="s">
        <v>5572</v>
      </c>
      <c r="T1943" t="s">
        <v>7256</v>
      </c>
      <c r="U1943" t="s">
        <v>7256</v>
      </c>
      <c r="V1943" t="s">
        <v>7256</v>
      </c>
      <c r="W1943">
        <v>12</v>
      </c>
      <c r="X1943" t="s">
        <v>9199</v>
      </c>
      <c r="Y1943">
        <v>0.67725088734972805</v>
      </c>
      <c r="Z1943" t="str">
        <f>HYPERLINK("Melting_Curves/meltCurve_sp_Q8IWL3_HSC20_HUMAN_.pdf", "Melting_Curves/meltCurve_sp_Q8IWL3_HSC20_HUMAN_.pdf")</f>
        <v>Melting_Curves/meltCurve_sp_Q8IWL3_HSC20_HUMAN_.pdf</v>
      </c>
      <c r="AA1943" t="s">
        <v>12796</v>
      </c>
      <c r="AB1943" t="s">
        <v>16368</v>
      </c>
    </row>
    <row r="1944" spans="1:28" x14ac:dyDescent="0.25">
      <c r="A1944" t="s">
        <v>1948</v>
      </c>
      <c r="B1944">
        <v>0.98018197421672304</v>
      </c>
      <c r="C1944">
        <v>0.88280401173754097</v>
      </c>
      <c r="D1944">
        <v>0.82833904757789001</v>
      </c>
      <c r="E1944">
        <v>0.72511273950550603</v>
      </c>
      <c r="F1944">
        <v>0.63954313326718704</v>
      </c>
      <c r="G1944">
        <v>0.35571977063483101</v>
      </c>
      <c r="H1944">
        <v>0.26447011619317301</v>
      </c>
      <c r="I1944">
        <v>0.23465847480010099</v>
      </c>
      <c r="J1944">
        <v>0.31590828793842402</v>
      </c>
      <c r="K1944">
        <v>0.30655701540192298</v>
      </c>
      <c r="L1944">
        <v>640.79571874523299</v>
      </c>
      <c r="M1944">
        <v>12.364797010251101</v>
      </c>
      <c r="N1944">
        <v>54.398956423276204</v>
      </c>
      <c r="O1944">
        <v>50.524632420328302</v>
      </c>
      <c r="P1944">
        <v>-4.7639611771215902E-2</v>
      </c>
      <c r="Q1944">
        <v>0.22151334938912801</v>
      </c>
      <c r="R1944">
        <v>0.96209009541733603</v>
      </c>
      <c r="S1944" t="s">
        <v>5573</v>
      </c>
      <c r="T1944" t="s">
        <v>7256</v>
      </c>
      <c r="U1944" t="s">
        <v>7256</v>
      </c>
      <c r="V1944" t="s">
        <v>7256</v>
      </c>
      <c r="W1944">
        <v>3</v>
      </c>
      <c r="X1944" t="s">
        <v>9200</v>
      </c>
      <c r="Y1944">
        <v>0.55151087780426422</v>
      </c>
      <c r="Z1944" t="str">
        <f>HYPERLINK("Melting_Curves/meltCurve_sp_Q8IWU2_LMTK2_HUMAN_.pdf", "Melting_Curves/meltCurve_sp_Q8IWU2_LMTK2_HUMAN_.pdf")</f>
        <v>Melting_Curves/meltCurve_sp_Q8IWU2_LMTK2_HUMAN_.pdf</v>
      </c>
      <c r="AA1944" t="s">
        <v>12797</v>
      </c>
      <c r="AB1944" t="s">
        <v>16369</v>
      </c>
    </row>
    <row r="1945" spans="1:28" x14ac:dyDescent="0.25">
      <c r="A1945" t="s">
        <v>1949</v>
      </c>
      <c r="B1945">
        <v>0.98018197421672304</v>
      </c>
      <c r="C1945">
        <v>0.88590362111993803</v>
      </c>
      <c r="D1945">
        <v>0.744490613324441</v>
      </c>
      <c r="E1945">
        <v>0.37719458770759101</v>
      </c>
      <c r="F1945">
        <v>0.17892006772793601</v>
      </c>
      <c r="G1945">
        <v>0.10858792505130201</v>
      </c>
      <c r="H1945">
        <v>7.1268763056690498E-2</v>
      </c>
      <c r="I1945">
        <v>3.36346939987376E-2</v>
      </c>
      <c r="J1945">
        <v>6.6690113476922594E-2</v>
      </c>
      <c r="K1945">
        <v>4.4477897692581501E-2</v>
      </c>
      <c r="L1945">
        <v>894.64397849644104</v>
      </c>
      <c r="M1945">
        <v>18.533092112875998</v>
      </c>
      <c r="N1945">
        <v>48.515896199527297</v>
      </c>
      <c r="O1945">
        <v>47.721289958546301</v>
      </c>
      <c r="P1945">
        <v>-9.2789150546707902E-2</v>
      </c>
      <c r="Q1945">
        <v>4.4342259154603103E-2</v>
      </c>
      <c r="R1945">
        <v>0.99811608714618405</v>
      </c>
      <c r="S1945" t="s">
        <v>5574</v>
      </c>
      <c r="T1945" t="s">
        <v>7256</v>
      </c>
      <c r="U1945" t="s">
        <v>7256</v>
      </c>
      <c r="V1945" t="s">
        <v>7256</v>
      </c>
      <c r="W1945">
        <v>3</v>
      </c>
      <c r="X1945" t="s">
        <v>9201</v>
      </c>
      <c r="Y1945">
        <v>0.32371310313464979</v>
      </c>
      <c r="Z1945" t="str">
        <f>HYPERLINK("Melting_Curves/meltCurve_sp_Q8IWV8_4_UBR2_HUMAN_.pdf", "Melting_Curves/meltCurve_sp_Q8IWV8_4_UBR2_HUMAN_.pdf")</f>
        <v>Melting_Curves/meltCurve_sp_Q8IWV8_4_UBR2_HUMAN_.pdf</v>
      </c>
      <c r="AA1945" t="s">
        <v>12798</v>
      </c>
      <c r="AB1945" t="s">
        <v>16370</v>
      </c>
    </row>
    <row r="1946" spans="1:28" x14ac:dyDescent="0.25">
      <c r="A1946" t="s">
        <v>1950</v>
      </c>
      <c r="B1946">
        <v>0.98018197421672304</v>
      </c>
      <c r="C1946">
        <v>0.90739712750949797</v>
      </c>
      <c r="D1946">
        <v>0.89328170343940805</v>
      </c>
      <c r="E1946">
        <v>0.632931066784435</v>
      </c>
      <c r="F1946">
        <v>0.34928921732683199</v>
      </c>
      <c r="G1946">
        <v>0.220869812663087</v>
      </c>
      <c r="H1946">
        <v>0.17238896891</v>
      </c>
      <c r="I1946">
        <v>0.16890144999373799</v>
      </c>
      <c r="J1946">
        <v>0.182934891524521</v>
      </c>
      <c r="K1946">
        <v>0.18803339218548901</v>
      </c>
      <c r="L1946">
        <v>1069.14392188276</v>
      </c>
      <c r="M1946">
        <v>21.2856355543428</v>
      </c>
      <c r="N1946">
        <v>51.203151655002799</v>
      </c>
      <c r="O1946">
        <v>49.791398073193299</v>
      </c>
      <c r="P1946">
        <v>-8.9073298659897104E-2</v>
      </c>
      <c r="Q1946">
        <v>0.16657949583745801</v>
      </c>
      <c r="R1946">
        <v>0.99297736006731996</v>
      </c>
      <c r="S1946" t="s">
        <v>5575</v>
      </c>
      <c r="T1946" t="s">
        <v>7256</v>
      </c>
      <c r="U1946" t="s">
        <v>7256</v>
      </c>
      <c r="V1946" t="s">
        <v>7256</v>
      </c>
      <c r="W1946">
        <v>4</v>
      </c>
      <c r="X1946" t="s">
        <v>9202</v>
      </c>
      <c r="Y1946">
        <v>0.46100169397697233</v>
      </c>
      <c r="Z1946" t="str">
        <f>HYPERLINK("Melting_Curves/meltCurve_sp_Q8IWW6_2_RHG12_HUMAN_.pdf", "Melting_Curves/meltCurve_sp_Q8IWW6_2_RHG12_HUMAN_.pdf")</f>
        <v>Melting_Curves/meltCurve_sp_Q8IWW6_2_RHG12_HUMAN_.pdf</v>
      </c>
      <c r="AA1946" t="s">
        <v>12799</v>
      </c>
      <c r="AB1946" t="s">
        <v>16371</v>
      </c>
    </row>
    <row r="1947" spans="1:28" x14ac:dyDescent="0.25">
      <c r="A1947" t="s">
        <v>1951</v>
      </c>
      <c r="B1947">
        <v>0.98018197421672304</v>
      </c>
      <c r="C1947">
        <v>1.09071343833271</v>
      </c>
      <c r="D1947">
        <v>0.98800332827028303</v>
      </c>
      <c r="E1947">
        <v>0.90946848691156101</v>
      </c>
      <c r="F1947">
        <v>0.80244334595154299</v>
      </c>
      <c r="G1947">
        <v>0.70073191331498197</v>
      </c>
      <c r="H1947">
        <v>0.56636612282770304</v>
      </c>
      <c r="I1947">
        <v>0.59070050518183603</v>
      </c>
      <c r="J1947">
        <v>0.532246649216366</v>
      </c>
      <c r="K1947">
        <v>0.45841016686139402</v>
      </c>
      <c r="L1947">
        <v>793.46740985429904</v>
      </c>
      <c r="M1947">
        <v>14.2715409755375</v>
      </c>
      <c r="N1947">
        <v>69.872348713040097</v>
      </c>
      <c r="O1947">
        <v>54.540438771412703</v>
      </c>
      <c r="P1947">
        <v>-3.44847563385915E-2</v>
      </c>
      <c r="Q1947">
        <v>0.47291385465413399</v>
      </c>
      <c r="R1947">
        <v>0.96522101000258997</v>
      </c>
      <c r="S1947" t="s">
        <v>5576</v>
      </c>
      <c r="T1947" t="s">
        <v>7256</v>
      </c>
      <c r="U1947" t="s">
        <v>7256</v>
      </c>
      <c r="V1947" t="s">
        <v>7256</v>
      </c>
      <c r="W1947">
        <v>22</v>
      </c>
      <c r="X1947" t="s">
        <v>9203</v>
      </c>
      <c r="Y1947">
        <v>0.75710327067055327</v>
      </c>
      <c r="Z1947" t="str">
        <f>HYPERLINK("Melting_Curves/meltCurve_sp_Q8IWW8_HOT_HUMAN_.pdf", "Melting_Curves/meltCurve_sp_Q8IWW8_HOT_HUMAN_.pdf")</f>
        <v>Melting_Curves/meltCurve_sp_Q8IWW8_HOT_HUMAN_.pdf</v>
      </c>
      <c r="AA1947" t="s">
        <v>12800</v>
      </c>
      <c r="AB1947" t="s">
        <v>16372</v>
      </c>
    </row>
    <row r="1948" spans="1:28" x14ac:dyDescent="0.25">
      <c r="A1948" t="s">
        <v>1952</v>
      </c>
      <c r="B1948">
        <v>0.98018197421672304</v>
      </c>
      <c r="C1948">
        <v>0.93837921388064804</v>
      </c>
      <c r="D1948">
        <v>0.86036042895919196</v>
      </c>
      <c r="E1948">
        <v>0.77430778906894804</v>
      </c>
      <c r="F1948">
        <v>0.68180962891742403</v>
      </c>
      <c r="G1948">
        <v>0.60703982259511902</v>
      </c>
      <c r="H1948">
        <v>0.46268744633004</v>
      </c>
      <c r="I1948">
        <v>0.45617176684763</v>
      </c>
      <c r="J1948">
        <v>0.53591019069272305</v>
      </c>
      <c r="K1948">
        <v>0.68167649787208395</v>
      </c>
      <c r="L1948">
        <v>717.43446059055896</v>
      </c>
      <c r="M1948">
        <v>14.4848220136502</v>
      </c>
      <c r="O1948">
        <v>48.614746777603898</v>
      </c>
      <c r="P1948">
        <v>-3.5082861509699803E-2</v>
      </c>
      <c r="Q1948">
        <v>0.52906651837400098</v>
      </c>
      <c r="R1948">
        <v>0.872150100121037</v>
      </c>
      <c r="S1948" t="s">
        <v>5577</v>
      </c>
      <c r="T1948" t="s">
        <v>7256</v>
      </c>
      <c r="U1948" t="s">
        <v>7256</v>
      </c>
      <c r="V1948" t="s">
        <v>7256</v>
      </c>
      <c r="W1948">
        <v>4</v>
      </c>
      <c r="X1948" t="s">
        <v>9204</v>
      </c>
      <c r="Y1948">
        <v>0.69081833128790104</v>
      </c>
      <c r="Z1948" t="str">
        <f>HYPERLINK("Melting_Curves/meltCurve_sp_Q8IWX8_CHERP_HUMAN_.pdf", "Melting_Curves/meltCurve_sp_Q8IWX8_CHERP_HUMAN_.pdf")</f>
        <v>Melting_Curves/meltCurve_sp_Q8IWX8_CHERP_HUMAN_.pdf</v>
      </c>
      <c r="AA1948" t="s">
        <v>12801</v>
      </c>
      <c r="AB1948" t="s">
        <v>16373</v>
      </c>
    </row>
    <row r="1949" spans="1:28" x14ac:dyDescent="0.25">
      <c r="A1949" t="s">
        <v>1953</v>
      </c>
      <c r="B1949">
        <v>0.98018197421672304</v>
      </c>
      <c r="C1949">
        <v>0.89481967827507103</v>
      </c>
      <c r="D1949">
        <v>0.79247411373631804</v>
      </c>
      <c r="E1949">
        <v>0.53353293948575697</v>
      </c>
      <c r="F1949">
        <v>0.27766371150771901</v>
      </c>
      <c r="G1949">
        <v>0.15292607003436601</v>
      </c>
      <c r="H1949">
        <v>0.149881588063317</v>
      </c>
      <c r="I1949">
        <v>0.135983923094326</v>
      </c>
      <c r="J1949">
        <v>0.17004447282891499</v>
      </c>
      <c r="K1949">
        <v>0.14165863926052499</v>
      </c>
      <c r="L1949">
        <v>884.58511596435198</v>
      </c>
      <c r="M1949">
        <v>18.042572519363802</v>
      </c>
      <c r="N1949">
        <v>49.844186424885798</v>
      </c>
      <c r="O1949">
        <v>48.437294531045801</v>
      </c>
      <c r="P1949">
        <v>-8.1212705429266993E-2</v>
      </c>
      <c r="Q1949">
        <v>0.12794457282459301</v>
      </c>
      <c r="R1949">
        <v>0.99274335306897799</v>
      </c>
      <c r="S1949" t="s">
        <v>5578</v>
      </c>
      <c r="T1949" t="s">
        <v>7256</v>
      </c>
      <c r="U1949" t="s">
        <v>7256</v>
      </c>
      <c r="V1949" t="s">
        <v>7256</v>
      </c>
      <c r="W1949">
        <v>5</v>
      </c>
      <c r="X1949" t="s">
        <v>9205</v>
      </c>
      <c r="Y1949">
        <v>0.40539124545402128</v>
      </c>
      <c r="Z1949" t="str">
        <f>HYPERLINK("Melting_Curves/meltCurve_sp_Q8IWZ3_ANKH1_HUMAN_.pdf", "Melting_Curves/meltCurve_sp_Q8IWZ3_ANKH1_HUMAN_.pdf")</f>
        <v>Melting_Curves/meltCurve_sp_Q8IWZ3_ANKH1_HUMAN_.pdf</v>
      </c>
      <c r="AA1949" t="s">
        <v>12802</v>
      </c>
      <c r="AB1949" t="s">
        <v>16374</v>
      </c>
    </row>
    <row r="1950" spans="1:28" x14ac:dyDescent="0.25">
      <c r="A1950" t="s">
        <v>1954</v>
      </c>
      <c r="B1950">
        <v>0.98018197421672304</v>
      </c>
      <c r="C1950">
        <v>0.85269961351065804</v>
      </c>
      <c r="D1950">
        <v>0.77241129687462995</v>
      </c>
      <c r="E1950">
        <v>0.62673015445517799</v>
      </c>
      <c r="F1950">
        <v>0.48264949206350399</v>
      </c>
      <c r="G1950">
        <v>0.32332191554325401</v>
      </c>
      <c r="H1950">
        <v>0.28336916454463401</v>
      </c>
      <c r="I1950">
        <v>0.266597386252383</v>
      </c>
      <c r="J1950">
        <v>0.37305534894445602</v>
      </c>
      <c r="K1950">
        <v>0.33662827982274801</v>
      </c>
      <c r="L1950">
        <v>651.67301702564305</v>
      </c>
      <c r="M1950">
        <v>13.3777353646307</v>
      </c>
      <c r="N1950">
        <v>52.013140588513501</v>
      </c>
      <c r="O1950">
        <v>47.663363563404999</v>
      </c>
      <c r="P1950">
        <v>-5.0106365852229003E-2</v>
      </c>
      <c r="Q1950">
        <v>0.28601947896547902</v>
      </c>
      <c r="R1950">
        <v>0.97015645117913396</v>
      </c>
      <c r="S1950" t="s">
        <v>5579</v>
      </c>
      <c r="T1950" t="s">
        <v>7256</v>
      </c>
      <c r="U1950" t="s">
        <v>7256</v>
      </c>
      <c r="V1950" t="s">
        <v>7256</v>
      </c>
      <c r="W1950">
        <v>2</v>
      </c>
      <c r="X1950" t="s">
        <v>9206</v>
      </c>
      <c r="Y1950">
        <v>0.51544026315004021</v>
      </c>
      <c r="Z1950" t="str">
        <f>HYPERLINK("Melting_Curves/meltCurve_sp_Q8IWZ8_SUGP1_HUMAN_.pdf", "Melting_Curves/meltCurve_sp_Q8IWZ8_SUGP1_HUMAN_.pdf")</f>
        <v>Melting_Curves/meltCurve_sp_Q8IWZ8_SUGP1_HUMAN_.pdf</v>
      </c>
      <c r="AA1950" t="s">
        <v>12803</v>
      </c>
      <c r="AB1950" t="s">
        <v>16375</v>
      </c>
    </row>
    <row r="1951" spans="1:28" x14ac:dyDescent="0.25">
      <c r="A1951" t="s">
        <v>1955</v>
      </c>
      <c r="B1951">
        <v>0.98018197421672304</v>
      </c>
      <c r="C1951">
        <v>0.96077235182933496</v>
      </c>
      <c r="D1951">
        <v>0.57888134106399303</v>
      </c>
      <c r="E1951">
        <v>0.47548110526799697</v>
      </c>
      <c r="F1951">
        <v>0.49351821779724803</v>
      </c>
      <c r="G1951">
        <v>0.373404368693736</v>
      </c>
      <c r="H1951">
        <v>0.37182223538440001</v>
      </c>
      <c r="I1951">
        <v>0.22492255754151899</v>
      </c>
      <c r="J1951">
        <v>0.42060940024321802</v>
      </c>
      <c r="K1951">
        <v>0.42227131685594399</v>
      </c>
      <c r="L1951">
        <v>1810.2720688731699</v>
      </c>
      <c r="M1951">
        <v>40.045371382511803</v>
      </c>
      <c r="N1951">
        <v>47.024913190460303</v>
      </c>
      <c r="O1951">
        <v>45.093245592657198</v>
      </c>
      <c r="P1951">
        <v>-0.13458378868774201</v>
      </c>
      <c r="Q1951">
        <v>0.39380701283068997</v>
      </c>
      <c r="R1951">
        <v>0.91719990382080496</v>
      </c>
      <c r="S1951" t="s">
        <v>5580</v>
      </c>
      <c r="T1951" t="s">
        <v>7256</v>
      </c>
      <c r="U1951" t="s">
        <v>7256</v>
      </c>
      <c r="V1951" t="s">
        <v>7256</v>
      </c>
      <c r="W1951">
        <v>1</v>
      </c>
      <c r="X1951" t="s">
        <v>9207</v>
      </c>
      <c r="Y1951">
        <v>0.50097559079473919</v>
      </c>
      <c r="Z1951" t="str">
        <f>HYPERLINK("Melting_Curves/meltCurve_sp_Q8IX07_FOG1_HUMAN_.pdf", "Melting_Curves/meltCurve_sp_Q8IX07_FOG1_HUMAN_.pdf")</f>
        <v>Melting_Curves/meltCurve_sp_Q8IX07_FOG1_HUMAN_.pdf</v>
      </c>
      <c r="AA1951" t="s">
        <v>12804</v>
      </c>
      <c r="AB1951" t="s">
        <v>16376</v>
      </c>
    </row>
    <row r="1952" spans="1:28" x14ac:dyDescent="0.25">
      <c r="A1952" t="s">
        <v>1956</v>
      </c>
      <c r="B1952">
        <v>0.98018197421672304</v>
      </c>
      <c r="C1952">
        <v>0.96385409918760701</v>
      </c>
      <c r="D1952">
        <v>1.01884924317782</v>
      </c>
      <c r="E1952">
        <v>0.808338432882025</v>
      </c>
      <c r="F1952">
        <v>0.53337063170265697</v>
      </c>
      <c r="G1952">
        <v>0.241127008398549</v>
      </c>
      <c r="H1952">
        <v>0.45109762508593099</v>
      </c>
      <c r="I1952">
        <v>0.47773351028800998</v>
      </c>
      <c r="J1952">
        <v>0.52773214712543104</v>
      </c>
      <c r="K1952">
        <v>0.83145511395673799</v>
      </c>
      <c r="L1952">
        <v>3354.50923542904</v>
      </c>
      <c r="M1952">
        <v>66.631276534421005</v>
      </c>
      <c r="O1952">
        <v>50.299073977608501</v>
      </c>
      <c r="P1952">
        <v>-0.16310926059053801</v>
      </c>
      <c r="Q1952">
        <v>0.50748399509255104</v>
      </c>
      <c r="R1952">
        <v>0.72130093171187104</v>
      </c>
      <c r="S1952" t="s">
        <v>5581</v>
      </c>
      <c r="T1952" t="s">
        <v>7256</v>
      </c>
      <c r="U1952" t="s">
        <v>7256</v>
      </c>
      <c r="V1952" t="s">
        <v>7256</v>
      </c>
      <c r="W1952">
        <v>2</v>
      </c>
      <c r="X1952" t="s">
        <v>9208</v>
      </c>
      <c r="Y1952">
        <v>0.67792386030856544</v>
      </c>
      <c r="Z1952" t="str">
        <f>HYPERLINK("Melting_Curves/meltCurve_sp_Q8IX12_2_CCAR1_HUMAN_.pdf", "Melting_Curves/meltCurve_sp_Q8IX12_2_CCAR1_HUMAN_.pdf")</f>
        <v>Melting_Curves/meltCurve_sp_Q8IX12_2_CCAR1_HUMAN_.pdf</v>
      </c>
      <c r="AA1952" t="s">
        <v>12805</v>
      </c>
      <c r="AB1952" t="s">
        <v>16377</v>
      </c>
    </row>
    <row r="1953" spans="1:28" x14ac:dyDescent="0.25">
      <c r="A1953" t="s">
        <v>1957</v>
      </c>
      <c r="B1953">
        <v>0.98018197421672304</v>
      </c>
      <c r="C1953">
        <v>1.2838890768094899</v>
      </c>
      <c r="D1953">
        <v>1.08895931483981</v>
      </c>
      <c r="E1953">
        <v>0.69621631881809498</v>
      </c>
      <c r="F1953">
        <v>0.271878956516725</v>
      </c>
      <c r="G1953">
        <v>0.22675742248743799</v>
      </c>
      <c r="H1953">
        <v>0.12212361906551</v>
      </c>
      <c r="I1953">
        <v>0.115441362712161</v>
      </c>
      <c r="J1953">
        <v>0.199319455414675</v>
      </c>
      <c r="K1953">
        <v>7.49745329187156E-2</v>
      </c>
      <c r="L1953">
        <v>2180.4197109259999</v>
      </c>
      <c r="M1953">
        <v>42.955764139957402</v>
      </c>
      <c r="N1953">
        <v>51.1723785549216</v>
      </c>
      <c r="O1953">
        <v>50.650017877770502</v>
      </c>
      <c r="P1953">
        <v>-0.18098168043388499</v>
      </c>
      <c r="Q1953">
        <v>0.146404639512588</v>
      </c>
      <c r="R1953">
        <v>0.94480952624824299</v>
      </c>
      <c r="S1953" t="s">
        <v>5582</v>
      </c>
      <c r="T1953" t="s">
        <v>7256</v>
      </c>
      <c r="U1953" t="s">
        <v>7256</v>
      </c>
      <c r="V1953" t="s">
        <v>7256</v>
      </c>
      <c r="W1953">
        <v>1</v>
      </c>
      <c r="X1953" t="s">
        <v>9209</v>
      </c>
      <c r="Y1953">
        <v>0.4551453365465869</v>
      </c>
      <c r="Z1953" t="str">
        <f>HYPERLINK("Melting_Curves/meltCurve_sp_Q8IXH7_4_NELFD_HUMAN_.pdf", "Melting_Curves/meltCurve_sp_Q8IXH7_4_NELFD_HUMAN_.pdf")</f>
        <v>Melting_Curves/meltCurve_sp_Q8IXH7_4_NELFD_HUMAN_.pdf</v>
      </c>
      <c r="AA1953" t="s">
        <v>12806</v>
      </c>
      <c r="AB1953" t="s">
        <v>16378</v>
      </c>
    </row>
    <row r="1954" spans="1:28" x14ac:dyDescent="0.25">
      <c r="A1954" t="s">
        <v>1958</v>
      </c>
      <c r="B1954">
        <v>0.98018197421672304</v>
      </c>
      <c r="C1954">
        <v>0.92860876843107198</v>
      </c>
      <c r="D1954">
        <v>0.76957230340214799</v>
      </c>
      <c r="E1954">
        <v>0.60974055014319695</v>
      </c>
      <c r="F1954">
        <v>0.34640958826437701</v>
      </c>
      <c r="G1954">
        <v>0.204998550870225</v>
      </c>
      <c r="H1954">
        <v>0.15491761689981801</v>
      </c>
      <c r="I1954">
        <v>9.2739986532372296E-2</v>
      </c>
      <c r="J1954">
        <v>0.11261154827291101</v>
      </c>
      <c r="K1954">
        <v>6.37583398149104E-2</v>
      </c>
      <c r="L1954">
        <v>697.22948233341003</v>
      </c>
      <c r="M1954">
        <v>13.8209353682004</v>
      </c>
      <c r="N1954">
        <v>50.902579712175601</v>
      </c>
      <c r="O1954">
        <v>49.426402949650701</v>
      </c>
      <c r="P1954">
        <v>-6.5851760052216698E-2</v>
      </c>
      <c r="Q1954">
        <v>5.8135293449886598E-2</v>
      </c>
      <c r="R1954">
        <v>0.99463924372981105</v>
      </c>
      <c r="S1954" t="s">
        <v>5583</v>
      </c>
      <c r="T1954" t="s">
        <v>7256</v>
      </c>
      <c r="U1954" t="s">
        <v>7256</v>
      </c>
      <c r="V1954" t="s">
        <v>7256</v>
      </c>
      <c r="W1954">
        <v>3</v>
      </c>
      <c r="X1954" t="s">
        <v>9210</v>
      </c>
      <c r="Y1954">
        <v>0.41154892040621122</v>
      </c>
      <c r="Z1954" t="str">
        <f>HYPERLINK("Melting_Curves/meltCurve_sp_Q8IXJ6_2_SIR2_HUMAN_.pdf", "Melting_Curves/meltCurve_sp_Q8IXJ6_2_SIR2_HUMAN_.pdf")</f>
        <v>Melting_Curves/meltCurve_sp_Q8IXJ6_2_SIR2_HUMAN_.pdf</v>
      </c>
      <c r="AA1954" t="s">
        <v>12807</v>
      </c>
      <c r="AB1954" t="s">
        <v>16379</v>
      </c>
    </row>
    <row r="1955" spans="1:28" x14ac:dyDescent="0.25">
      <c r="A1955" t="s">
        <v>1959</v>
      </c>
      <c r="B1955">
        <v>0.98018197421672304</v>
      </c>
      <c r="C1955">
        <v>0.90770032472750295</v>
      </c>
      <c r="D1955">
        <v>0.87952368810049297</v>
      </c>
      <c r="E1955">
        <v>0.72369395761480804</v>
      </c>
      <c r="F1955">
        <v>0.61443904578589004</v>
      </c>
      <c r="G1955">
        <v>0.45296453086534</v>
      </c>
      <c r="H1955">
        <v>0.37457984984189902</v>
      </c>
      <c r="I1955">
        <v>0.434120798270695</v>
      </c>
      <c r="J1955">
        <v>0.46300796709463699</v>
      </c>
      <c r="K1955">
        <v>0.58733666396859896</v>
      </c>
      <c r="L1955">
        <v>859.138572792113</v>
      </c>
      <c r="M1955">
        <v>17.371393973009202</v>
      </c>
      <c r="N1955">
        <v>57.209976018491602</v>
      </c>
      <c r="O1955">
        <v>48.815642713474901</v>
      </c>
      <c r="P1955">
        <v>-4.8709737680388401E-2</v>
      </c>
      <c r="Q1955">
        <v>0.45251090393855298</v>
      </c>
      <c r="R1955">
        <v>0.91950812839817997</v>
      </c>
      <c r="S1955" t="s">
        <v>5584</v>
      </c>
      <c r="T1955" t="s">
        <v>7256</v>
      </c>
      <c r="U1955" t="s">
        <v>7256</v>
      </c>
      <c r="V1955" t="s">
        <v>7256</v>
      </c>
      <c r="W1955">
        <v>8</v>
      </c>
      <c r="X1955" t="s">
        <v>9211</v>
      </c>
      <c r="Y1955">
        <v>0.6351804614661416</v>
      </c>
      <c r="Z1955" t="str">
        <f>HYPERLINK("Melting_Curves/meltCurve_sp_Q8IXQ4_K1704_HUMAN_.pdf", "Melting_Curves/meltCurve_sp_Q8IXQ4_K1704_HUMAN_.pdf")</f>
        <v>Melting_Curves/meltCurve_sp_Q8IXQ4_K1704_HUMAN_.pdf</v>
      </c>
      <c r="AA1955" t="s">
        <v>12808</v>
      </c>
      <c r="AB1955" t="s">
        <v>16380</v>
      </c>
    </row>
    <row r="1956" spans="1:28" x14ac:dyDescent="0.25">
      <c r="A1956" t="s">
        <v>1960</v>
      </c>
      <c r="B1956">
        <v>0.98018197421672304</v>
      </c>
      <c r="C1956">
        <v>0.86453072445707002</v>
      </c>
      <c r="D1956">
        <v>0.658196467750221</v>
      </c>
      <c r="E1956">
        <v>0.35673835444382801</v>
      </c>
      <c r="F1956">
        <v>0.18322488983412799</v>
      </c>
      <c r="G1956">
        <v>0.111929142053614</v>
      </c>
      <c r="H1956">
        <v>7.2883073649859298E-2</v>
      </c>
      <c r="I1956">
        <v>4.7452006061868099E-2</v>
      </c>
      <c r="J1956">
        <v>3.5145716148961899E-2</v>
      </c>
      <c r="K1956">
        <v>3.7992897240205901E-2</v>
      </c>
      <c r="L1956">
        <v>778.43652331076203</v>
      </c>
      <c r="M1956">
        <v>16.299290511119299</v>
      </c>
      <c r="N1956">
        <v>47.9748759792068</v>
      </c>
      <c r="O1956">
        <v>47.057379549972801</v>
      </c>
      <c r="P1956">
        <v>-8.35357690101559E-2</v>
      </c>
      <c r="Q1956">
        <v>3.5372063680478398E-2</v>
      </c>
      <c r="R1956">
        <v>0.99917169825598695</v>
      </c>
      <c r="S1956" t="s">
        <v>5585</v>
      </c>
      <c r="T1956" t="s">
        <v>7256</v>
      </c>
      <c r="U1956" t="s">
        <v>7256</v>
      </c>
      <c r="V1956" t="s">
        <v>7256</v>
      </c>
      <c r="W1956">
        <v>6</v>
      </c>
      <c r="X1956" t="s">
        <v>9212</v>
      </c>
      <c r="Y1956">
        <v>0.30607170197921563</v>
      </c>
      <c r="Z1956" t="str">
        <f>HYPERLINK("Melting_Curves/meltCurve_sp_Q8IXQ6_2_PARP9_HUMAN_.pdf", "Melting_Curves/meltCurve_sp_Q8IXQ6_2_PARP9_HUMAN_.pdf")</f>
        <v>Melting_Curves/meltCurve_sp_Q8IXQ6_2_PARP9_HUMAN_.pdf</v>
      </c>
      <c r="AA1956" t="s">
        <v>12809</v>
      </c>
      <c r="AB1956" t="s">
        <v>16381</v>
      </c>
    </row>
    <row r="1957" spans="1:28" x14ac:dyDescent="0.25">
      <c r="A1957" t="s">
        <v>1961</v>
      </c>
      <c r="B1957">
        <v>0.98018197421672304</v>
      </c>
      <c r="C1957">
        <v>1.0068571987038999</v>
      </c>
      <c r="D1957">
        <v>0.97818284927336197</v>
      </c>
      <c r="E1957">
        <v>0.90430322868990498</v>
      </c>
      <c r="F1957">
        <v>0.82025875658320901</v>
      </c>
      <c r="G1957">
        <v>0.621096424662126</v>
      </c>
      <c r="H1957">
        <v>0.44681944126587603</v>
      </c>
      <c r="I1957">
        <v>0.39029524176557101</v>
      </c>
      <c r="J1957">
        <v>0.51180535039849095</v>
      </c>
      <c r="K1957">
        <v>0.34126416873353399</v>
      </c>
      <c r="L1957">
        <v>1026.14536363456</v>
      </c>
      <c r="M1957">
        <v>18.560888374015999</v>
      </c>
      <c r="N1957">
        <v>59.9696522830654</v>
      </c>
      <c r="O1957">
        <v>54.655582967075503</v>
      </c>
      <c r="P1957">
        <v>-5.24112059167368E-2</v>
      </c>
      <c r="Q1957">
        <v>0.38269317257475399</v>
      </c>
      <c r="R1957">
        <v>0.97238319112313398</v>
      </c>
      <c r="S1957" t="s">
        <v>5586</v>
      </c>
      <c r="T1957" t="s">
        <v>7256</v>
      </c>
      <c r="U1957" t="s">
        <v>7256</v>
      </c>
      <c r="V1957" t="s">
        <v>7256</v>
      </c>
      <c r="W1957">
        <v>1</v>
      </c>
      <c r="X1957" t="s">
        <v>9213</v>
      </c>
      <c r="Y1957">
        <v>0.70627574815861538</v>
      </c>
      <c r="Z1957" t="str">
        <f>HYPERLINK("Melting_Curves/meltCurve_sp_Q8IY50_2_S35F3_HUMAN_.pdf", "Melting_Curves/meltCurve_sp_Q8IY50_2_S35F3_HUMAN_.pdf")</f>
        <v>Melting_Curves/meltCurve_sp_Q8IY50_2_S35F3_HUMAN_.pdf</v>
      </c>
      <c r="AA1957" t="s">
        <v>12810</v>
      </c>
      <c r="AB1957" t="s">
        <v>16382</v>
      </c>
    </row>
    <row r="1958" spans="1:28" x14ac:dyDescent="0.25">
      <c r="A1958" t="s">
        <v>1962</v>
      </c>
      <c r="B1958">
        <v>0.98018197421672304</v>
      </c>
      <c r="C1958">
        <v>1.13723576206358</v>
      </c>
      <c r="D1958">
        <v>1.0162821983636401</v>
      </c>
      <c r="E1958">
        <v>0.81642841337953898</v>
      </c>
      <c r="F1958">
        <v>0.82073882883264404</v>
      </c>
      <c r="G1958">
        <v>0.47522968201508903</v>
      </c>
      <c r="H1958">
        <v>0.45210988812924902</v>
      </c>
      <c r="I1958">
        <v>0.421838064455828</v>
      </c>
      <c r="J1958">
        <v>0.55133562094543598</v>
      </c>
      <c r="K1958">
        <v>0.51713330425524495</v>
      </c>
      <c r="L1958">
        <v>1424.4655563142101</v>
      </c>
      <c r="M1958">
        <v>26.884788703127501</v>
      </c>
      <c r="N1958">
        <v>59.408669627938799</v>
      </c>
      <c r="O1958">
        <v>52.693529082632701</v>
      </c>
      <c r="P1958">
        <v>-6.7260343708486506E-2</v>
      </c>
      <c r="Q1958">
        <v>0.47269079891587401</v>
      </c>
      <c r="R1958">
        <v>0.91691554674513998</v>
      </c>
      <c r="S1958" t="s">
        <v>5587</v>
      </c>
      <c r="T1958" t="s">
        <v>7256</v>
      </c>
      <c r="U1958" t="s">
        <v>7256</v>
      </c>
      <c r="V1958" t="s">
        <v>7256</v>
      </c>
      <c r="W1958">
        <v>1</v>
      </c>
      <c r="X1958" t="s">
        <v>9214</v>
      </c>
      <c r="Y1958">
        <v>0.70514035221366589</v>
      </c>
      <c r="Z1958" t="str">
        <f>HYPERLINK("Melting_Curves/meltCurve_sp_Q8IY81_SPB1_HUMAN_.pdf", "Melting_Curves/meltCurve_sp_Q8IY81_SPB1_HUMAN_.pdf")</f>
        <v>Melting_Curves/meltCurve_sp_Q8IY81_SPB1_HUMAN_.pdf</v>
      </c>
      <c r="AA1958" t="s">
        <v>12811</v>
      </c>
      <c r="AB1958" t="s">
        <v>16383</v>
      </c>
    </row>
    <row r="1959" spans="1:28" x14ac:dyDescent="0.25">
      <c r="A1959" t="s">
        <v>1963</v>
      </c>
      <c r="B1959">
        <v>0.98018197421672304</v>
      </c>
      <c r="C1959">
        <v>0.64753302839016103</v>
      </c>
      <c r="D1959">
        <v>0.84098928354397895</v>
      </c>
      <c r="E1959">
        <v>0.73171231445079898</v>
      </c>
      <c r="F1959">
        <v>0.10122013520604201</v>
      </c>
      <c r="G1959">
        <v>6.7705496425078601E-2</v>
      </c>
      <c r="H1959">
        <v>2.5047726789389501E-2</v>
      </c>
      <c r="I1959">
        <v>2.3262609555923099E-2</v>
      </c>
      <c r="J1959">
        <v>1.4853540633075301E-2</v>
      </c>
      <c r="K1959">
        <v>1.6612051785173599E-2</v>
      </c>
      <c r="L1959">
        <v>2915.9670191766099</v>
      </c>
      <c r="M1959">
        <v>57.381997608448401</v>
      </c>
      <c r="N1959">
        <v>50.866902688318397</v>
      </c>
      <c r="O1959">
        <v>50.755154086253597</v>
      </c>
      <c r="P1959">
        <v>-0.27486900532254299</v>
      </c>
      <c r="Q1959">
        <v>2.7499146045367601E-2</v>
      </c>
      <c r="R1959">
        <v>0.895806657724875</v>
      </c>
      <c r="S1959" t="s">
        <v>5588</v>
      </c>
      <c r="T1959" t="s">
        <v>7256</v>
      </c>
      <c r="U1959" t="s">
        <v>7256</v>
      </c>
      <c r="V1959" t="s">
        <v>7256</v>
      </c>
      <c r="W1959">
        <v>1</v>
      </c>
      <c r="X1959" t="s">
        <v>9215</v>
      </c>
      <c r="Y1959">
        <v>0.37979552056686522</v>
      </c>
      <c r="Z1959" t="str">
        <f>HYPERLINK("Melting_Curves/meltCurve_sp_Q8IYA8_2_CCD36_HUMAN_.pdf", "Melting_Curves/meltCurve_sp_Q8IYA8_2_CCD36_HUMAN_.pdf")</f>
        <v>Melting_Curves/meltCurve_sp_Q8IYA8_2_CCD36_HUMAN_.pdf</v>
      </c>
      <c r="AA1959" t="s">
        <v>12812</v>
      </c>
      <c r="AB1959" t="s">
        <v>16384</v>
      </c>
    </row>
    <row r="1960" spans="1:28" x14ac:dyDescent="0.25">
      <c r="A1960" t="s">
        <v>1964</v>
      </c>
      <c r="B1960">
        <v>0.98018197421672304</v>
      </c>
      <c r="C1960">
        <v>1.0432267208791199</v>
      </c>
      <c r="D1960">
        <v>0.85178273696764695</v>
      </c>
      <c r="E1960">
        <v>0.76736851280024099</v>
      </c>
      <c r="F1960">
        <v>0.51084274944264696</v>
      </c>
      <c r="G1960">
        <v>0.26511106614492702</v>
      </c>
      <c r="H1960">
        <v>9.7641721078611202E-2</v>
      </c>
      <c r="I1960">
        <v>8.6528366158084805E-2</v>
      </c>
      <c r="J1960">
        <v>0.113813601487532</v>
      </c>
      <c r="K1960">
        <v>6.0094458324905398E-2</v>
      </c>
      <c r="L1960">
        <v>906.68270960480095</v>
      </c>
      <c r="M1960">
        <v>17.167982149860599</v>
      </c>
      <c r="N1960">
        <v>53.137485272567801</v>
      </c>
      <c r="O1960">
        <v>52.111489993592002</v>
      </c>
      <c r="P1960">
        <v>-7.8261035782886901E-2</v>
      </c>
      <c r="Q1960">
        <v>4.9846019480369201E-2</v>
      </c>
      <c r="R1960">
        <v>0.99017964967086303</v>
      </c>
      <c r="S1960" t="s">
        <v>5589</v>
      </c>
      <c r="T1960" t="s">
        <v>7256</v>
      </c>
      <c r="U1960" t="s">
        <v>7256</v>
      </c>
      <c r="V1960" t="s">
        <v>7256</v>
      </c>
      <c r="W1960">
        <v>1</v>
      </c>
      <c r="X1960" t="s">
        <v>9216</v>
      </c>
      <c r="Y1960">
        <v>0.47247553934819042</v>
      </c>
      <c r="Z1960" t="str">
        <f>HYPERLINK("Melting_Curves/meltCurve_sp_Q8IYB5_3_SMAP1_HUMAN_.pdf", "Melting_Curves/meltCurve_sp_Q8IYB5_3_SMAP1_HUMAN_.pdf")</f>
        <v>Melting_Curves/meltCurve_sp_Q8IYB5_3_SMAP1_HUMAN_.pdf</v>
      </c>
      <c r="AA1960" t="s">
        <v>12813</v>
      </c>
      <c r="AB1960" t="s">
        <v>16385</v>
      </c>
    </row>
    <row r="1961" spans="1:28" x14ac:dyDescent="0.25">
      <c r="A1961" t="s">
        <v>1965</v>
      </c>
      <c r="B1961">
        <v>0.98018197421672304</v>
      </c>
      <c r="C1961">
        <v>0.95153399364879099</v>
      </c>
      <c r="D1961">
        <v>0.88608813452406299</v>
      </c>
      <c r="E1961">
        <v>0.65752752093210398</v>
      </c>
      <c r="F1961">
        <v>0.338341844535409</v>
      </c>
      <c r="G1961">
        <v>0.184391919250945</v>
      </c>
      <c r="H1961">
        <v>0.12713336757383301</v>
      </c>
      <c r="I1961">
        <v>9.5778826907343406E-2</v>
      </c>
      <c r="J1961">
        <v>0.116588029749825</v>
      </c>
      <c r="K1961">
        <v>9.2702146197127994E-2</v>
      </c>
      <c r="L1961">
        <v>1049.76847469014</v>
      </c>
      <c r="M1961">
        <v>20.651907766330002</v>
      </c>
      <c r="N1961">
        <v>51.349407227262098</v>
      </c>
      <c r="O1961">
        <v>50.362145277587999</v>
      </c>
      <c r="P1961">
        <v>-9.2882310711625199E-2</v>
      </c>
      <c r="Q1961">
        <v>9.4007625025192998E-2</v>
      </c>
      <c r="R1961">
        <v>0.997041741905905</v>
      </c>
      <c r="S1961" t="s">
        <v>5590</v>
      </c>
      <c r="T1961" t="s">
        <v>7256</v>
      </c>
      <c r="U1961" t="s">
        <v>7256</v>
      </c>
      <c r="V1961" t="s">
        <v>7256</v>
      </c>
      <c r="W1961">
        <v>7</v>
      </c>
      <c r="X1961" t="s">
        <v>9217</v>
      </c>
      <c r="Y1961">
        <v>0.43295799597565449</v>
      </c>
      <c r="Z1961" t="str">
        <f>HYPERLINK("Melting_Curves/meltCurve_sp_Q8IYB7_DI3L2_HUMAN_.pdf", "Melting_Curves/meltCurve_sp_Q8IYB7_DI3L2_HUMAN_.pdf")</f>
        <v>Melting_Curves/meltCurve_sp_Q8IYB7_DI3L2_HUMAN_.pdf</v>
      </c>
      <c r="AA1961" t="s">
        <v>12814</v>
      </c>
      <c r="AB1961" t="s">
        <v>16386</v>
      </c>
    </row>
    <row r="1962" spans="1:28" x14ac:dyDescent="0.25">
      <c r="A1962" t="s">
        <v>1966</v>
      </c>
      <c r="B1962">
        <v>0.98018197421672304</v>
      </c>
      <c r="C1962">
        <v>0.98838427748504498</v>
      </c>
      <c r="D1962">
        <v>0.94791366336798</v>
      </c>
      <c r="E1962">
        <v>0.73259824405162199</v>
      </c>
      <c r="F1962">
        <v>0.46780035985242202</v>
      </c>
      <c r="G1962">
        <v>0.223083005066403</v>
      </c>
      <c r="H1962">
        <v>0.106791003757638</v>
      </c>
      <c r="I1962">
        <v>7.9679859813646295E-2</v>
      </c>
      <c r="J1962">
        <v>4.5733549553644802E-2</v>
      </c>
      <c r="K1962">
        <v>5.2034011492907699E-2</v>
      </c>
      <c r="L1962">
        <v>999.737228028667</v>
      </c>
      <c r="M1962">
        <v>19.053270231494899</v>
      </c>
      <c r="N1962">
        <v>52.718438643288302</v>
      </c>
      <c r="O1962">
        <v>51.902888911666899</v>
      </c>
      <c r="P1962">
        <v>-8.7846506734080704E-2</v>
      </c>
      <c r="Q1962">
        <v>4.2829356559568398E-2</v>
      </c>
      <c r="R1962">
        <v>0.999529608582442</v>
      </c>
      <c r="S1962" t="s">
        <v>5591</v>
      </c>
      <c r="T1962" t="s">
        <v>7256</v>
      </c>
      <c r="U1962" t="s">
        <v>7256</v>
      </c>
      <c r="V1962" t="s">
        <v>7256</v>
      </c>
      <c r="W1962">
        <v>6</v>
      </c>
      <c r="X1962" t="s">
        <v>9218</v>
      </c>
      <c r="Y1962">
        <v>0.45508645962866018</v>
      </c>
      <c r="Z1962" t="str">
        <f>HYPERLINK("Melting_Curves/meltCurve_sp_Q8IYB8_SUV3_HUMAN_.pdf", "Melting_Curves/meltCurve_sp_Q8IYB8_SUV3_HUMAN_.pdf")</f>
        <v>Melting_Curves/meltCurve_sp_Q8IYB8_SUV3_HUMAN_.pdf</v>
      </c>
      <c r="AA1962" t="s">
        <v>12815</v>
      </c>
      <c r="AB1962" t="s">
        <v>16387</v>
      </c>
    </row>
    <row r="1963" spans="1:28" x14ac:dyDescent="0.25">
      <c r="A1963" t="s">
        <v>1967</v>
      </c>
      <c r="B1963">
        <v>0.98018197421672304</v>
      </c>
      <c r="C1963">
        <v>0.76432379516947002</v>
      </c>
      <c r="D1963">
        <v>0.79201727563813895</v>
      </c>
      <c r="E1963">
        <v>0.72455103345660998</v>
      </c>
      <c r="F1963">
        <v>0.51703750648894298</v>
      </c>
      <c r="G1963">
        <v>0.229800820463441</v>
      </c>
      <c r="H1963">
        <v>0.18132817612774299</v>
      </c>
      <c r="I1963">
        <v>0.14324551806319299</v>
      </c>
      <c r="J1963">
        <v>0.20074369390629301</v>
      </c>
      <c r="K1963">
        <v>0.14161974053483301</v>
      </c>
      <c r="L1963">
        <v>529.10576231426001</v>
      </c>
      <c r="M1963">
        <v>10.190406719976</v>
      </c>
      <c r="N1963">
        <v>52.497979127217597</v>
      </c>
      <c r="O1963">
        <v>50.041551687234602</v>
      </c>
      <c r="P1963">
        <v>-4.8238743760476398E-2</v>
      </c>
      <c r="Q1963">
        <v>5.28936501208482E-2</v>
      </c>
      <c r="R1963">
        <v>0.94902241966018297</v>
      </c>
      <c r="S1963" t="s">
        <v>5592</v>
      </c>
      <c r="T1963" t="s">
        <v>7256</v>
      </c>
      <c r="U1963" t="s">
        <v>7256</v>
      </c>
      <c r="V1963" t="s">
        <v>7256</v>
      </c>
      <c r="W1963">
        <v>10</v>
      </c>
      <c r="X1963" t="s">
        <v>9219</v>
      </c>
      <c r="Y1963">
        <v>0.46475369792195409</v>
      </c>
      <c r="Z1963" t="str">
        <f>HYPERLINK("Melting_Curves/meltCurve_sp_Q8IYD1_ERF3B_HUMAN_.pdf", "Melting_Curves/meltCurve_sp_Q8IYD1_ERF3B_HUMAN_.pdf")</f>
        <v>Melting_Curves/meltCurve_sp_Q8IYD1_ERF3B_HUMAN_.pdf</v>
      </c>
      <c r="AA1963" t="s">
        <v>12816</v>
      </c>
      <c r="AB1963" t="s">
        <v>16388</v>
      </c>
    </row>
    <row r="1964" spans="1:28" x14ac:dyDescent="0.25">
      <c r="A1964" t="s">
        <v>1968</v>
      </c>
      <c r="B1964">
        <v>0.98018197421672304</v>
      </c>
      <c r="C1964">
        <v>0.95704469022993</v>
      </c>
      <c r="D1964">
        <v>0.80660425573582195</v>
      </c>
      <c r="E1964">
        <v>0.44248514101212599</v>
      </c>
      <c r="F1964">
        <v>0.15693705743834099</v>
      </c>
      <c r="G1964">
        <v>9.8504646090120607E-2</v>
      </c>
      <c r="H1964">
        <v>6.5969198245679095E-2</v>
      </c>
      <c r="I1964">
        <v>4.71435649412386E-2</v>
      </c>
      <c r="J1964">
        <v>4.4560737543435203E-2</v>
      </c>
      <c r="K1964">
        <v>5.1131520275667502E-2</v>
      </c>
      <c r="L1964">
        <v>1092.3526684332901</v>
      </c>
      <c r="M1964">
        <v>22.302747237891602</v>
      </c>
      <c r="N1964">
        <v>49.190432194060101</v>
      </c>
      <c r="O1964">
        <v>48.5897286732297</v>
      </c>
      <c r="P1964">
        <v>-0.10949352635466</v>
      </c>
      <c r="Q1964">
        <v>4.5830961178368303E-2</v>
      </c>
      <c r="R1964">
        <v>0.99812219482221498</v>
      </c>
      <c r="S1964" t="s">
        <v>5593</v>
      </c>
      <c r="T1964" t="s">
        <v>7256</v>
      </c>
      <c r="U1964" t="s">
        <v>7256</v>
      </c>
      <c r="V1964" t="s">
        <v>7256</v>
      </c>
      <c r="W1964">
        <v>4</v>
      </c>
      <c r="X1964" t="s">
        <v>9220</v>
      </c>
      <c r="Y1964">
        <v>0.3420900842439743</v>
      </c>
      <c r="Z1964" t="str">
        <f>HYPERLINK("Melting_Curves/meltCurve_sp_Q8IYI6_EXOC8_HUMAN_.pdf", "Melting_Curves/meltCurve_sp_Q8IYI6_EXOC8_HUMAN_.pdf")</f>
        <v>Melting_Curves/meltCurve_sp_Q8IYI6_EXOC8_HUMAN_.pdf</v>
      </c>
      <c r="AA1964" t="s">
        <v>12817</v>
      </c>
      <c r="AB1964" t="s">
        <v>16389</v>
      </c>
    </row>
    <row r="1965" spans="1:28" x14ac:dyDescent="0.25">
      <c r="A1965" t="s">
        <v>1969</v>
      </c>
      <c r="B1965">
        <v>0.98018197421672304</v>
      </c>
      <c r="C1965">
        <v>0.95340889172314702</v>
      </c>
      <c r="D1965">
        <v>0.81983844787737403</v>
      </c>
      <c r="E1965">
        <v>0.616029778022122</v>
      </c>
      <c r="F1965">
        <v>0.393232752149897</v>
      </c>
      <c r="G1965">
        <v>0.214377420244692</v>
      </c>
      <c r="H1965">
        <v>0.14570635567169901</v>
      </c>
      <c r="I1965">
        <v>0.13296165381191899</v>
      </c>
      <c r="J1965">
        <v>0.121413770492696</v>
      </c>
      <c r="K1965">
        <v>9.4079517981645905E-2</v>
      </c>
      <c r="L1965">
        <v>777.20963755560399</v>
      </c>
      <c r="M1965">
        <v>15.328914654396399</v>
      </c>
      <c r="N1965">
        <v>51.347941847464597</v>
      </c>
      <c r="O1965">
        <v>49.862805005606297</v>
      </c>
      <c r="P1965">
        <v>-7.0124349874168601E-2</v>
      </c>
      <c r="Q1965">
        <v>8.7666042018590407E-2</v>
      </c>
      <c r="R1965">
        <v>0.99858668379290505</v>
      </c>
      <c r="S1965" t="s">
        <v>5594</v>
      </c>
      <c r="T1965" t="s">
        <v>7256</v>
      </c>
      <c r="U1965" t="s">
        <v>7256</v>
      </c>
      <c r="V1965" t="s">
        <v>7256</v>
      </c>
      <c r="W1965">
        <v>23</v>
      </c>
      <c r="X1965" t="s">
        <v>9221</v>
      </c>
      <c r="Y1965">
        <v>0.4336397712491496</v>
      </c>
      <c r="Z1965" t="str">
        <f>HYPERLINK("Melting_Curves/meltCurve_sp_Q8IYQ7_THNS1_HUMAN_.pdf", "Melting_Curves/meltCurve_sp_Q8IYQ7_THNS1_HUMAN_.pdf")</f>
        <v>Melting_Curves/meltCurve_sp_Q8IYQ7_THNS1_HUMAN_.pdf</v>
      </c>
      <c r="AA1965" t="s">
        <v>12818</v>
      </c>
      <c r="AB1965" t="s">
        <v>16390</v>
      </c>
    </row>
    <row r="1966" spans="1:28" x14ac:dyDescent="0.25">
      <c r="A1966" t="s">
        <v>1970</v>
      </c>
      <c r="B1966">
        <v>0.98018197421672304</v>
      </c>
      <c r="C1966">
        <v>0.99884615581473102</v>
      </c>
      <c r="D1966">
        <v>0.93903442971578199</v>
      </c>
      <c r="E1966">
        <v>0.77117027380413405</v>
      </c>
      <c r="F1966">
        <v>0.63790440372507895</v>
      </c>
      <c r="G1966">
        <v>0.47665964900373298</v>
      </c>
      <c r="H1966">
        <v>0.376469626686884</v>
      </c>
      <c r="I1966">
        <v>0.37829100586172498</v>
      </c>
      <c r="J1966">
        <v>0.17494934505238399</v>
      </c>
      <c r="K1966">
        <v>6.6925078415490294E-2</v>
      </c>
      <c r="L1966">
        <v>535.92122207683099</v>
      </c>
      <c r="M1966">
        <v>9.3907565675548899</v>
      </c>
      <c r="N1966">
        <v>57.069016692568397</v>
      </c>
      <c r="O1966">
        <v>54.660542550692398</v>
      </c>
      <c r="P1966">
        <v>-4.2976891829618599E-2</v>
      </c>
      <c r="Q1966">
        <v>0</v>
      </c>
      <c r="R1966">
        <v>0.97473709965740596</v>
      </c>
      <c r="S1966" t="s">
        <v>5595</v>
      </c>
      <c r="T1966" t="s">
        <v>7256</v>
      </c>
      <c r="U1966" t="s">
        <v>7256</v>
      </c>
      <c r="V1966" t="s">
        <v>7256</v>
      </c>
      <c r="W1966">
        <v>1</v>
      </c>
      <c r="X1966" t="s">
        <v>9222</v>
      </c>
      <c r="Y1966">
        <v>0.58354926631170911</v>
      </c>
      <c r="Z1966" t="str">
        <f>HYPERLINK("Melting_Curves/meltCurve_sp_Q8IYT4_KATL2_HUMAN_.pdf", "Melting_Curves/meltCurve_sp_Q8IYT4_KATL2_HUMAN_.pdf")</f>
        <v>Melting_Curves/meltCurve_sp_Q8IYT4_KATL2_HUMAN_.pdf</v>
      </c>
      <c r="AA1966" t="s">
        <v>12819</v>
      </c>
      <c r="AB1966" t="s">
        <v>16391</v>
      </c>
    </row>
    <row r="1967" spans="1:28" x14ac:dyDescent="0.25">
      <c r="A1967" t="s">
        <v>1971</v>
      </c>
      <c r="B1967">
        <v>0.98018197421672304</v>
      </c>
      <c r="C1967">
        <v>0.74867622181215099</v>
      </c>
      <c r="D1967">
        <v>0.77767816406052903</v>
      </c>
      <c r="E1967">
        <v>0.65186595892455601</v>
      </c>
      <c r="F1967">
        <v>0.43775572223523201</v>
      </c>
      <c r="G1967">
        <v>0.25900655587816201</v>
      </c>
      <c r="H1967">
        <v>0.121897021927447</v>
      </c>
      <c r="I1967">
        <v>5.4992764853584203E-2</v>
      </c>
      <c r="J1967">
        <v>8.3396042119781993E-2</v>
      </c>
      <c r="K1967">
        <v>6.7793388563507403E-2</v>
      </c>
      <c r="L1967">
        <v>538.43456282101397</v>
      </c>
      <c r="M1967">
        <v>10.474406765496401</v>
      </c>
      <c r="N1967">
        <v>51.404761464980602</v>
      </c>
      <c r="O1967">
        <v>49.637092714807899</v>
      </c>
      <c r="P1967">
        <v>-5.2776423531347899E-2</v>
      </c>
      <c r="Q1967">
        <v>0</v>
      </c>
      <c r="R1967">
        <v>0.97071888096055403</v>
      </c>
      <c r="S1967" t="s">
        <v>5596</v>
      </c>
      <c r="T1967" t="s">
        <v>7256</v>
      </c>
      <c r="U1967" t="s">
        <v>7256</v>
      </c>
      <c r="V1967" t="s">
        <v>7256</v>
      </c>
      <c r="W1967">
        <v>1</v>
      </c>
      <c r="X1967" t="s">
        <v>9223</v>
      </c>
      <c r="Y1967">
        <v>0.4181176441425149</v>
      </c>
      <c r="Z1967" t="str">
        <f>HYPERLINK("Melting_Curves/meltCurve_sp_Q8IZ41_RASEF_HUMAN_.pdf", "Melting_Curves/meltCurve_sp_Q8IZ41_RASEF_HUMAN_.pdf")</f>
        <v>Melting_Curves/meltCurve_sp_Q8IZ41_RASEF_HUMAN_.pdf</v>
      </c>
      <c r="AA1967" t="s">
        <v>12820</v>
      </c>
      <c r="AB1967" t="s">
        <v>16392</v>
      </c>
    </row>
    <row r="1968" spans="1:28" x14ac:dyDescent="0.25">
      <c r="A1968" t="s">
        <v>1972</v>
      </c>
      <c r="B1968">
        <v>0.98018197421672304</v>
      </c>
      <c r="C1968">
        <v>0.73175130123781795</v>
      </c>
      <c r="D1968">
        <v>0.91397034152179402</v>
      </c>
      <c r="E1968">
        <v>0.82609925075517698</v>
      </c>
      <c r="F1968">
        <v>0.78802102519370099</v>
      </c>
      <c r="G1968">
        <v>0.43089078007084702</v>
      </c>
      <c r="H1968">
        <v>0.44573767331737901</v>
      </c>
      <c r="I1968">
        <v>9.8047682114779003E-2</v>
      </c>
      <c r="J1968">
        <v>0.21115734727392699</v>
      </c>
      <c r="K1968">
        <v>0.61808712699892399</v>
      </c>
      <c r="L1968">
        <v>1087.1277718353199</v>
      </c>
      <c r="M1968">
        <v>20.264257100696401</v>
      </c>
      <c r="N1968">
        <v>56.452187476106502</v>
      </c>
      <c r="O1968">
        <v>53.133306644250297</v>
      </c>
      <c r="P1968">
        <v>-6.5094971490219894E-2</v>
      </c>
      <c r="Q1968">
        <v>0.31729960728740603</v>
      </c>
      <c r="R1968">
        <v>0.68621807468736395</v>
      </c>
      <c r="S1968" t="s">
        <v>5597</v>
      </c>
      <c r="T1968" t="s">
        <v>7256</v>
      </c>
      <c r="U1968" t="s">
        <v>7256</v>
      </c>
      <c r="V1968" t="s">
        <v>7256</v>
      </c>
      <c r="W1968">
        <v>4</v>
      </c>
      <c r="X1968" t="s">
        <v>9224</v>
      </c>
      <c r="Y1968">
        <v>0.63699791835726427</v>
      </c>
      <c r="Z1968" t="str">
        <f>HYPERLINK("Melting_Curves/meltCurve_sp_Q8IZ69_TRM2A_HUMAN_.pdf", "Melting_Curves/meltCurve_sp_Q8IZ69_TRM2A_HUMAN_.pdf")</f>
        <v>Melting_Curves/meltCurve_sp_Q8IZ69_TRM2A_HUMAN_.pdf</v>
      </c>
      <c r="AA1968" t="s">
        <v>12821</v>
      </c>
      <c r="AB1968" t="s">
        <v>16393</v>
      </c>
    </row>
    <row r="1969" spans="1:28" x14ac:dyDescent="0.25">
      <c r="A1969" t="s">
        <v>1973</v>
      </c>
      <c r="B1969">
        <v>0.98018197421672304</v>
      </c>
      <c r="C1969">
        <v>0.98111066888605802</v>
      </c>
      <c r="D1969">
        <v>0.95234822020715304</v>
      </c>
      <c r="E1969">
        <v>0.83156214124864802</v>
      </c>
      <c r="F1969">
        <v>0.74867571953434497</v>
      </c>
      <c r="G1969">
        <v>0.58493350275373401</v>
      </c>
      <c r="H1969">
        <v>0.386083884808259</v>
      </c>
      <c r="I1969">
        <v>0.19716267284696501</v>
      </c>
      <c r="J1969">
        <v>9.5861649547670305E-2</v>
      </c>
      <c r="K1969">
        <v>7.5018035172007003E-2</v>
      </c>
      <c r="L1969">
        <v>743.019335967708</v>
      </c>
      <c r="M1969">
        <v>12.8555446031688</v>
      </c>
      <c r="N1969">
        <v>57.797577550306897</v>
      </c>
      <c r="O1969">
        <v>56.4526167284465</v>
      </c>
      <c r="P1969">
        <v>-5.6941203239325999E-2</v>
      </c>
      <c r="Q1969">
        <v>0</v>
      </c>
      <c r="R1969">
        <v>0.99121638595002903</v>
      </c>
      <c r="S1969" t="s">
        <v>5598</v>
      </c>
      <c r="T1969" t="s">
        <v>7256</v>
      </c>
      <c r="U1969" t="s">
        <v>7256</v>
      </c>
      <c r="V1969" t="s">
        <v>7256</v>
      </c>
      <c r="W1969">
        <v>12</v>
      </c>
      <c r="X1969" t="s">
        <v>9225</v>
      </c>
      <c r="Y1969">
        <v>0.60723539893913536</v>
      </c>
      <c r="Z1969" t="str">
        <f>HYPERLINK("Melting_Curves/meltCurve_sp_Q8IZ83_A16A1_HUMAN_.pdf", "Melting_Curves/meltCurve_sp_Q8IZ83_A16A1_HUMAN_.pdf")</f>
        <v>Melting_Curves/meltCurve_sp_Q8IZ83_A16A1_HUMAN_.pdf</v>
      </c>
      <c r="AA1969" t="s">
        <v>12822</v>
      </c>
      <c r="AB1969" t="s">
        <v>16394</v>
      </c>
    </row>
    <row r="1970" spans="1:28" x14ac:dyDescent="0.25">
      <c r="A1970" t="s">
        <v>1974</v>
      </c>
      <c r="B1970">
        <v>0.98018197421672304</v>
      </c>
      <c r="C1970">
        <v>0.94893015282676296</v>
      </c>
      <c r="D1970">
        <v>0.87904467898806304</v>
      </c>
      <c r="E1970">
        <v>0.75783169023109298</v>
      </c>
      <c r="F1970">
        <v>0.6173972519905</v>
      </c>
      <c r="G1970">
        <v>0.309784419959234</v>
      </c>
      <c r="H1970">
        <v>0.224811810412889</v>
      </c>
      <c r="I1970">
        <v>0.21379094407045901</v>
      </c>
      <c r="J1970">
        <v>0.166896006749429</v>
      </c>
      <c r="K1970">
        <v>0.21581131142430099</v>
      </c>
      <c r="L1970">
        <v>835.28335531905805</v>
      </c>
      <c r="M1970">
        <v>15.8268224919231</v>
      </c>
      <c r="N1970">
        <v>54.062866485988003</v>
      </c>
      <c r="O1970">
        <v>51.955428432844798</v>
      </c>
      <c r="P1970">
        <v>-6.42119567247732E-2</v>
      </c>
      <c r="Q1970">
        <v>0.15690300437648</v>
      </c>
      <c r="R1970">
        <v>0.98949723188593197</v>
      </c>
      <c r="S1970" t="s">
        <v>5599</v>
      </c>
      <c r="T1970" t="s">
        <v>7256</v>
      </c>
      <c r="U1970" t="s">
        <v>7256</v>
      </c>
      <c r="V1970" t="s">
        <v>7256</v>
      </c>
      <c r="W1970">
        <v>4</v>
      </c>
      <c r="X1970" t="s">
        <v>9226</v>
      </c>
      <c r="Y1970">
        <v>0.53289765873674666</v>
      </c>
      <c r="Z1970" t="str">
        <f>HYPERLINK("Melting_Curves/meltCurve_sp_Q8IZP0_10_ABI1_HUMAN_.pdf", "Melting_Curves/meltCurve_sp_Q8IZP0_10_ABI1_HUMAN_.pdf")</f>
        <v>Melting_Curves/meltCurve_sp_Q8IZP0_10_ABI1_HUMAN_.pdf</v>
      </c>
      <c r="AA1970" t="s">
        <v>12823</v>
      </c>
      <c r="AB1970" t="s">
        <v>16395</v>
      </c>
    </row>
    <row r="1971" spans="1:28" x14ac:dyDescent="0.25">
      <c r="A1971" t="s">
        <v>1975</v>
      </c>
      <c r="B1971">
        <v>0.98018197421672304</v>
      </c>
      <c r="C1971">
        <v>0.84686152210705501</v>
      </c>
      <c r="D1971">
        <v>0.68656523632358701</v>
      </c>
      <c r="E1971">
        <v>0.34011206710202802</v>
      </c>
      <c r="F1971">
        <v>0.17093144803532401</v>
      </c>
      <c r="G1971">
        <v>0.10672358423805201</v>
      </c>
      <c r="H1971">
        <v>7.06377921155565E-2</v>
      </c>
      <c r="I1971">
        <v>4.92382965062119E-2</v>
      </c>
      <c r="J1971">
        <v>6.3113378132903603E-2</v>
      </c>
      <c r="K1971">
        <v>2.6096580354324599E-2</v>
      </c>
      <c r="L1971">
        <v>813.497482257814</v>
      </c>
      <c r="M1971">
        <v>17.053295281767301</v>
      </c>
      <c r="N1971">
        <v>47.939116624858698</v>
      </c>
      <c r="O1971">
        <v>47.061765769750401</v>
      </c>
      <c r="P1971">
        <v>-8.6949759842613702E-2</v>
      </c>
      <c r="Q1971">
        <v>4.0241932397128997E-2</v>
      </c>
      <c r="R1971">
        <v>0.99789770030806701</v>
      </c>
      <c r="S1971" t="s">
        <v>5600</v>
      </c>
      <c r="T1971" t="s">
        <v>7256</v>
      </c>
      <c r="U1971" t="s">
        <v>7256</v>
      </c>
      <c r="V1971" t="s">
        <v>7256</v>
      </c>
      <c r="W1971">
        <v>2</v>
      </c>
      <c r="X1971" t="s">
        <v>9227</v>
      </c>
      <c r="Y1971">
        <v>0.3059474063005419</v>
      </c>
      <c r="Z1971" t="str">
        <f>HYPERLINK("Melting_Curves/meltCurve_sp_Q8IZV5_RDH10_HUMAN_.pdf", "Melting_Curves/meltCurve_sp_Q8IZV5_RDH10_HUMAN_.pdf")</f>
        <v>Melting_Curves/meltCurve_sp_Q8IZV5_RDH10_HUMAN_.pdf</v>
      </c>
      <c r="AA1971" t="s">
        <v>12824</v>
      </c>
      <c r="AB1971" t="s">
        <v>16396</v>
      </c>
    </row>
    <row r="1972" spans="1:28" x14ac:dyDescent="0.25">
      <c r="A1972" t="s">
        <v>1976</v>
      </c>
      <c r="B1972">
        <v>0.98018197421672304</v>
      </c>
      <c r="C1972">
        <v>0.97459878926949695</v>
      </c>
      <c r="D1972">
        <v>0.93519478936427902</v>
      </c>
      <c r="E1972">
        <v>0.76089565821091998</v>
      </c>
      <c r="F1972">
        <v>0.66409331355659795</v>
      </c>
      <c r="G1972">
        <v>0.39259379254357202</v>
      </c>
      <c r="H1972">
        <v>0.14970640670018401</v>
      </c>
      <c r="I1972">
        <v>0.108533750548592</v>
      </c>
      <c r="J1972">
        <v>7.3676042290924407E-2</v>
      </c>
      <c r="K1972">
        <v>6.3440571143317595E-2</v>
      </c>
      <c r="L1972">
        <v>782.23978792689002</v>
      </c>
      <c r="M1972">
        <v>14.2464992278203</v>
      </c>
      <c r="N1972">
        <v>54.907528855868001</v>
      </c>
      <c r="O1972">
        <v>53.859642109943003</v>
      </c>
      <c r="P1972">
        <v>-6.6136071579200706E-2</v>
      </c>
      <c r="Q1972">
        <v>0</v>
      </c>
      <c r="R1972">
        <v>0.99548564337176304</v>
      </c>
      <c r="S1972" t="s">
        <v>5601</v>
      </c>
      <c r="T1972" t="s">
        <v>7256</v>
      </c>
      <c r="U1972" t="s">
        <v>7256</v>
      </c>
      <c r="V1972" t="s">
        <v>7256</v>
      </c>
      <c r="W1972">
        <v>7</v>
      </c>
      <c r="X1972" t="s">
        <v>9228</v>
      </c>
      <c r="Y1972">
        <v>0.51739292049475138</v>
      </c>
      <c r="Z1972" t="str">
        <f>HYPERLINK("Melting_Curves/meltCurve_sp_Q8N0U4_F185A_HUMAN_.pdf", "Melting_Curves/meltCurve_sp_Q8N0U4_F185A_HUMAN_.pdf")</f>
        <v>Melting_Curves/meltCurve_sp_Q8N0U4_F185A_HUMAN_.pdf</v>
      </c>
      <c r="AA1972" t="s">
        <v>12825</v>
      </c>
      <c r="AB1972" t="s">
        <v>16397</v>
      </c>
    </row>
    <row r="1973" spans="1:28" x14ac:dyDescent="0.25">
      <c r="A1973" t="s">
        <v>1977</v>
      </c>
      <c r="B1973">
        <v>0.98018197421672304</v>
      </c>
      <c r="C1973">
        <v>0.93766243356000301</v>
      </c>
      <c r="D1973">
        <v>0.82964904807515705</v>
      </c>
      <c r="E1973">
        <v>0.66414705233264004</v>
      </c>
      <c r="F1973">
        <v>0.58926593130578997</v>
      </c>
      <c r="G1973">
        <v>0.31811496942685702</v>
      </c>
      <c r="H1973">
        <v>0.15415340439654601</v>
      </c>
      <c r="I1973">
        <v>9.6260748091958795E-2</v>
      </c>
      <c r="J1973">
        <v>0.18667614026398399</v>
      </c>
      <c r="K1973">
        <v>8.4611281240080494E-2</v>
      </c>
      <c r="L1973">
        <v>620.24013557668195</v>
      </c>
      <c r="M1973">
        <v>11.690984053307499</v>
      </c>
      <c r="N1973">
        <v>53.350384268670197</v>
      </c>
      <c r="O1973">
        <v>51.571946310642304</v>
      </c>
      <c r="P1973">
        <v>-5.4899209832075802E-2</v>
      </c>
      <c r="Q1973">
        <v>3.1559886595542999E-2</v>
      </c>
      <c r="R1973">
        <v>0.98470842225069599</v>
      </c>
      <c r="S1973" t="s">
        <v>5602</v>
      </c>
      <c r="T1973" t="s">
        <v>7256</v>
      </c>
      <c r="U1973" t="s">
        <v>7256</v>
      </c>
      <c r="V1973" t="s">
        <v>7256</v>
      </c>
      <c r="W1973">
        <v>11</v>
      </c>
      <c r="X1973" t="s">
        <v>9229</v>
      </c>
      <c r="Y1973">
        <v>0.4811746535945326</v>
      </c>
      <c r="Z1973" t="str">
        <f>HYPERLINK("Melting_Curves/meltCurve_sp_Q8N0W3_FUK_HUMAN_.pdf", "Melting_Curves/meltCurve_sp_Q8N0W3_FUK_HUMAN_.pdf")</f>
        <v>Melting_Curves/meltCurve_sp_Q8N0W3_FUK_HUMAN_.pdf</v>
      </c>
      <c r="AA1973" t="s">
        <v>12826</v>
      </c>
      <c r="AB1973" t="s">
        <v>16398</v>
      </c>
    </row>
    <row r="1974" spans="1:28" x14ac:dyDescent="0.25">
      <c r="A1974" t="s">
        <v>1978</v>
      </c>
      <c r="B1974">
        <v>0.98018197421672304</v>
      </c>
      <c r="C1974">
        <v>0.93338397892649505</v>
      </c>
      <c r="D1974">
        <v>0.93335674625724696</v>
      </c>
      <c r="E1974">
        <v>0.81892323729656002</v>
      </c>
      <c r="F1974">
        <v>0.54705628090984004</v>
      </c>
      <c r="G1974">
        <v>0.12222464996197301</v>
      </c>
      <c r="H1974">
        <v>5.2865714690976798E-2</v>
      </c>
      <c r="I1974">
        <v>3.9016396308368798E-2</v>
      </c>
      <c r="J1974">
        <v>4.4404957535645703E-2</v>
      </c>
      <c r="K1974">
        <v>2.95102941572268E-2</v>
      </c>
      <c r="L1974">
        <v>1392.80037628577</v>
      </c>
      <c r="M1974">
        <v>26.262767168083201</v>
      </c>
      <c r="N1974">
        <v>53.134897489477503</v>
      </c>
      <c r="O1974">
        <v>52.728656896083599</v>
      </c>
      <c r="P1974">
        <v>-0.12146967793147299</v>
      </c>
      <c r="Q1974">
        <v>2.4495587318209701E-2</v>
      </c>
      <c r="R1974">
        <v>0.99407281613751297</v>
      </c>
      <c r="S1974" t="s">
        <v>5603</v>
      </c>
      <c r="T1974" t="s">
        <v>7256</v>
      </c>
      <c r="U1974" t="s">
        <v>7256</v>
      </c>
      <c r="V1974" t="s">
        <v>7256</v>
      </c>
      <c r="W1974">
        <v>20</v>
      </c>
      <c r="X1974" t="s">
        <v>9230</v>
      </c>
      <c r="Y1974">
        <v>0.4564809042890785</v>
      </c>
      <c r="Z1974" t="str">
        <f>HYPERLINK("Melting_Curves/meltCurve_sp_Q8N0X4_CLYBL_HUMAN_.pdf", "Melting_Curves/meltCurve_sp_Q8N0X4_CLYBL_HUMAN_.pdf")</f>
        <v>Melting_Curves/meltCurve_sp_Q8N0X4_CLYBL_HUMAN_.pdf</v>
      </c>
      <c r="AA1974" t="s">
        <v>12827</v>
      </c>
      <c r="AB1974" t="s">
        <v>16399</v>
      </c>
    </row>
    <row r="1975" spans="1:28" x14ac:dyDescent="0.25">
      <c r="A1975" t="s">
        <v>1979</v>
      </c>
      <c r="B1975">
        <v>0.98018197421672304</v>
      </c>
      <c r="C1975">
        <v>0.97623695024101098</v>
      </c>
      <c r="D1975">
        <v>0.79646296971376995</v>
      </c>
      <c r="E1975">
        <v>0.66285549791208898</v>
      </c>
      <c r="F1975">
        <v>0.54967699807732995</v>
      </c>
      <c r="G1975">
        <v>0.33809697992820698</v>
      </c>
      <c r="H1975">
        <v>0.25266749569838798</v>
      </c>
      <c r="I1975">
        <v>0.26019899698493099</v>
      </c>
      <c r="J1975">
        <v>0.25737132264615997</v>
      </c>
      <c r="K1975">
        <v>0.281667961615091</v>
      </c>
      <c r="L1975">
        <v>698.40075255588101</v>
      </c>
      <c r="M1975">
        <v>13.7589527083348</v>
      </c>
      <c r="N1975">
        <v>53.073632426129898</v>
      </c>
      <c r="O1975">
        <v>49.723527387010598</v>
      </c>
      <c r="P1975">
        <v>-5.3581518684209399E-2</v>
      </c>
      <c r="Q1975">
        <v>0.22555626219865599</v>
      </c>
      <c r="R1975">
        <v>0.98714691468949201</v>
      </c>
      <c r="S1975" t="s">
        <v>5604</v>
      </c>
      <c r="T1975" t="s">
        <v>7256</v>
      </c>
      <c r="U1975" t="s">
        <v>7256</v>
      </c>
      <c r="V1975" t="s">
        <v>7256</v>
      </c>
      <c r="W1975">
        <v>2</v>
      </c>
      <c r="X1975" t="s">
        <v>9231</v>
      </c>
      <c r="Y1975">
        <v>0.52409406752666954</v>
      </c>
      <c r="Z1975" t="str">
        <f>HYPERLINK("Melting_Curves/meltCurve_sp_Q8N0X7_SPG20_HUMAN_.pdf", "Melting_Curves/meltCurve_sp_Q8N0X7_SPG20_HUMAN_.pdf")</f>
        <v>Melting_Curves/meltCurve_sp_Q8N0X7_SPG20_HUMAN_.pdf</v>
      </c>
      <c r="AA1975" t="s">
        <v>12828</v>
      </c>
      <c r="AB1975" t="s">
        <v>16400</v>
      </c>
    </row>
    <row r="1976" spans="1:28" x14ac:dyDescent="0.25">
      <c r="A1976" t="s">
        <v>1980</v>
      </c>
      <c r="B1976">
        <v>0.98018197421672304</v>
      </c>
      <c r="C1976">
        <v>0.86631253206676395</v>
      </c>
      <c r="D1976">
        <v>0.81881004140687996</v>
      </c>
      <c r="E1976">
        <v>0.80497222691801495</v>
      </c>
      <c r="F1976">
        <v>0.617109678525258</v>
      </c>
      <c r="G1976">
        <v>0.378165241839508</v>
      </c>
      <c r="H1976">
        <v>0.36601711256527297</v>
      </c>
      <c r="I1976">
        <v>0.35855081492593899</v>
      </c>
      <c r="J1976">
        <v>0.37589937124306899</v>
      </c>
      <c r="K1976">
        <v>0.42699088196978202</v>
      </c>
      <c r="L1976">
        <v>657.09401536089899</v>
      </c>
      <c r="M1976">
        <v>12.895013840273901</v>
      </c>
      <c r="N1976">
        <v>55.740193529225898</v>
      </c>
      <c r="O1976">
        <v>49.778385153670897</v>
      </c>
      <c r="P1976">
        <v>-4.3097748438060003E-2</v>
      </c>
      <c r="Q1976">
        <v>0.334643428510636</v>
      </c>
      <c r="R1976">
        <v>0.93637941407092795</v>
      </c>
      <c r="S1976" t="s">
        <v>5605</v>
      </c>
      <c r="T1976" t="s">
        <v>7256</v>
      </c>
      <c r="U1976" t="s">
        <v>7256</v>
      </c>
      <c r="V1976" t="s">
        <v>7256</v>
      </c>
      <c r="W1976">
        <v>1</v>
      </c>
      <c r="X1976" t="s">
        <v>9232</v>
      </c>
      <c r="Y1976">
        <v>0.59722614702259735</v>
      </c>
      <c r="Z1976" t="str">
        <f>HYPERLINK("Melting_Curves/meltCurve_sp_Q8N129_CNPY4_HUMAN_.pdf", "Melting_Curves/meltCurve_sp_Q8N129_CNPY4_HUMAN_.pdf")</f>
        <v>Melting_Curves/meltCurve_sp_Q8N129_CNPY4_HUMAN_.pdf</v>
      </c>
      <c r="AA1976" t="s">
        <v>12829</v>
      </c>
      <c r="AB1976" t="s">
        <v>16401</v>
      </c>
    </row>
    <row r="1977" spans="1:28" x14ac:dyDescent="0.25">
      <c r="A1977" t="s">
        <v>1981</v>
      </c>
      <c r="B1977">
        <v>0.98018197421672304</v>
      </c>
      <c r="C1977">
        <v>0.93163257137395805</v>
      </c>
      <c r="D1977">
        <v>0.91174314904030496</v>
      </c>
      <c r="E1977">
        <v>0.76979256002042096</v>
      </c>
      <c r="F1977">
        <v>0.50801602609450602</v>
      </c>
      <c r="G1977">
        <v>0.26212702270326299</v>
      </c>
      <c r="H1977">
        <v>0.15601950772136799</v>
      </c>
      <c r="I1977">
        <v>0.104671040138617</v>
      </c>
      <c r="J1977">
        <v>8.1029294512413905E-2</v>
      </c>
      <c r="K1977">
        <v>6.4106361118079602E-2</v>
      </c>
      <c r="L1977">
        <v>869.88992413059304</v>
      </c>
      <c r="M1977">
        <v>16.434241255623601</v>
      </c>
      <c r="N1977">
        <v>53.273774915999603</v>
      </c>
      <c r="O1977">
        <v>52.166447638834697</v>
      </c>
      <c r="P1977">
        <v>-7.4818731630427696E-2</v>
      </c>
      <c r="Q1977">
        <v>5.0092659807265801E-2</v>
      </c>
      <c r="R1977">
        <v>0.99687845944311504</v>
      </c>
      <c r="S1977" t="s">
        <v>5606</v>
      </c>
      <c r="T1977" t="s">
        <v>7256</v>
      </c>
      <c r="U1977" t="s">
        <v>7256</v>
      </c>
      <c r="V1977" t="s">
        <v>7256</v>
      </c>
      <c r="W1977">
        <v>21</v>
      </c>
      <c r="X1977" t="s">
        <v>9233</v>
      </c>
      <c r="Y1977">
        <v>0.47750001830023753</v>
      </c>
      <c r="Z1977" t="str">
        <f>HYPERLINK("Melting_Curves/meltCurve_sp_Q8N142_PURA1_HUMAN_.pdf", "Melting_Curves/meltCurve_sp_Q8N142_PURA1_HUMAN_.pdf")</f>
        <v>Melting_Curves/meltCurve_sp_Q8N142_PURA1_HUMAN_.pdf</v>
      </c>
      <c r="AA1977" t="s">
        <v>12830</v>
      </c>
      <c r="AB1977" t="s">
        <v>16402</v>
      </c>
    </row>
    <row r="1978" spans="1:28" x14ac:dyDescent="0.25">
      <c r="A1978" t="s">
        <v>1982</v>
      </c>
      <c r="B1978">
        <v>0.98018197421672304</v>
      </c>
      <c r="C1978">
        <v>0.93397229656606595</v>
      </c>
      <c r="D1978">
        <v>0.87972089016421195</v>
      </c>
      <c r="E1978">
        <v>0.70312719061455398</v>
      </c>
      <c r="F1978">
        <v>0.43421479597729001</v>
      </c>
      <c r="G1978">
        <v>0.187675291198665</v>
      </c>
      <c r="H1978">
        <v>8.2123703714736901E-2</v>
      </c>
      <c r="I1978">
        <v>5.9980474037473697E-2</v>
      </c>
      <c r="J1978">
        <v>6.4676725663279797E-2</v>
      </c>
      <c r="K1978">
        <v>4.5296059433595597E-2</v>
      </c>
      <c r="L1978">
        <v>892.72988571043595</v>
      </c>
      <c r="M1978">
        <v>17.169226983657001</v>
      </c>
      <c r="N1978">
        <v>52.1603578332372</v>
      </c>
      <c r="O1978">
        <v>51.305929667532098</v>
      </c>
      <c r="P1978">
        <v>-8.1462004908232799E-2</v>
      </c>
      <c r="Q1978">
        <v>2.6342770978821001E-2</v>
      </c>
      <c r="R1978">
        <v>0.99697838958408003</v>
      </c>
      <c r="S1978" t="s">
        <v>5607</v>
      </c>
      <c r="T1978" t="s">
        <v>7256</v>
      </c>
      <c r="U1978" t="s">
        <v>7256</v>
      </c>
      <c r="V1978" t="s">
        <v>7256</v>
      </c>
      <c r="W1978">
        <v>17</v>
      </c>
      <c r="X1978" t="s">
        <v>9234</v>
      </c>
      <c r="Y1978">
        <v>0.43321969461759502</v>
      </c>
      <c r="Z1978" t="str">
        <f>HYPERLINK("Melting_Curves/meltCurve_sp_Q8N163_K1967_HUMAN_.pdf", "Melting_Curves/meltCurve_sp_Q8N163_K1967_HUMAN_.pdf")</f>
        <v>Melting_Curves/meltCurve_sp_Q8N163_K1967_HUMAN_.pdf</v>
      </c>
      <c r="AA1978" t="s">
        <v>12831</v>
      </c>
      <c r="AB1978" t="s">
        <v>16403</v>
      </c>
    </row>
    <row r="1979" spans="1:28" x14ac:dyDescent="0.25">
      <c r="A1979" t="s">
        <v>1983</v>
      </c>
      <c r="B1979">
        <v>0.98018197421672304</v>
      </c>
      <c r="C1979">
        <v>0.91669576790579699</v>
      </c>
      <c r="D1979">
        <v>0.83340474776185502</v>
      </c>
      <c r="E1979">
        <v>0.57249071174396604</v>
      </c>
      <c r="F1979">
        <v>0.23728228908796201</v>
      </c>
      <c r="G1979">
        <v>0.160470674810585</v>
      </c>
      <c r="H1979">
        <v>0.12624295527409901</v>
      </c>
      <c r="I1979">
        <v>8.4881214274501404E-2</v>
      </c>
      <c r="J1979">
        <v>9.0862517387866201E-2</v>
      </c>
      <c r="K1979">
        <v>5.4215518608605698E-2</v>
      </c>
      <c r="L1979">
        <v>942.50960309084803</v>
      </c>
      <c r="M1979">
        <v>18.913116935220199</v>
      </c>
      <c r="N1979">
        <v>50.246401721716602</v>
      </c>
      <c r="O1979">
        <v>49.286549870514797</v>
      </c>
      <c r="P1979">
        <v>-8.9035777670701005E-2</v>
      </c>
      <c r="Q1979">
        <v>7.1948036211448907E-2</v>
      </c>
      <c r="R1979">
        <v>0.99253444546468395</v>
      </c>
      <c r="S1979" t="s">
        <v>5608</v>
      </c>
      <c r="T1979" t="s">
        <v>7256</v>
      </c>
      <c r="U1979" t="s">
        <v>7256</v>
      </c>
      <c r="V1979" t="s">
        <v>7256</v>
      </c>
      <c r="W1979">
        <v>3</v>
      </c>
      <c r="X1979" t="s">
        <v>9235</v>
      </c>
      <c r="Y1979">
        <v>0.39057134890694151</v>
      </c>
      <c r="Z1979" t="str">
        <f>HYPERLINK("Melting_Curves/meltCurve_sp_Q8N1B4_VPS52_HUMAN_.pdf", "Melting_Curves/meltCurve_sp_Q8N1B4_VPS52_HUMAN_.pdf")</f>
        <v>Melting_Curves/meltCurve_sp_Q8N1B4_VPS52_HUMAN_.pdf</v>
      </c>
      <c r="AA1979" t="s">
        <v>12832</v>
      </c>
      <c r="AB1979" t="s">
        <v>16404</v>
      </c>
    </row>
    <row r="1980" spans="1:28" x14ac:dyDescent="0.25">
      <c r="A1980" t="s">
        <v>1984</v>
      </c>
      <c r="B1980">
        <v>0.98018197421672304</v>
      </c>
      <c r="C1980">
        <v>1.04398956974405</v>
      </c>
      <c r="D1980">
        <v>0.90085738319055397</v>
      </c>
      <c r="E1980">
        <v>0.40616188065782799</v>
      </c>
      <c r="F1980">
        <v>0.15930249095517399</v>
      </c>
      <c r="G1980">
        <v>0.13678833732845599</v>
      </c>
      <c r="H1980">
        <v>7.49011877085419E-2</v>
      </c>
      <c r="I1980">
        <v>4.3587968879603603E-2</v>
      </c>
      <c r="J1980">
        <v>8.3925496875846495E-2</v>
      </c>
      <c r="K1980">
        <v>4.0362425833166897E-2</v>
      </c>
      <c r="L1980">
        <v>1539.1272602880399</v>
      </c>
      <c r="M1980">
        <v>31.332651687581102</v>
      </c>
      <c r="N1980">
        <v>49.3688917585553</v>
      </c>
      <c r="O1980">
        <v>48.923355858327298</v>
      </c>
      <c r="P1980">
        <v>-0.14850804496247</v>
      </c>
      <c r="Q1980">
        <v>7.2472745152450294E-2</v>
      </c>
      <c r="R1980">
        <v>0.994934126782268</v>
      </c>
      <c r="S1980" t="s">
        <v>5609</v>
      </c>
      <c r="T1980" t="s">
        <v>7256</v>
      </c>
      <c r="U1980" t="s">
        <v>7256</v>
      </c>
      <c r="V1980" t="s">
        <v>7256</v>
      </c>
      <c r="W1980">
        <v>1</v>
      </c>
      <c r="X1980" t="s">
        <v>9236</v>
      </c>
      <c r="Y1980">
        <v>0.35968559502990333</v>
      </c>
      <c r="Z1980" t="str">
        <f>HYPERLINK("Melting_Curves/meltCurve_sp_Q8N1F7_NUP93_HUMAN_.pdf", "Melting_Curves/meltCurve_sp_Q8N1F7_NUP93_HUMAN_.pdf")</f>
        <v>Melting_Curves/meltCurve_sp_Q8N1F7_NUP93_HUMAN_.pdf</v>
      </c>
      <c r="AA1980" t="s">
        <v>12833</v>
      </c>
      <c r="AB1980" t="s">
        <v>16405</v>
      </c>
    </row>
    <row r="1981" spans="1:28" x14ac:dyDescent="0.25">
      <c r="A1981" t="s">
        <v>1985</v>
      </c>
      <c r="B1981">
        <v>0.98018197421672304</v>
      </c>
      <c r="C1981">
        <v>0.84909251851263601</v>
      </c>
      <c r="D1981">
        <v>0.73861179525197496</v>
      </c>
      <c r="E1981">
        <v>0.518572424128668</v>
      </c>
      <c r="F1981">
        <v>0.27442068571726402</v>
      </c>
      <c r="G1981">
        <v>0.18807244372939899</v>
      </c>
      <c r="H1981">
        <v>0.11184185952895</v>
      </c>
      <c r="I1981">
        <v>3.2556326351350903E-2</v>
      </c>
      <c r="J1981">
        <v>4.0736084658569802E-2</v>
      </c>
      <c r="K1981">
        <v>3.0609802839773301E-2</v>
      </c>
      <c r="L1981">
        <v>620.31066423013499</v>
      </c>
      <c r="M1981">
        <v>12.463923724529</v>
      </c>
      <c r="N1981">
        <v>49.768490016295502</v>
      </c>
      <c r="O1981">
        <v>48.539416872416197</v>
      </c>
      <c r="P1981">
        <v>-6.4208183851086495E-2</v>
      </c>
      <c r="Q1981">
        <v>0</v>
      </c>
      <c r="R1981">
        <v>0.99492332309548603</v>
      </c>
      <c r="S1981" t="s">
        <v>5610</v>
      </c>
      <c r="T1981" t="s">
        <v>7256</v>
      </c>
      <c r="U1981" t="s">
        <v>7256</v>
      </c>
      <c r="V1981" t="s">
        <v>7256</v>
      </c>
      <c r="W1981">
        <v>3</v>
      </c>
      <c r="X1981" t="s">
        <v>9237</v>
      </c>
      <c r="Y1981">
        <v>0.35863099254686992</v>
      </c>
      <c r="Z1981" t="str">
        <f>HYPERLINK("Melting_Curves/meltCurve_sp_Q8N1G2_MTR1_HUMAN_.pdf", "Melting_Curves/meltCurve_sp_Q8N1G2_MTR1_HUMAN_.pdf")</f>
        <v>Melting_Curves/meltCurve_sp_Q8N1G2_MTR1_HUMAN_.pdf</v>
      </c>
      <c r="AA1981" t="s">
        <v>12834</v>
      </c>
      <c r="AB1981" t="s">
        <v>16406</v>
      </c>
    </row>
    <row r="1982" spans="1:28" x14ac:dyDescent="0.25">
      <c r="A1982" t="s">
        <v>1986</v>
      </c>
      <c r="B1982">
        <v>0.98018197421672304</v>
      </c>
      <c r="C1982">
        <v>0.98932029721950598</v>
      </c>
      <c r="D1982">
        <v>0.91848025737111405</v>
      </c>
      <c r="E1982">
        <v>0.70530852670941502</v>
      </c>
      <c r="F1982">
        <v>0.47474948528590599</v>
      </c>
      <c r="G1982">
        <v>0.19821720240747501</v>
      </c>
      <c r="H1982">
        <v>9.1365007473091994E-2</v>
      </c>
      <c r="I1982">
        <v>6.16744900019311E-2</v>
      </c>
      <c r="J1982">
        <v>8.1342389361974299E-2</v>
      </c>
      <c r="K1982">
        <v>0.23540081620522399</v>
      </c>
      <c r="L1982">
        <v>1126.59506904361</v>
      </c>
      <c r="M1982">
        <v>21.761556268794902</v>
      </c>
      <c r="N1982">
        <v>52.336777660196503</v>
      </c>
      <c r="O1982">
        <v>51.338747289285003</v>
      </c>
      <c r="P1982">
        <v>-9.4847448128585102E-2</v>
      </c>
      <c r="Q1982">
        <v>0.10498392493032201</v>
      </c>
      <c r="R1982">
        <v>0.98190103660097305</v>
      </c>
      <c r="S1982" t="s">
        <v>5611</v>
      </c>
      <c r="T1982" t="s">
        <v>7256</v>
      </c>
      <c r="U1982" t="s">
        <v>7256</v>
      </c>
      <c r="V1982" t="s">
        <v>7256</v>
      </c>
      <c r="W1982">
        <v>13</v>
      </c>
      <c r="X1982" t="s">
        <v>9238</v>
      </c>
      <c r="Y1982">
        <v>0.46674186277182861</v>
      </c>
      <c r="Z1982" t="str">
        <f>HYPERLINK("Melting_Curves/meltCurve_sp_Q8N1G4_LRC47_HUMAN_.pdf", "Melting_Curves/meltCurve_sp_Q8N1G4_LRC47_HUMAN_.pdf")</f>
        <v>Melting_Curves/meltCurve_sp_Q8N1G4_LRC47_HUMAN_.pdf</v>
      </c>
      <c r="AA1982" t="s">
        <v>12835</v>
      </c>
      <c r="AB1982" t="s">
        <v>16407</v>
      </c>
    </row>
    <row r="1983" spans="1:28" x14ac:dyDescent="0.25">
      <c r="A1983" t="s">
        <v>1987</v>
      </c>
      <c r="B1983">
        <v>0.98018197421672304</v>
      </c>
      <c r="C1983">
        <v>1.0389215246650101</v>
      </c>
      <c r="D1983">
        <v>0.87749453735956695</v>
      </c>
      <c r="E1983">
        <v>0.465411003466289</v>
      </c>
      <c r="F1983">
        <v>0.23635772506639299</v>
      </c>
      <c r="G1983">
        <v>0.16054046303479</v>
      </c>
      <c r="H1983">
        <v>0.10502070611488</v>
      </c>
      <c r="I1983">
        <v>7.5213188105835604E-2</v>
      </c>
      <c r="J1983">
        <v>9.2661750596316095E-2</v>
      </c>
      <c r="K1983">
        <v>6.4803765695458496E-2</v>
      </c>
      <c r="L1983">
        <v>1240.53094994875</v>
      </c>
      <c r="M1983">
        <v>25.1065231561867</v>
      </c>
      <c r="N1983">
        <v>49.806208745347199</v>
      </c>
      <c r="O1983">
        <v>49.100429377069602</v>
      </c>
      <c r="P1983">
        <v>-0.116281217876993</v>
      </c>
      <c r="Q1983">
        <v>9.0374709817676604E-2</v>
      </c>
      <c r="R1983">
        <v>0.99552713348258604</v>
      </c>
      <c r="S1983" t="s">
        <v>5612</v>
      </c>
      <c r="T1983" t="s">
        <v>7256</v>
      </c>
      <c r="U1983" t="s">
        <v>7256</v>
      </c>
      <c r="V1983" t="s">
        <v>7256</v>
      </c>
      <c r="W1983">
        <v>2</v>
      </c>
      <c r="X1983" t="s">
        <v>9239</v>
      </c>
      <c r="Y1983">
        <v>0.38373065052022209</v>
      </c>
      <c r="Z1983" t="str">
        <f>HYPERLINK("Melting_Curves/meltCurve_sp_Q8N1I0_DOCK4_HUMAN_.pdf", "Melting_Curves/meltCurve_sp_Q8N1I0_DOCK4_HUMAN_.pdf")</f>
        <v>Melting_Curves/meltCurve_sp_Q8N1I0_DOCK4_HUMAN_.pdf</v>
      </c>
      <c r="AA1983" t="s">
        <v>12836</v>
      </c>
      <c r="AB1983" t="s">
        <v>16408</v>
      </c>
    </row>
    <row r="1984" spans="1:28" x14ac:dyDescent="0.25">
      <c r="A1984" t="s">
        <v>1988</v>
      </c>
      <c r="B1984">
        <v>0.98018197421672304</v>
      </c>
      <c r="C1984">
        <v>0.66745287053268998</v>
      </c>
      <c r="D1984">
        <v>0.86404259452653598</v>
      </c>
      <c r="E1984">
        <v>0.61695722450275603</v>
      </c>
      <c r="F1984">
        <v>0.49590762681996498</v>
      </c>
      <c r="G1984">
        <v>0.29977487356897098</v>
      </c>
      <c r="H1984">
        <v>4.7933270666694003</v>
      </c>
      <c r="I1984">
        <v>0.551370431714168</v>
      </c>
      <c r="J1984">
        <v>3.3195419618723498</v>
      </c>
      <c r="K1984">
        <v>10.0131336195656</v>
      </c>
      <c r="L1984">
        <v>2757.2110536773498</v>
      </c>
      <c r="M1984">
        <v>47.7440320867046</v>
      </c>
      <c r="O1984">
        <v>57.6488149084878</v>
      </c>
      <c r="P1984">
        <v>0.103523552452693</v>
      </c>
      <c r="Q1984">
        <v>1.5</v>
      </c>
      <c r="R1984">
        <v>-3.1510027601333403E-2</v>
      </c>
      <c r="S1984" t="s">
        <v>5613</v>
      </c>
      <c r="T1984" t="s">
        <v>7256</v>
      </c>
      <c r="U1984" t="s">
        <v>7256</v>
      </c>
      <c r="V1984" t="s">
        <v>7256</v>
      </c>
      <c r="W1984">
        <v>4</v>
      </c>
      <c r="X1984" t="s">
        <v>9240</v>
      </c>
      <c r="Y1984">
        <v>1.2027787286445739</v>
      </c>
      <c r="Z1984" t="str">
        <f>HYPERLINK("Melting_Curves/meltCurve_sp_Q8N1N4_K2C78_HUMAN_.pdf", "Melting_Curves/meltCurve_sp_Q8N1N4_K2C78_HUMAN_.pdf")</f>
        <v>Melting_Curves/meltCurve_sp_Q8N1N4_K2C78_HUMAN_.pdf</v>
      </c>
      <c r="AA1984" t="s">
        <v>12837</v>
      </c>
      <c r="AB1984" t="s">
        <v>16409</v>
      </c>
    </row>
    <row r="1985" spans="1:28" x14ac:dyDescent="0.25">
      <c r="A1985" t="s">
        <v>1989</v>
      </c>
      <c r="B1985">
        <v>0.98018197421672304</v>
      </c>
      <c r="C1985">
        <v>0.96186382431155404</v>
      </c>
      <c r="D1985">
        <v>0.79298344178101399</v>
      </c>
      <c r="E1985">
        <v>0.75999835972585505</v>
      </c>
      <c r="F1985">
        <v>0.52440142556779501</v>
      </c>
      <c r="G1985">
        <v>0.169362636522184</v>
      </c>
      <c r="H1985">
        <v>7.6771888556370599E-2</v>
      </c>
      <c r="I1985">
        <v>7.1467791051897697E-2</v>
      </c>
      <c r="J1985">
        <v>0.114329020663742</v>
      </c>
      <c r="K1985">
        <v>4.7362191307439502E-2</v>
      </c>
      <c r="L1985">
        <v>870.75229725959798</v>
      </c>
      <c r="M1985">
        <v>16.581363624818199</v>
      </c>
      <c r="N1985">
        <v>52.700332067420703</v>
      </c>
      <c r="O1985">
        <v>51.767935799893898</v>
      </c>
      <c r="P1985">
        <v>-7.7800091556405299E-2</v>
      </c>
      <c r="Q1985">
        <v>2.8481451648448099E-2</v>
      </c>
      <c r="R1985">
        <v>0.97847202877055595</v>
      </c>
      <c r="S1985" t="s">
        <v>5614</v>
      </c>
      <c r="T1985" t="s">
        <v>7256</v>
      </c>
      <c r="U1985" t="s">
        <v>7256</v>
      </c>
      <c r="V1985" t="s">
        <v>7256</v>
      </c>
      <c r="W1985">
        <v>2</v>
      </c>
      <c r="X1985" t="s">
        <v>9241</v>
      </c>
      <c r="Y1985">
        <v>0.45204496816348883</v>
      </c>
      <c r="Z1985" t="str">
        <f>HYPERLINK("Melting_Curves/meltCurve_sp_Q8N371_KDM8_HUMAN_.pdf", "Melting_Curves/meltCurve_sp_Q8N371_KDM8_HUMAN_.pdf")</f>
        <v>Melting_Curves/meltCurve_sp_Q8N371_KDM8_HUMAN_.pdf</v>
      </c>
      <c r="AA1985" t="s">
        <v>12838</v>
      </c>
      <c r="AB1985" t="s">
        <v>16410</v>
      </c>
    </row>
    <row r="1986" spans="1:28" x14ac:dyDescent="0.25">
      <c r="A1986" t="s">
        <v>1990</v>
      </c>
      <c r="B1986">
        <v>0.98018197421672304</v>
      </c>
      <c r="C1986">
        <v>0.91514633832608605</v>
      </c>
      <c r="D1986">
        <v>0.88490105545779696</v>
      </c>
      <c r="E1986">
        <v>0.82742653398553601</v>
      </c>
      <c r="F1986">
        <v>0.55656312517821904</v>
      </c>
      <c r="G1986">
        <v>0.46431261760092002</v>
      </c>
      <c r="H1986">
        <v>0.43482308348237703</v>
      </c>
      <c r="I1986">
        <v>0.317027394830107</v>
      </c>
      <c r="J1986">
        <v>0.57765944879818498</v>
      </c>
      <c r="K1986">
        <v>0.63100308430312801</v>
      </c>
      <c r="L1986">
        <v>1721.0538101422901</v>
      </c>
      <c r="M1986">
        <v>33.967225664413597</v>
      </c>
      <c r="N1986">
        <v>56.047211145947401</v>
      </c>
      <c r="O1986">
        <v>50.493435711271303</v>
      </c>
      <c r="P1986">
        <v>-8.7316576331429294E-2</v>
      </c>
      <c r="Q1986">
        <v>0.48080599816918401</v>
      </c>
      <c r="R1986">
        <v>0.82941726692507201</v>
      </c>
      <c r="S1986" t="s">
        <v>5615</v>
      </c>
      <c r="T1986" t="s">
        <v>7256</v>
      </c>
      <c r="U1986" t="s">
        <v>7256</v>
      </c>
      <c r="V1986" t="s">
        <v>7256</v>
      </c>
      <c r="W1986">
        <v>2</v>
      </c>
      <c r="X1986" t="s">
        <v>9242</v>
      </c>
      <c r="Y1986">
        <v>0.66796101468736613</v>
      </c>
      <c r="Z1986" t="str">
        <f>HYPERLINK("Melting_Curves/meltCurve_sp_Q8N3D4_EH1L1_HUMAN_.pdf", "Melting_Curves/meltCurve_sp_Q8N3D4_EH1L1_HUMAN_.pdf")</f>
        <v>Melting_Curves/meltCurve_sp_Q8N3D4_EH1L1_HUMAN_.pdf</v>
      </c>
      <c r="AA1986" t="s">
        <v>12839</v>
      </c>
      <c r="AB1986" t="s">
        <v>16411</v>
      </c>
    </row>
    <row r="1987" spans="1:28" x14ac:dyDescent="0.25">
      <c r="A1987" t="s">
        <v>1991</v>
      </c>
      <c r="B1987">
        <v>0.98018197421672304</v>
      </c>
      <c r="C1987">
        <v>1.0062354210143101</v>
      </c>
      <c r="D1987">
        <v>0.89282558436347303</v>
      </c>
      <c r="E1987">
        <v>0.72985015766555095</v>
      </c>
      <c r="F1987">
        <v>0.53493057523708698</v>
      </c>
      <c r="G1987">
        <v>0.33161572159935998</v>
      </c>
      <c r="H1987">
        <v>0.230226823833277</v>
      </c>
      <c r="I1987">
        <v>0.29090770115992998</v>
      </c>
      <c r="J1987">
        <v>0.449757738698221</v>
      </c>
      <c r="K1987">
        <v>0.44322755284015702</v>
      </c>
      <c r="L1987">
        <v>1244.3450176098499</v>
      </c>
      <c r="M1987">
        <v>24.6035852175192</v>
      </c>
      <c r="N1987">
        <v>53.088674836348503</v>
      </c>
      <c r="O1987">
        <v>50.245195078731598</v>
      </c>
      <c r="P1987">
        <v>-8.0310129254374807E-2</v>
      </c>
      <c r="Q1987">
        <v>0.34397523649525902</v>
      </c>
      <c r="R1987">
        <v>0.93968107154506797</v>
      </c>
      <c r="S1987" t="s">
        <v>5616</v>
      </c>
      <c r="T1987" t="s">
        <v>7256</v>
      </c>
      <c r="U1987" t="s">
        <v>7256</v>
      </c>
      <c r="V1987" t="s">
        <v>7256</v>
      </c>
      <c r="W1987">
        <v>9</v>
      </c>
      <c r="X1987" t="s">
        <v>9243</v>
      </c>
      <c r="Y1987">
        <v>0.58132975254426134</v>
      </c>
      <c r="Z1987" t="str">
        <f>HYPERLINK("Melting_Curves/meltCurve_sp_Q8N3V7_2_SYNPO_HUMAN_.pdf", "Melting_Curves/meltCurve_sp_Q8N3V7_2_SYNPO_HUMAN_.pdf")</f>
        <v>Melting_Curves/meltCurve_sp_Q8N3V7_2_SYNPO_HUMAN_.pdf</v>
      </c>
      <c r="AA1987" t="s">
        <v>12840</v>
      </c>
      <c r="AB1987" t="s">
        <v>16412</v>
      </c>
    </row>
    <row r="1988" spans="1:28" x14ac:dyDescent="0.25">
      <c r="A1988" t="s">
        <v>1992</v>
      </c>
      <c r="B1988">
        <v>0.98018197421672304</v>
      </c>
      <c r="C1988">
        <v>0.98728714415279295</v>
      </c>
      <c r="D1988">
        <v>0.89137245246895103</v>
      </c>
      <c r="E1988">
        <v>0.79727714938977601</v>
      </c>
      <c r="F1988">
        <v>0.67993077115568201</v>
      </c>
      <c r="G1988">
        <v>0.45948190241221198</v>
      </c>
      <c r="H1988">
        <v>0.16939834042747201</v>
      </c>
      <c r="I1988">
        <v>9.1673766743409102E-2</v>
      </c>
      <c r="J1988">
        <v>6.6912578608866805E-2</v>
      </c>
      <c r="K1988">
        <v>4.95151353697868E-2</v>
      </c>
      <c r="L1988">
        <v>800.87876406413102</v>
      </c>
      <c r="M1988">
        <v>14.448681826549899</v>
      </c>
      <c r="N1988">
        <v>55.429191832660202</v>
      </c>
      <c r="O1988">
        <v>54.399864102757903</v>
      </c>
      <c r="P1988">
        <v>-6.6408125637578294E-2</v>
      </c>
      <c r="Q1988">
        <v>0</v>
      </c>
      <c r="R1988">
        <v>0.99185510417081901</v>
      </c>
      <c r="S1988" t="s">
        <v>5617</v>
      </c>
      <c r="T1988" t="s">
        <v>7256</v>
      </c>
      <c r="U1988" t="s">
        <v>7256</v>
      </c>
      <c r="V1988" t="s">
        <v>7256</v>
      </c>
      <c r="W1988">
        <v>8</v>
      </c>
      <c r="X1988" t="s">
        <v>9244</v>
      </c>
      <c r="Y1988">
        <v>0.53364068338035153</v>
      </c>
      <c r="Z1988" t="str">
        <f>HYPERLINK("Melting_Curves/meltCurve_sp_Q8N465_D2HDH_HUMAN_.pdf", "Melting_Curves/meltCurve_sp_Q8N465_D2HDH_HUMAN_.pdf")</f>
        <v>Melting_Curves/meltCurve_sp_Q8N465_D2HDH_HUMAN_.pdf</v>
      </c>
      <c r="AA1988" t="s">
        <v>12841</v>
      </c>
      <c r="AB1988" t="s">
        <v>16413</v>
      </c>
    </row>
    <row r="1989" spans="1:28" x14ac:dyDescent="0.25">
      <c r="A1989" t="s">
        <v>1993</v>
      </c>
      <c r="B1989">
        <v>0.98018197421672304</v>
      </c>
      <c r="C1989">
        <v>0.94536312005282497</v>
      </c>
      <c r="D1989">
        <v>0.75602882198018195</v>
      </c>
      <c r="E1989">
        <v>0.51899662859390905</v>
      </c>
      <c r="F1989">
        <v>0.30066843368624302</v>
      </c>
      <c r="G1989">
        <v>0.124548904925219</v>
      </c>
      <c r="H1989">
        <v>9.7891407211839296E-2</v>
      </c>
      <c r="I1989">
        <v>7.3231429617879498E-2</v>
      </c>
      <c r="J1989">
        <v>6.1657989902886803E-2</v>
      </c>
      <c r="K1989">
        <v>7.1133110178724604E-2</v>
      </c>
      <c r="L1989">
        <v>793.38280442179803</v>
      </c>
      <c r="M1989">
        <v>15.998602419235199</v>
      </c>
      <c r="N1989">
        <v>49.9068738196693</v>
      </c>
      <c r="O1989">
        <v>48.835364864385298</v>
      </c>
      <c r="P1989">
        <v>-7.7960358986068901E-2</v>
      </c>
      <c r="Q1989">
        <v>4.8185891368708399E-2</v>
      </c>
      <c r="R1989">
        <v>0.99758524456628495</v>
      </c>
      <c r="S1989" t="s">
        <v>5618</v>
      </c>
      <c r="T1989" t="s">
        <v>7256</v>
      </c>
      <c r="U1989" t="s">
        <v>7256</v>
      </c>
      <c r="V1989" t="s">
        <v>7256</v>
      </c>
      <c r="W1989">
        <v>2</v>
      </c>
      <c r="X1989" t="s">
        <v>9245</v>
      </c>
      <c r="Y1989">
        <v>0.37290340815017597</v>
      </c>
      <c r="Z1989" t="str">
        <f>HYPERLINK("Melting_Curves/meltCurve_sp_Q8N490_4_PNKD_HUMAN_.pdf", "Melting_Curves/meltCurve_sp_Q8N490_4_PNKD_HUMAN_.pdf")</f>
        <v>Melting_Curves/meltCurve_sp_Q8N490_4_PNKD_HUMAN_.pdf</v>
      </c>
      <c r="AA1989" t="s">
        <v>12842</v>
      </c>
      <c r="AB1989" t="s">
        <v>16414</v>
      </c>
    </row>
    <row r="1990" spans="1:28" x14ac:dyDescent="0.25">
      <c r="A1990" t="s">
        <v>1994</v>
      </c>
      <c r="B1990">
        <v>0.98018197421672304</v>
      </c>
      <c r="C1990">
        <v>1.2388894014665901</v>
      </c>
      <c r="D1990">
        <v>1.0946603114492</v>
      </c>
      <c r="E1990">
        <v>0.62034829913251399</v>
      </c>
      <c r="F1990">
        <v>0.53441097005298899</v>
      </c>
      <c r="G1990">
        <v>0.53075285310807097</v>
      </c>
      <c r="H1990">
        <v>0.39609559232209701</v>
      </c>
      <c r="I1990">
        <v>0.33614137450617099</v>
      </c>
      <c r="J1990">
        <v>0.46755803896048798</v>
      </c>
      <c r="K1990">
        <v>0.74469335616797006</v>
      </c>
      <c r="L1990">
        <v>6284.8148276678403</v>
      </c>
      <c r="M1990">
        <v>126.857518284318</v>
      </c>
      <c r="O1990">
        <v>49.530002265289198</v>
      </c>
      <c r="P1990">
        <v>-0.31914316139211502</v>
      </c>
      <c r="Q1990">
        <v>0.50157746066118203</v>
      </c>
      <c r="R1990">
        <v>0.80737735376887498</v>
      </c>
      <c r="S1990" t="s">
        <v>5619</v>
      </c>
      <c r="T1990" t="s">
        <v>7256</v>
      </c>
      <c r="U1990" t="s">
        <v>7256</v>
      </c>
      <c r="V1990" t="s">
        <v>7256</v>
      </c>
      <c r="W1990">
        <v>2</v>
      </c>
      <c r="X1990" t="s">
        <v>9246</v>
      </c>
      <c r="Y1990">
        <v>0.66028266173924455</v>
      </c>
      <c r="Z1990" t="str">
        <f>HYPERLINK("Melting_Curves/meltCurve_sp_Q8N4C8_2_MINK1_HUMAN_.pdf", "Melting_Curves/meltCurve_sp_Q8N4C8_2_MINK1_HUMAN_.pdf")</f>
        <v>Melting_Curves/meltCurve_sp_Q8N4C8_2_MINK1_HUMAN_.pdf</v>
      </c>
      <c r="AA1990" t="s">
        <v>12843</v>
      </c>
      <c r="AB1990" t="s">
        <v>16415</v>
      </c>
    </row>
    <row r="1991" spans="1:28" x14ac:dyDescent="0.25">
      <c r="A1991" t="s">
        <v>1995</v>
      </c>
      <c r="B1991">
        <v>0.98018197421672304</v>
      </c>
      <c r="C1991">
        <v>0.94135666621641401</v>
      </c>
      <c r="D1991">
        <v>0.94551949289561898</v>
      </c>
      <c r="E1991">
        <v>0.74407130309354996</v>
      </c>
      <c r="F1991">
        <v>0.53422625057731399</v>
      </c>
      <c r="G1991">
        <v>0.30368399532019502</v>
      </c>
      <c r="H1991">
        <v>0.171140618179313</v>
      </c>
      <c r="I1991">
        <v>0.13763202434258601</v>
      </c>
      <c r="J1991">
        <v>0.16063168794702001</v>
      </c>
      <c r="K1991">
        <v>7.4988875804808397E-2</v>
      </c>
      <c r="L1991">
        <v>863.23245092653406</v>
      </c>
      <c r="M1991">
        <v>16.327981427864302</v>
      </c>
      <c r="N1991">
        <v>53.514450170591701</v>
      </c>
      <c r="O1991">
        <v>52.094356778537403</v>
      </c>
      <c r="P1991">
        <v>-7.1352448896773196E-2</v>
      </c>
      <c r="Q1991">
        <v>8.9467182047299004E-2</v>
      </c>
      <c r="R1991">
        <v>0.99602774201294797</v>
      </c>
      <c r="S1991" t="s">
        <v>5620</v>
      </c>
      <c r="T1991" t="s">
        <v>7256</v>
      </c>
      <c r="U1991" t="s">
        <v>7256</v>
      </c>
      <c r="V1991" t="s">
        <v>7256</v>
      </c>
      <c r="W1991">
        <v>1</v>
      </c>
      <c r="X1991" t="s">
        <v>9247</v>
      </c>
      <c r="Y1991">
        <v>0.49743961908109402</v>
      </c>
      <c r="Z1991" t="str">
        <f>HYPERLINK("Melting_Curves/meltCurve_sp_Q8N4J0_CI041_HUMAN_.pdf", "Melting_Curves/meltCurve_sp_Q8N4J0_CI041_HUMAN_.pdf")</f>
        <v>Melting_Curves/meltCurve_sp_Q8N4J0_CI041_HUMAN_.pdf</v>
      </c>
      <c r="AA1991" t="s">
        <v>12844</v>
      </c>
      <c r="AB1991" t="s">
        <v>16416</v>
      </c>
    </row>
    <row r="1992" spans="1:28" x14ac:dyDescent="0.25">
      <c r="A1992" t="s">
        <v>1996</v>
      </c>
      <c r="B1992">
        <v>0.98018197421672304</v>
      </c>
      <c r="C1992">
        <v>0.885698002454825</v>
      </c>
      <c r="D1992">
        <v>0.85555097386827805</v>
      </c>
      <c r="E1992">
        <v>0.68289181941926402</v>
      </c>
      <c r="F1992">
        <v>0.56293526683806006</v>
      </c>
      <c r="G1992">
        <v>0.33350086491563002</v>
      </c>
      <c r="H1992">
        <v>0.14993887639150799</v>
      </c>
      <c r="I1992">
        <v>0.11384366475282399</v>
      </c>
      <c r="J1992">
        <v>0.101813961866544</v>
      </c>
      <c r="K1992">
        <v>9.84482299740322E-2</v>
      </c>
      <c r="L1992">
        <v>599.09246029292296</v>
      </c>
      <c r="M1992">
        <v>11.215988808472201</v>
      </c>
      <c r="N1992">
        <v>53.414144667291403</v>
      </c>
      <c r="O1992">
        <v>51.800588843017898</v>
      </c>
      <c r="P1992">
        <v>-5.4147548890642702E-2</v>
      </c>
      <c r="Q1992">
        <v>0</v>
      </c>
      <c r="R1992">
        <v>0.99253641137886195</v>
      </c>
      <c r="S1992" t="s">
        <v>5621</v>
      </c>
      <c r="T1992" t="s">
        <v>7256</v>
      </c>
      <c r="U1992" t="s">
        <v>7256</v>
      </c>
      <c r="V1992" t="s">
        <v>7256</v>
      </c>
      <c r="W1992">
        <v>7</v>
      </c>
      <c r="X1992" t="s">
        <v>9248</v>
      </c>
      <c r="Y1992">
        <v>0.47658534198482932</v>
      </c>
      <c r="Z1992" t="str">
        <f>HYPERLINK("Melting_Curves/meltCurve_sp_Q8N4P3_MESH1_HUMAN_.pdf", "Melting_Curves/meltCurve_sp_Q8N4P3_MESH1_HUMAN_.pdf")</f>
        <v>Melting_Curves/meltCurve_sp_Q8N4P3_MESH1_HUMAN_.pdf</v>
      </c>
      <c r="AA1992" t="s">
        <v>12845</v>
      </c>
      <c r="AB1992" t="s">
        <v>16417</v>
      </c>
    </row>
    <row r="1993" spans="1:28" x14ac:dyDescent="0.25">
      <c r="A1993" t="s">
        <v>1997</v>
      </c>
      <c r="B1993">
        <v>0.98018197421672304</v>
      </c>
      <c r="C1993">
        <v>0.90264306608697598</v>
      </c>
      <c r="D1993">
        <v>0.82438852174556199</v>
      </c>
      <c r="E1993">
        <v>0.40943395535646898</v>
      </c>
      <c r="F1993">
        <v>0.197941986257991</v>
      </c>
      <c r="G1993">
        <v>0.14026949240857201</v>
      </c>
      <c r="H1993">
        <v>9.1935595739092102E-2</v>
      </c>
      <c r="I1993">
        <v>7.4960988610860105E-2</v>
      </c>
      <c r="J1993">
        <v>6.6293959560096399E-2</v>
      </c>
      <c r="K1993">
        <v>4.1043279876488897E-2</v>
      </c>
      <c r="L1993">
        <v>1010.23989310044</v>
      </c>
      <c r="M1993">
        <v>20.705149869690299</v>
      </c>
      <c r="N1993">
        <v>49.122009985566699</v>
      </c>
      <c r="O1993">
        <v>48.343427894305897</v>
      </c>
      <c r="P1993">
        <v>-0.100118364743659</v>
      </c>
      <c r="Q1993">
        <v>6.4980940610108201E-2</v>
      </c>
      <c r="R1993">
        <v>0.99591663830975896</v>
      </c>
      <c r="S1993" t="s">
        <v>5622</v>
      </c>
      <c r="T1993" t="s">
        <v>7256</v>
      </c>
      <c r="U1993" t="s">
        <v>7256</v>
      </c>
      <c r="V1993" t="s">
        <v>7256</v>
      </c>
      <c r="W1993">
        <v>9</v>
      </c>
      <c r="X1993" t="s">
        <v>9249</v>
      </c>
      <c r="Y1993">
        <v>0.35121852833137002</v>
      </c>
      <c r="Z1993" t="str">
        <f>HYPERLINK("Melting_Curves/meltCurve_sp_Q8N4Q0_ZADH2_HUMAN_.pdf", "Melting_Curves/meltCurve_sp_Q8N4Q0_ZADH2_HUMAN_.pdf")</f>
        <v>Melting_Curves/meltCurve_sp_Q8N4Q0_ZADH2_HUMAN_.pdf</v>
      </c>
      <c r="AA1993" t="s">
        <v>12846</v>
      </c>
      <c r="AB1993" t="s">
        <v>16418</v>
      </c>
    </row>
    <row r="1994" spans="1:28" x14ac:dyDescent="0.25">
      <c r="A1994" t="s">
        <v>1998</v>
      </c>
      <c r="B1994">
        <v>0.98018197421672304</v>
      </c>
      <c r="C1994">
        <v>0.82978632920512296</v>
      </c>
      <c r="D1994">
        <v>0.92166333584999605</v>
      </c>
      <c r="E1994">
        <v>0.70816081443127499</v>
      </c>
      <c r="F1994">
        <v>0.77859155723732898</v>
      </c>
      <c r="G1994">
        <v>0.69222876805949096</v>
      </c>
      <c r="H1994">
        <v>0.59757442932732097</v>
      </c>
      <c r="I1994">
        <v>0.57888131986188596</v>
      </c>
      <c r="J1994">
        <v>0.61685680741661797</v>
      </c>
      <c r="K1994">
        <v>0.45838333542850501</v>
      </c>
      <c r="L1994">
        <v>253.57594019728799</v>
      </c>
      <c r="M1994">
        <v>3.9476485234015901</v>
      </c>
      <c r="O1994">
        <v>52.511938246210697</v>
      </c>
      <c r="P1994">
        <v>-1.60914748799941E-2</v>
      </c>
      <c r="Q1994">
        <v>0.15512747323554699</v>
      </c>
      <c r="R1994">
        <v>0.88005979924668698</v>
      </c>
      <c r="S1994" t="s">
        <v>5623</v>
      </c>
      <c r="T1994" t="s">
        <v>7256</v>
      </c>
      <c r="U1994" t="s">
        <v>7256</v>
      </c>
      <c r="V1994" t="s">
        <v>7256</v>
      </c>
      <c r="W1994">
        <v>1</v>
      </c>
      <c r="X1994" t="s">
        <v>9250</v>
      </c>
      <c r="Y1994">
        <v>0.71613009271409456</v>
      </c>
      <c r="Z1994" t="str">
        <f>HYPERLINK("Melting_Curves/meltCurve_sp_Q8N4Q1_MIA40_HUMAN_.pdf", "Melting_Curves/meltCurve_sp_Q8N4Q1_MIA40_HUMAN_.pdf")</f>
        <v>Melting_Curves/meltCurve_sp_Q8N4Q1_MIA40_HUMAN_.pdf</v>
      </c>
      <c r="AA1994" t="s">
        <v>12847</v>
      </c>
      <c r="AB1994" t="s">
        <v>16419</v>
      </c>
    </row>
    <row r="1995" spans="1:28" x14ac:dyDescent="0.25">
      <c r="A1995" t="s">
        <v>1999</v>
      </c>
      <c r="B1995">
        <v>0.98018197421672304</v>
      </c>
      <c r="C1995">
        <v>1.0334716258701699</v>
      </c>
      <c r="D1995">
        <v>0.94930436461017897</v>
      </c>
      <c r="E1995">
        <v>0.82422385222523098</v>
      </c>
      <c r="F1995">
        <v>0.73988420698405499</v>
      </c>
      <c r="G1995">
        <v>0.65729976995864603</v>
      </c>
      <c r="H1995">
        <v>0.51526793067782295</v>
      </c>
      <c r="I1995">
        <v>0.47973199461813298</v>
      </c>
      <c r="J1995">
        <v>0.36924935285277699</v>
      </c>
      <c r="K1995">
        <v>0.25250978523006201</v>
      </c>
      <c r="L1995">
        <v>464.217968243884</v>
      </c>
      <c r="M1995">
        <v>7.5212963368742001</v>
      </c>
      <c r="N1995">
        <v>61.720472779918701</v>
      </c>
      <c r="O1995">
        <v>57.809579443809497</v>
      </c>
      <c r="P1995">
        <v>-3.2572445142715602E-2</v>
      </c>
      <c r="Q1995">
        <v>0</v>
      </c>
      <c r="R1995">
        <v>0.98299920626741799</v>
      </c>
      <c r="S1995" t="s">
        <v>5624</v>
      </c>
      <c r="T1995" t="s">
        <v>7256</v>
      </c>
      <c r="U1995" t="s">
        <v>7256</v>
      </c>
      <c r="V1995" t="s">
        <v>7256</v>
      </c>
      <c r="W1995">
        <v>11</v>
      </c>
      <c r="X1995" t="s">
        <v>9251</v>
      </c>
      <c r="Y1995">
        <v>0.68571706377960173</v>
      </c>
      <c r="Z1995" t="str">
        <f>HYPERLINK("Melting_Curves/meltCurve_sp_Q8N4T8_CBR4_HUMAN_.pdf", "Melting_Curves/meltCurve_sp_Q8N4T8_CBR4_HUMAN_.pdf")</f>
        <v>Melting_Curves/meltCurve_sp_Q8N4T8_CBR4_HUMAN_.pdf</v>
      </c>
      <c r="AA1995" t="s">
        <v>12848</v>
      </c>
      <c r="AB1995" t="s">
        <v>16420</v>
      </c>
    </row>
    <row r="1996" spans="1:28" x14ac:dyDescent="0.25">
      <c r="A1996" t="s">
        <v>2000</v>
      </c>
      <c r="B1996">
        <v>0.98018197421672304</v>
      </c>
      <c r="C1996">
        <v>0.87972246241303598</v>
      </c>
      <c r="D1996">
        <v>0.85426616793471299</v>
      </c>
      <c r="E1996">
        <v>0.68721756272332901</v>
      </c>
      <c r="F1996">
        <v>0.60584962787121999</v>
      </c>
      <c r="G1996">
        <v>0.47622394247730399</v>
      </c>
      <c r="H1996">
        <v>0.31920922841167698</v>
      </c>
      <c r="I1996">
        <v>0.26035421902439998</v>
      </c>
      <c r="J1996">
        <v>0.27216386780096202</v>
      </c>
      <c r="K1996">
        <v>0.40722986342961998</v>
      </c>
      <c r="L1996">
        <v>580.45527546149106</v>
      </c>
      <c r="M1996">
        <v>11.2712267537757</v>
      </c>
      <c r="N1996">
        <v>55.079606517212802</v>
      </c>
      <c r="O1996">
        <v>49.957620231402998</v>
      </c>
      <c r="P1996">
        <v>-4.1768286006685397E-2</v>
      </c>
      <c r="Q1996">
        <v>0.25970668496906302</v>
      </c>
      <c r="R1996">
        <v>0.95875413441048096</v>
      </c>
      <c r="S1996" t="s">
        <v>5625</v>
      </c>
      <c r="T1996" t="s">
        <v>7256</v>
      </c>
      <c r="U1996" t="s">
        <v>7256</v>
      </c>
      <c r="V1996" t="s">
        <v>7256</v>
      </c>
      <c r="W1996">
        <v>4</v>
      </c>
      <c r="X1996" t="s">
        <v>9252</v>
      </c>
      <c r="Y1996">
        <v>0.56889273845627519</v>
      </c>
      <c r="Z1996" t="str">
        <f>HYPERLINK("Melting_Curves/meltCurve_sp_Q8N573_2_OXR1_HUMAN_.pdf", "Melting_Curves/meltCurve_sp_Q8N573_2_OXR1_HUMAN_.pdf")</f>
        <v>Melting_Curves/meltCurve_sp_Q8N573_2_OXR1_HUMAN_.pdf</v>
      </c>
      <c r="AA1996" t="s">
        <v>12849</v>
      </c>
      <c r="AB1996" t="s">
        <v>16421</v>
      </c>
    </row>
    <row r="1997" spans="1:28" x14ac:dyDescent="0.25">
      <c r="A1997" t="s">
        <v>2001</v>
      </c>
      <c r="B1997">
        <v>0.98018197421672304</v>
      </c>
      <c r="C1997">
        <v>0.89154760504610797</v>
      </c>
      <c r="D1997">
        <v>0.863651887580133</v>
      </c>
      <c r="E1997">
        <v>0.74669378838495104</v>
      </c>
      <c r="F1997">
        <v>0.64274706341207299</v>
      </c>
      <c r="G1997">
        <v>0.42684144159229598</v>
      </c>
      <c r="H1997">
        <v>0.435258428649962</v>
      </c>
      <c r="I1997">
        <v>0.41143208653406299</v>
      </c>
      <c r="J1997">
        <v>0.56862449550814698</v>
      </c>
      <c r="K1997">
        <v>0.54488533452771104</v>
      </c>
      <c r="L1997">
        <v>782.155676190907</v>
      </c>
      <c r="M1997">
        <v>15.8559289975806</v>
      </c>
      <c r="N1997">
        <v>59.644261344558501</v>
      </c>
      <c r="O1997">
        <v>48.5642757875382</v>
      </c>
      <c r="P1997">
        <v>-4.3444546354378499E-2</v>
      </c>
      <c r="Q1997">
        <v>0.46778741638030102</v>
      </c>
      <c r="R1997">
        <v>0.90075840674393204</v>
      </c>
      <c r="S1997" t="s">
        <v>5626</v>
      </c>
      <c r="T1997" t="s">
        <v>7256</v>
      </c>
      <c r="U1997" t="s">
        <v>7256</v>
      </c>
      <c r="V1997" t="s">
        <v>7256</v>
      </c>
      <c r="W1997">
        <v>4</v>
      </c>
      <c r="X1997" t="s">
        <v>9253</v>
      </c>
      <c r="Y1997">
        <v>0.64498881575641798</v>
      </c>
      <c r="Z1997" t="str">
        <f>HYPERLINK("Melting_Curves/meltCurve_sp_Q8N5G2_MACOI_HUMAN_.pdf", "Melting_Curves/meltCurve_sp_Q8N5G2_MACOI_HUMAN_.pdf")</f>
        <v>Melting_Curves/meltCurve_sp_Q8N5G2_MACOI_HUMAN_.pdf</v>
      </c>
      <c r="AA1997" t="s">
        <v>12850</v>
      </c>
      <c r="AB1997" t="s">
        <v>16422</v>
      </c>
    </row>
    <row r="1998" spans="1:28" x14ac:dyDescent="0.25">
      <c r="A1998" t="s">
        <v>2002</v>
      </c>
      <c r="B1998">
        <v>0.98018197421672304</v>
      </c>
      <c r="C1998">
        <v>0.94703429547297502</v>
      </c>
      <c r="D1998">
        <v>0.93013521279217903</v>
      </c>
      <c r="E1998">
        <v>0.83973447458940198</v>
      </c>
      <c r="F1998">
        <v>0.78212847157703902</v>
      </c>
      <c r="G1998">
        <v>0.62399191981975199</v>
      </c>
      <c r="H1998">
        <v>0.40845619107189601</v>
      </c>
      <c r="I1998">
        <v>0.13849402551067699</v>
      </c>
      <c r="J1998">
        <v>3.99741439064644E-2</v>
      </c>
      <c r="K1998">
        <v>3.3993146380145702E-2</v>
      </c>
      <c r="L1998">
        <v>880.77171946321198</v>
      </c>
      <c r="M1998">
        <v>15.165611987366299</v>
      </c>
      <c r="N1998">
        <v>58.076899497684003</v>
      </c>
      <c r="O1998">
        <v>57.095178989259502</v>
      </c>
      <c r="P1998">
        <v>-6.6411382362462607E-2</v>
      </c>
      <c r="Q1998">
        <v>0</v>
      </c>
      <c r="R1998">
        <v>0.97539459348913804</v>
      </c>
      <c r="S1998" t="s">
        <v>5627</v>
      </c>
      <c r="T1998" t="s">
        <v>7256</v>
      </c>
      <c r="U1998" t="s">
        <v>7256</v>
      </c>
      <c r="V1998" t="s">
        <v>7256</v>
      </c>
      <c r="W1998">
        <v>6</v>
      </c>
      <c r="X1998" t="s">
        <v>9254</v>
      </c>
      <c r="Y1998">
        <v>0.61576637074445262</v>
      </c>
      <c r="Z1998" t="str">
        <f>HYPERLINK("Melting_Curves/meltCurve_sp_Q8N5M1_ATPF2_HUMAN_.pdf", "Melting_Curves/meltCurve_sp_Q8N5M1_ATPF2_HUMAN_.pdf")</f>
        <v>Melting_Curves/meltCurve_sp_Q8N5M1_ATPF2_HUMAN_.pdf</v>
      </c>
      <c r="AA1998" t="s">
        <v>12851</v>
      </c>
      <c r="AB1998" t="s">
        <v>16423</v>
      </c>
    </row>
    <row r="1999" spans="1:28" x14ac:dyDescent="0.25">
      <c r="A1999" t="s">
        <v>2003</v>
      </c>
      <c r="B1999">
        <v>0.98018197421672304</v>
      </c>
      <c r="C1999">
        <v>0.87622643134835898</v>
      </c>
      <c r="D1999">
        <v>0.76035767734349402</v>
      </c>
      <c r="E1999">
        <v>0.48278579963443202</v>
      </c>
      <c r="F1999">
        <v>0.36576387953009498</v>
      </c>
      <c r="G1999">
        <v>0.202318128634803</v>
      </c>
      <c r="H1999">
        <v>0.20027505693189401</v>
      </c>
      <c r="I1999">
        <v>0.16141250286235001</v>
      </c>
      <c r="J1999">
        <v>0.19256236197423299</v>
      </c>
      <c r="K1999">
        <v>0.28211588318627101</v>
      </c>
      <c r="L1999">
        <v>799.61550574837702</v>
      </c>
      <c r="M1999">
        <v>16.582934996487801</v>
      </c>
      <c r="N1999">
        <v>49.666349731501803</v>
      </c>
      <c r="O1999">
        <v>47.534355199846999</v>
      </c>
      <c r="P1999">
        <v>-7.0510396175870904E-2</v>
      </c>
      <c r="Q1999">
        <v>0.191593902056508</v>
      </c>
      <c r="R1999">
        <v>0.98422217836143999</v>
      </c>
      <c r="S1999" t="s">
        <v>5628</v>
      </c>
      <c r="T1999" t="s">
        <v>7256</v>
      </c>
      <c r="U1999" t="s">
        <v>7256</v>
      </c>
      <c r="V1999" t="s">
        <v>7256</v>
      </c>
      <c r="W1999">
        <v>2</v>
      </c>
      <c r="X1999" t="s">
        <v>9255</v>
      </c>
      <c r="Y1999">
        <v>0.42993518122557373</v>
      </c>
      <c r="Z1999" t="str">
        <f>HYPERLINK("Melting_Curves/meltCurve_sp_Q8N5N7_RM50_HUMAN_.pdf", "Melting_Curves/meltCurve_sp_Q8N5N7_RM50_HUMAN_.pdf")</f>
        <v>Melting_Curves/meltCurve_sp_Q8N5N7_RM50_HUMAN_.pdf</v>
      </c>
      <c r="AA1999" t="s">
        <v>12852</v>
      </c>
      <c r="AB1999" t="s">
        <v>16424</v>
      </c>
    </row>
    <row r="2000" spans="1:28" x14ac:dyDescent="0.25">
      <c r="A2000" t="s">
        <v>2004</v>
      </c>
      <c r="B2000">
        <v>0.98018197421672304</v>
      </c>
      <c r="C2000">
        <v>1.06157709537656</v>
      </c>
      <c r="D2000">
        <v>0.88253155032409902</v>
      </c>
      <c r="E2000">
        <v>0.56944254485948298</v>
      </c>
      <c r="F2000">
        <v>0.29429015139544301</v>
      </c>
      <c r="G2000">
        <v>0.18224433134486601</v>
      </c>
      <c r="H2000">
        <v>0.16466879261221101</v>
      </c>
      <c r="I2000">
        <v>0.14286300894116699</v>
      </c>
      <c r="J2000">
        <v>0.13806762577627801</v>
      </c>
      <c r="K2000">
        <v>0.19514652915804701</v>
      </c>
      <c r="L2000">
        <v>1303.1976485820001</v>
      </c>
      <c r="M2000">
        <v>26.161235389537399</v>
      </c>
      <c r="N2000">
        <v>50.537159470028897</v>
      </c>
      <c r="O2000">
        <v>49.525750697566302</v>
      </c>
      <c r="P2000">
        <v>-0.11144297879908301</v>
      </c>
      <c r="Q2000">
        <v>0.15612027440010701</v>
      </c>
      <c r="R2000">
        <v>0.99297341470742695</v>
      </c>
      <c r="S2000" t="s">
        <v>5629</v>
      </c>
      <c r="T2000" t="s">
        <v>7256</v>
      </c>
      <c r="U2000" t="s">
        <v>7256</v>
      </c>
      <c r="V2000" t="s">
        <v>7256</v>
      </c>
      <c r="W2000">
        <v>4</v>
      </c>
      <c r="X2000" t="s">
        <v>9256</v>
      </c>
      <c r="Y2000">
        <v>0.43905167961613373</v>
      </c>
      <c r="Z2000" t="str">
        <f>HYPERLINK("Melting_Curves/meltCurve_sp_Q8N5V2_NGEF_HUMAN_.pdf", "Melting_Curves/meltCurve_sp_Q8N5V2_NGEF_HUMAN_.pdf")</f>
        <v>Melting_Curves/meltCurve_sp_Q8N5V2_NGEF_HUMAN_.pdf</v>
      </c>
      <c r="AA2000" t="s">
        <v>12853</v>
      </c>
      <c r="AB2000" t="s">
        <v>16425</v>
      </c>
    </row>
    <row r="2001" spans="1:28" x14ac:dyDescent="0.25">
      <c r="A2001" t="s">
        <v>2005</v>
      </c>
      <c r="B2001">
        <v>0.98018197421672304</v>
      </c>
      <c r="C2001">
        <v>0.96274047609195601</v>
      </c>
      <c r="D2001">
        <v>0.968539111499087</v>
      </c>
      <c r="E2001">
        <v>0.85457442166974296</v>
      </c>
      <c r="F2001">
        <v>0.66619718438532605</v>
      </c>
      <c r="G2001">
        <v>0.32764112205872198</v>
      </c>
      <c r="H2001">
        <v>0.16376031016050999</v>
      </c>
      <c r="I2001">
        <v>0.13889112401779199</v>
      </c>
      <c r="J2001">
        <v>0.12065419097269101</v>
      </c>
      <c r="K2001">
        <v>8.3446049572615102E-2</v>
      </c>
      <c r="L2001">
        <v>1103.97682508661</v>
      </c>
      <c r="M2001">
        <v>20.348369852500699</v>
      </c>
      <c r="N2001">
        <v>54.772300679719201</v>
      </c>
      <c r="O2001">
        <v>53.7379851333422</v>
      </c>
      <c r="P2001">
        <v>-8.6374854467897597E-2</v>
      </c>
      <c r="Q2001">
        <v>8.7598727272062499E-2</v>
      </c>
      <c r="R2001">
        <v>0.99818615225596796</v>
      </c>
      <c r="S2001" t="s">
        <v>5630</v>
      </c>
      <c r="T2001" t="s">
        <v>7256</v>
      </c>
      <c r="U2001" t="s">
        <v>7256</v>
      </c>
      <c r="V2001" t="s">
        <v>7256</v>
      </c>
      <c r="W2001">
        <v>11</v>
      </c>
      <c r="X2001" t="s">
        <v>9257</v>
      </c>
      <c r="Y2001">
        <v>0.53311839591381582</v>
      </c>
      <c r="Z2001" t="str">
        <f>HYPERLINK("Melting_Curves/meltCurve_sp_Q8N5Z0_AADAT_HUMAN_.pdf", "Melting_Curves/meltCurve_sp_Q8N5Z0_AADAT_HUMAN_.pdf")</f>
        <v>Melting_Curves/meltCurve_sp_Q8N5Z0_AADAT_HUMAN_.pdf</v>
      </c>
      <c r="AA2001" t="s">
        <v>12854</v>
      </c>
      <c r="AB2001" t="s">
        <v>16426</v>
      </c>
    </row>
    <row r="2002" spans="1:28" x14ac:dyDescent="0.25">
      <c r="A2002" t="s">
        <v>2006</v>
      </c>
      <c r="B2002">
        <v>0.98018197421672304</v>
      </c>
      <c r="C2002">
        <v>0.81088586325614997</v>
      </c>
      <c r="D2002">
        <v>0.85616249733569105</v>
      </c>
      <c r="E2002">
        <v>0.58595630831651802</v>
      </c>
      <c r="F2002">
        <v>0.21830935921771299</v>
      </c>
      <c r="G2002">
        <v>0.120158300167753</v>
      </c>
      <c r="H2002">
        <v>8.1601684665524199E-2</v>
      </c>
      <c r="I2002">
        <v>7.82382419189665E-2</v>
      </c>
      <c r="J2002">
        <v>9.3338493233168604E-2</v>
      </c>
      <c r="K2002">
        <v>9.1862789514612103E-2</v>
      </c>
      <c r="L2002">
        <v>959.25949551020506</v>
      </c>
      <c r="M2002">
        <v>19.265403754514299</v>
      </c>
      <c r="N2002">
        <v>50.152590496913099</v>
      </c>
      <c r="O2002">
        <v>49.264641051171402</v>
      </c>
      <c r="P2002">
        <v>-9.1442384519969305E-2</v>
      </c>
      <c r="Q2002">
        <v>6.4705414985097895E-2</v>
      </c>
      <c r="R2002">
        <v>0.97294025207197798</v>
      </c>
      <c r="S2002" t="s">
        <v>5631</v>
      </c>
      <c r="T2002" t="s">
        <v>7256</v>
      </c>
      <c r="U2002" t="s">
        <v>7256</v>
      </c>
      <c r="V2002" t="s">
        <v>7256</v>
      </c>
      <c r="W2002">
        <v>4</v>
      </c>
      <c r="X2002" t="s">
        <v>9258</v>
      </c>
      <c r="Y2002">
        <v>0.38400355983565448</v>
      </c>
      <c r="Z2002" t="str">
        <f>HYPERLINK("Melting_Curves/meltCurve_sp_Q8N612_F16A2_HUMAN_.pdf", "Melting_Curves/meltCurve_sp_Q8N612_F16A2_HUMAN_.pdf")</f>
        <v>Melting_Curves/meltCurve_sp_Q8N612_F16A2_HUMAN_.pdf</v>
      </c>
      <c r="AA2002" t="s">
        <v>12855</v>
      </c>
      <c r="AB2002" t="s">
        <v>16427</v>
      </c>
    </row>
    <row r="2003" spans="1:28" x14ac:dyDescent="0.25">
      <c r="A2003" t="s">
        <v>2007</v>
      </c>
      <c r="B2003">
        <v>0.98018197421672304</v>
      </c>
      <c r="C2003">
        <v>0.83211107991288402</v>
      </c>
      <c r="D2003">
        <v>0.83735957206419398</v>
      </c>
      <c r="E2003">
        <v>0.60594396744415502</v>
      </c>
      <c r="F2003">
        <v>0.46942222794085098</v>
      </c>
      <c r="G2003">
        <v>0.31696603531976197</v>
      </c>
      <c r="H2003">
        <v>0.263290257843456</v>
      </c>
      <c r="I2003">
        <v>0.24544348875570099</v>
      </c>
      <c r="J2003">
        <v>0.32020288787946999</v>
      </c>
      <c r="K2003">
        <v>0.259862735480971</v>
      </c>
      <c r="L2003">
        <v>660.311439285343</v>
      </c>
      <c r="M2003">
        <v>13.3431246687366</v>
      </c>
      <c r="N2003">
        <v>51.993606067663201</v>
      </c>
      <c r="O2003">
        <v>48.415101780529703</v>
      </c>
      <c r="P2003">
        <v>-5.2564169236625699E-2</v>
      </c>
      <c r="Q2003">
        <v>0.23721201794260899</v>
      </c>
      <c r="R2003">
        <v>0.97884222987325897</v>
      </c>
      <c r="S2003" t="s">
        <v>5632</v>
      </c>
      <c r="T2003" t="s">
        <v>7256</v>
      </c>
      <c r="U2003" t="s">
        <v>7256</v>
      </c>
      <c r="V2003" t="s">
        <v>7256</v>
      </c>
      <c r="W2003">
        <v>4</v>
      </c>
      <c r="X2003" t="s">
        <v>9259</v>
      </c>
      <c r="Y2003">
        <v>0.50121687318834751</v>
      </c>
      <c r="Z2003" t="str">
        <f>HYPERLINK("Melting_Curves/meltCurve_sp_Q8N684_2_CPSF7_HUMAN_.pdf", "Melting_Curves/meltCurve_sp_Q8N684_2_CPSF7_HUMAN_.pdf")</f>
        <v>Melting_Curves/meltCurve_sp_Q8N684_2_CPSF7_HUMAN_.pdf</v>
      </c>
      <c r="AA2003" t="s">
        <v>12856</v>
      </c>
      <c r="AB2003" t="s">
        <v>16428</v>
      </c>
    </row>
    <row r="2004" spans="1:28" x14ac:dyDescent="0.25">
      <c r="A2004" t="s">
        <v>2008</v>
      </c>
      <c r="B2004">
        <v>0.98018197421672304</v>
      </c>
      <c r="C2004">
        <v>0.989039623697887</v>
      </c>
      <c r="D2004">
        <v>0.96516321271317296</v>
      </c>
      <c r="E2004">
        <v>0.82726939249312004</v>
      </c>
      <c r="F2004">
        <v>0.61412101464632896</v>
      </c>
      <c r="G2004">
        <v>0.33293585089105099</v>
      </c>
      <c r="H2004">
        <v>0.320014488014701</v>
      </c>
      <c r="I2004">
        <v>0.31950236901651002</v>
      </c>
      <c r="J2004">
        <v>0.43496620111856299</v>
      </c>
      <c r="K2004">
        <v>0.497792110126622</v>
      </c>
      <c r="L2004">
        <v>1683.5442743774299</v>
      </c>
      <c r="M2004">
        <v>32.534368199448203</v>
      </c>
      <c r="N2004">
        <v>54.104174966439899</v>
      </c>
      <c r="O2004">
        <v>51.552321810073998</v>
      </c>
      <c r="P2004">
        <v>-9.7999992861342394E-2</v>
      </c>
      <c r="Q2004">
        <v>0.37885960537138602</v>
      </c>
      <c r="R2004">
        <v>0.95449942652026398</v>
      </c>
      <c r="S2004" t="s">
        <v>5633</v>
      </c>
      <c r="T2004" t="s">
        <v>7256</v>
      </c>
      <c r="U2004" t="s">
        <v>7256</v>
      </c>
      <c r="V2004" t="s">
        <v>7256</v>
      </c>
      <c r="W2004">
        <v>11</v>
      </c>
      <c r="X2004" t="s">
        <v>9260</v>
      </c>
      <c r="Y2004">
        <v>0.62543255569686285</v>
      </c>
      <c r="Z2004" t="str">
        <f>HYPERLINK("Melting_Curves/meltCurve_sp_Q8N6H7_ARFG2_HUMAN_.pdf", "Melting_Curves/meltCurve_sp_Q8N6H7_ARFG2_HUMAN_.pdf")</f>
        <v>Melting_Curves/meltCurve_sp_Q8N6H7_ARFG2_HUMAN_.pdf</v>
      </c>
      <c r="AA2004" t="s">
        <v>12857</v>
      </c>
      <c r="AB2004" t="s">
        <v>16429</v>
      </c>
    </row>
    <row r="2005" spans="1:28" x14ac:dyDescent="0.25">
      <c r="A2005" t="s">
        <v>2009</v>
      </c>
      <c r="B2005">
        <v>0.98018197421672304</v>
      </c>
      <c r="C2005">
        <v>0.91215179825224202</v>
      </c>
      <c r="D2005">
        <v>0.93023800883364305</v>
      </c>
      <c r="E2005">
        <v>0.37237545128664701</v>
      </c>
      <c r="F2005">
        <v>0.21532730836764799</v>
      </c>
      <c r="G2005">
        <v>0.15286396450411499</v>
      </c>
      <c r="H2005">
        <v>9.3040825558357507E-2</v>
      </c>
      <c r="I2005">
        <v>7.9112890695851104E-2</v>
      </c>
      <c r="J2005">
        <v>8.1314693867163099E-2</v>
      </c>
      <c r="K2005">
        <v>3.6739701646882603E-2</v>
      </c>
      <c r="L2005">
        <v>1444.6597690558599</v>
      </c>
      <c r="M2005">
        <v>29.500821492520501</v>
      </c>
      <c r="N2005">
        <v>49.294430691163697</v>
      </c>
      <c r="O2005">
        <v>48.7468008833428</v>
      </c>
      <c r="P2005">
        <v>-0.13795333341065799</v>
      </c>
      <c r="Q2005">
        <v>8.8196870137221606E-2</v>
      </c>
      <c r="R2005">
        <v>0.98824635582285603</v>
      </c>
      <c r="S2005" t="s">
        <v>5634</v>
      </c>
      <c r="T2005" t="s">
        <v>7256</v>
      </c>
      <c r="U2005" t="s">
        <v>7256</v>
      </c>
      <c r="V2005" t="s">
        <v>7256</v>
      </c>
      <c r="W2005">
        <v>7</v>
      </c>
      <c r="X2005" t="s">
        <v>9261</v>
      </c>
      <c r="Y2005">
        <v>0.36657620835891808</v>
      </c>
      <c r="Z2005" t="str">
        <f>HYPERLINK("Melting_Curves/meltCurve_sp_Q8N8N7_PTGR2_HUMAN_.pdf", "Melting_Curves/meltCurve_sp_Q8N8N7_PTGR2_HUMAN_.pdf")</f>
        <v>Melting_Curves/meltCurve_sp_Q8N8N7_PTGR2_HUMAN_.pdf</v>
      </c>
      <c r="AA2005" t="s">
        <v>12858</v>
      </c>
      <c r="AB2005" t="s">
        <v>16430</v>
      </c>
    </row>
    <row r="2006" spans="1:28" x14ac:dyDescent="0.25">
      <c r="A2006" t="s">
        <v>2010</v>
      </c>
      <c r="B2006">
        <v>0.98018197421672304</v>
      </c>
      <c r="C2006">
        <v>1.0184747228609701</v>
      </c>
      <c r="D2006">
        <v>1.00562275443619</v>
      </c>
      <c r="E2006">
        <v>0.779283973811702</v>
      </c>
      <c r="F2006">
        <v>0.47899579123821001</v>
      </c>
      <c r="G2006">
        <v>0.27060541168114199</v>
      </c>
      <c r="H2006">
        <v>0.27417122363124302</v>
      </c>
      <c r="I2006">
        <v>0.25151356940685698</v>
      </c>
      <c r="J2006">
        <v>0.31047988959501199</v>
      </c>
      <c r="K2006">
        <v>0.387634242364361</v>
      </c>
      <c r="L2006">
        <v>1819.77059197161</v>
      </c>
      <c r="M2006">
        <v>35.534900922694497</v>
      </c>
      <c r="N2006">
        <v>52.544501778881703</v>
      </c>
      <c r="O2006">
        <v>51.049426022513799</v>
      </c>
      <c r="P2006">
        <v>-0.122317920915626</v>
      </c>
      <c r="Q2006">
        <v>0.29711481312309002</v>
      </c>
      <c r="R2006">
        <v>0.98510595093055497</v>
      </c>
      <c r="S2006" t="s">
        <v>5635</v>
      </c>
      <c r="T2006" t="s">
        <v>7256</v>
      </c>
      <c r="U2006" t="s">
        <v>7256</v>
      </c>
      <c r="V2006" t="s">
        <v>7256</v>
      </c>
      <c r="W2006">
        <v>3</v>
      </c>
      <c r="X2006" t="s">
        <v>9262</v>
      </c>
      <c r="Y2006">
        <v>0.56293536029545266</v>
      </c>
      <c r="Z2006" t="str">
        <f>HYPERLINK("Melting_Curves/meltCurve_sp_Q8N8S7_ENAH_HUMAN_.pdf", "Melting_Curves/meltCurve_sp_Q8N8S7_ENAH_HUMAN_.pdf")</f>
        <v>Melting_Curves/meltCurve_sp_Q8N8S7_ENAH_HUMAN_.pdf</v>
      </c>
      <c r="AA2006" t="s">
        <v>12859</v>
      </c>
      <c r="AB2006" t="s">
        <v>16431</v>
      </c>
    </row>
    <row r="2007" spans="1:28" x14ac:dyDescent="0.25">
      <c r="A2007" t="s">
        <v>2011</v>
      </c>
      <c r="B2007">
        <v>0.98018197421672304</v>
      </c>
      <c r="C2007">
        <v>0.82125556733830996</v>
      </c>
      <c r="D2007">
        <v>0.90663077741321996</v>
      </c>
      <c r="E2007">
        <v>0.69328924386450896</v>
      </c>
      <c r="F2007">
        <v>0.613611541982649</v>
      </c>
      <c r="G2007">
        <v>0.40718230858084398</v>
      </c>
      <c r="H2007">
        <v>0.24067562553296401</v>
      </c>
      <c r="I2007">
        <v>0.15919772903461801</v>
      </c>
      <c r="J2007">
        <v>0.139383519854685</v>
      </c>
      <c r="K2007">
        <v>6.5717231130565504E-2</v>
      </c>
      <c r="L2007">
        <v>552.44208324498197</v>
      </c>
      <c r="M2007">
        <v>10.133657610954399</v>
      </c>
      <c r="N2007">
        <v>54.515566219401698</v>
      </c>
      <c r="O2007">
        <v>52.520393820028602</v>
      </c>
      <c r="P2007">
        <v>-4.8259074510826103E-2</v>
      </c>
      <c r="Q2007">
        <v>0</v>
      </c>
      <c r="R2007">
        <v>0.98142603776367598</v>
      </c>
      <c r="S2007" t="s">
        <v>5636</v>
      </c>
      <c r="T2007" t="s">
        <v>7256</v>
      </c>
      <c r="U2007" t="s">
        <v>7256</v>
      </c>
      <c r="V2007" t="s">
        <v>7256</v>
      </c>
      <c r="W2007">
        <v>1</v>
      </c>
      <c r="X2007" t="s">
        <v>9263</v>
      </c>
      <c r="Y2007">
        <v>0.51167086055767808</v>
      </c>
      <c r="Z2007" t="str">
        <f>HYPERLINK("Melting_Curves/meltCurve_sp_Q8N999_3_CL029_HUMAN_.pdf", "Melting_Curves/meltCurve_sp_Q8N999_3_CL029_HUMAN_.pdf")</f>
        <v>Melting_Curves/meltCurve_sp_Q8N999_3_CL029_HUMAN_.pdf</v>
      </c>
      <c r="AA2007" t="s">
        <v>12860</v>
      </c>
      <c r="AB2007" t="s">
        <v>16432</v>
      </c>
    </row>
    <row r="2008" spans="1:28" x14ac:dyDescent="0.25">
      <c r="A2008" t="s">
        <v>2012</v>
      </c>
      <c r="B2008">
        <v>0.98018197421672304</v>
      </c>
      <c r="C2008">
        <v>0.96211356908023904</v>
      </c>
      <c r="D2008">
        <v>0.88348045621327298</v>
      </c>
      <c r="E2008">
        <v>0.37257286527521799</v>
      </c>
      <c r="F2008">
        <v>0.19151528724346101</v>
      </c>
      <c r="G2008">
        <v>0.10893101763025501</v>
      </c>
      <c r="H2008">
        <v>6.2923528444635196E-2</v>
      </c>
      <c r="I2008">
        <v>4.8263030100939401E-2</v>
      </c>
      <c r="J2008">
        <v>5.1852065964858501E-2</v>
      </c>
      <c r="K2008">
        <v>4.0734255695829502E-2</v>
      </c>
      <c r="L2008">
        <v>1317.75590884797</v>
      </c>
      <c r="M2008">
        <v>26.923217074332999</v>
      </c>
      <c r="N2008">
        <v>49.173631145891399</v>
      </c>
      <c r="O2008">
        <v>48.677342390936602</v>
      </c>
      <c r="P2008">
        <v>-0.13013937642036799</v>
      </c>
      <c r="Q2008">
        <v>5.8838503641074798E-2</v>
      </c>
      <c r="R2008">
        <v>0.997255378657946</v>
      </c>
      <c r="S2008" t="s">
        <v>5637</v>
      </c>
      <c r="T2008" t="s">
        <v>7256</v>
      </c>
      <c r="U2008" t="s">
        <v>7256</v>
      </c>
      <c r="V2008" t="s">
        <v>7256</v>
      </c>
      <c r="W2008">
        <v>6</v>
      </c>
      <c r="X2008" t="s">
        <v>9264</v>
      </c>
      <c r="Y2008">
        <v>0.34661574823791091</v>
      </c>
      <c r="Z2008" t="str">
        <f>HYPERLINK("Melting_Curves/meltCurve_sp_Q8N9L9_ACOT4_HUMAN_.pdf", "Melting_Curves/meltCurve_sp_Q8N9L9_ACOT4_HUMAN_.pdf")</f>
        <v>Melting_Curves/meltCurve_sp_Q8N9L9_ACOT4_HUMAN_.pdf</v>
      </c>
      <c r="AA2008" t="s">
        <v>12861</v>
      </c>
      <c r="AB2008" t="s">
        <v>16433</v>
      </c>
    </row>
    <row r="2009" spans="1:28" x14ac:dyDescent="0.25">
      <c r="A2009" t="s">
        <v>2013</v>
      </c>
      <c r="B2009">
        <v>0.98018197421672304</v>
      </c>
      <c r="C2009">
        <v>0.92554431683482796</v>
      </c>
      <c r="D2009">
        <v>0.78110594784679099</v>
      </c>
      <c r="E2009">
        <v>0.63517933811927296</v>
      </c>
      <c r="F2009">
        <v>0.43298051176886199</v>
      </c>
      <c r="G2009">
        <v>0.27032533535617798</v>
      </c>
      <c r="H2009">
        <v>0.16498892314629501</v>
      </c>
      <c r="I2009">
        <v>0.10110488354184</v>
      </c>
      <c r="J2009">
        <v>0.107150497871177</v>
      </c>
      <c r="K2009">
        <v>5.6236076369920701E-2</v>
      </c>
      <c r="L2009">
        <v>594.39189096309406</v>
      </c>
      <c r="M2009">
        <v>11.4807542410365</v>
      </c>
      <c r="N2009">
        <v>51.931790979032399</v>
      </c>
      <c r="O2009">
        <v>50.276840090969003</v>
      </c>
      <c r="P2009">
        <v>-5.61184676783845E-2</v>
      </c>
      <c r="Q2009">
        <v>1.7258885697027E-2</v>
      </c>
      <c r="R2009">
        <v>0.99751863681877895</v>
      </c>
      <c r="S2009" t="s">
        <v>5638</v>
      </c>
      <c r="T2009" t="s">
        <v>7256</v>
      </c>
      <c r="U2009" t="s">
        <v>7256</v>
      </c>
      <c r="V2009" t="s">
        <v>7256</v>
      </c>
      <c r="W2009">
        <v>3</v>
      </c>
      <c r="X2009" t="s">
        <v>9265</v>
      </c>
      <c r="Y2009">
        <v>0.43524566297855088</v>
      </c>
      <c r="Z2009" t="str">
        <f>HYPERLINK("Melting_Curves/meltCurve_sp_Q8NB37_PDDC1_HUMAN_.pdf", "Melting_Curves/meltCurve_sp_Q8NB37_PDDC1_HUMAN_.pdf")</f>
        <v>Melting_Curves/meltCurve_sp_Q8NB37_PDDC1_HUMAN_.pdf</v>
      </c>
      <c r="AA2009" t="s">
        <v>12862</v>
      </c>
      <c r="AB2009" t="s">
        <v>16434</v>
      </c>
    </row>
    <row r="2010" spans="1:28" x14ac:dyDescent="0.25">
      <c r="A2010" t="s">
        <v>2014</v>
      </c>
      <c r="B2010">
        <v>0.98018197421672304</v>
      </c>
      <c r="C2010">
        <v>0.93659684645535801</v>
      </c>
      <c r="D2010">
        <v>0.90111200546001302</v>
      </c>
      <c r="E2010">
        <v>0.56255345385718403</v>
      </c>
      <c r="F2010">
        <v>0.235242334115737</v>
      </c>
      <c r="G2010">
        <v>0.12545818729064001</v>
      </c>
      <c r="H2010">
        <v>7.8263300060424104E-2</v>
      </c>
      <c r="I2010">
        <v>6.7314750795417697E-2</v>
      </c>
      <c r="J2010">
        <v>6.2108098097642603E-2</v>
      </c>
      <c r="K2010">
        <v>6.1730298032085497E-2</v>
      </c>
      <c r="L2010">
        <v>1207.5248929080201</v>
      </c>
      <c r="M2010">
        <v>24.095382509598199</v>
      </c>
      <c r="N2010">
        <v>50.393471749177401</v>
      </c>
      <c r="O2010">
        <v>49.773014492579001</v>
      </c>
      <c r="P2010">
        <v>-0.113468192048494</v>
      </c>
      <c r="Q2010">
        <v>6.24649915788449E-2</v>
      </c>
      <c r="R2010">
        <v>0.99736377258689701</v>
      </c>
      <c r="S2010" t="s">
        <v>5639</v>
      </c>
      <c r="T2010" t="s">
        <v>7256</v>
      </c>
      <c r="U2010" t="s">
        <v>7256</v>
      </c>
      <c r="V2010" t="s">
        <v>7256</v>
      </c>
      <c r="W2010">
        <v>10</v>
      </c>
      <c r="X2010" t="s">
        <v>9266</v>
      </c>
      <c r="Y2010">
        <v>0.3875826770542849</v>
      </c>
      <c r="Z2010" t="str">
        <f>HYPERLINK("Melting_Curves/meltCurve_sp_Q8NBF2_NHLC2_HUMAN_.pdf", "Melting_Curves/meltCurve_sp_Q8NBF2_NHLC2_HUMAN_.pdf")</f>
        <v>Melting_Curves/meltCurve_sp_Q8NBF2_NHLC2_HUMAN_.pdf</v>
      </c>
      <c r="AA2010" t="s">
        <v>12863</v>
      </c>
      <c r="AB2010" t="s">
        <v>16435</v>
      </c>
    </row>
    <row r="2011" spans="1:28" x14ac:dyDescent="0.25">
      <c r="A2011" t="s">
        <v>2015</v>
      </c>
      <c r="B2011">
        <v>0.98018197421672304</v>
      </c>
      <c r="C2011">
        <v>0.82932260251688295</v>
      </c>
      <c r="D2011">
        <v>0.82977929806209805</v>
      </c>
      <c r="E2011">
        <v>0.67450069470807905</v>
      </c>
      <c r="F2011">
        <v>0.54215716663920399</v>
      </c>
      <c r="G2011">
        <v>0.47398850380978802</v>
      </c>
      <c r="H2011">
        <v>0.33623280933222999</v>
      </c>
      <c r="I2011">
        <v>0.35657582617273698</v>
      </c>
      <c r="J2011">
        <v>0.38104046020243298</v>
      </c>
      <c r="K2011">
        <v>0.48560116730553898</v>
      </c>
      <c r="L2011">
        <v>600.21282648048498</v>
      </c>
      <c r="M2011">
        <v>12.2627257752701</v>
      </c>
      <c r="N2011">
        <v>54.870079061021698</v>
      </c>
      <c r="O2011">
        <v>47.699064353619697</v>
      </c>
      <c r="P2011">
        <v>-4.0695611731086101E-2</v>
      </c>
      <c r="Q2011">
        <v>0.36695560858366599</v>
      </c>
      <c r="R2011">
        <v>0.94096830856893898</v>
      </c>
      <c r="S2011" t="s">
        <v>5640</v>
      </c>
      <c r="T2011" t="s">
        <v>7256</v>
      </c>
      <c r="U2011" t="s">
        <v>7256</v>
      </c>
      <c r="V2011" t="s">
        <v>7256</v>
      </c>
      <c r="W2011">
        <v>2</v>
      </c>
      <c r="X2011" t="s">
        <v>9267</v>
      </c>
      <c r="Y2011">
        <v>0.57822603023462416</v>
      </c>
      <c r="Z2011" t="str">
        <f>HYPERLINK("Melting_Curves/meltCurve_sp_Q8NBJ4_2_GOLM1_HUMAN_.pdf", "Melting_Curves/meltCurve_sp_Q8NBJ4_2_GOLM1_HUMAN_.pdf")</f>
        <v>Melting_Curves/meltCurve_sp_Q8NBJ4_2_GOLM1_HUMAN_.pdf</v>
      </c>
      <c r="AA2011" t="s">
        <v>12864</v>
      </c>
      <c r="AB2011" t="s">
        <v>16436</v>
      </c>
    </row>
    <row r="2012" spans="1:28" x14ac:dyDescent="0.25">
      <c r="A2012" t="s">
        <v>2016</v>
      </c>
      <c r="B2012">
        <v>0.98018197421672304</v>
      </c>
      <c r="C2012">
        <v>0.95234043527464796</v>
      </c>
      <c r="D2012">
        <v>0.79689788589404698</v>
      </c>
      <c r="E2012">
        <v>0.43744799113697502</v>
      </c>
      <c r="F2012">
        <v>0.24293599268656199</v>
      </c>
      <c r="G2012">
        <v>0.139691934763194</v>
      </c>
      <c r="H2012">
        <v>8.1963741709796298E-2</v>
      </c>
      <c r="I2012">
        <v>5.9776364236160902E-2</v>
      </c>
      <c r="J2012">
        <v>9.4276703664221001E-2</v>
      </c>
      <c r="K2012">
        <v>7.6696209901551293E-2</v>
      </c>
      <c r="L2012">
        <v>964.37543680860597</v>
      </c>
      <c r="M2012">
        <v>19.699287857798701</v>
      </c>
      <c r="N2012">
        <v>49.347059583578996</v>
      </c>
      <c r="O2012">
        <v>48.458729998611098</v>
      </c>
      <c r="P2012">
        <v>-9.42677898175205E-2</v>
      </c>
      <c r="Q2012">
        <v>7.2466064210639905E-2</v>
      </c>
      <c r="R2012">
        <v>0.999108176969982</v>
      </c>
      <c r="S2012" t="s">
        <v>5641</v>
      </c>
      <c r="T2012" t="s">
        <v>7256</v>
      </c>
      <c r="U2012" t="s">
        <v>7256</v>
      </c>
      <c r="V2012" t="s">
        <v>7256</v>
      </c>
      <c r="W2012">
        <v>6</v>
      </c>
      <c r="X2012" t="s">
        <v>9268</v>
      </c>
      <c r="Y2012">
        <v>0.36273502676006958</v>
      </c>
      <c r="Z2012" t="str">
        <f>HYPERLINK("Melting_Curves/meltCurve_sp_Q8NBJ7_SUMF2_HUMAN_.pdf", "Melting_Curves/meltCurve_sp_Q8NBJ7_SUMF2_HUMAN_.pdf")</f>
        <v>Melting_Curves/meltCurve_sp_Q8NBJ7_SUMF2_HUMAN_.pdf</v>
      </c>
      <c r="AA2012" t="s">
        <v>12865</v>
      </c>
      <c r="AB2012" t="s">
        <v>16437</v>
      </c>
    </row>
    <row r="2013" spans="1:28" x14ac:dyDescent="0.25">
      <c r="A2013" t="s">
        <v>2017</v>
      </c>
      <c r="B2013">
        <v>0.98018197421672304</v>
      </c>
      <c r="C2013">
        <v>0.96112381506018896</v>
      </c>
      <c r="D2013">
        <v>0.71355545245671703</v>
      </c>
      <c r="E2013">
        <v>0.40830220507905401</v>
      </c>
      <c r="F2013">
        <v>0.20417100666702001</v>
      </c>
      <c r="G2013">
        <v>0.112406042472271</v>
      </c>
      <c r="H2013">
        <v>6.6396185679587494E-2</v>
      </c>
      <c r="I2013">
        <v>5.5774843289584E-2</v>
      </c>
      <c r="J2013">
        <v>4.8986745807455802E-2</v>
      </c>
      <c r="K2013">
        <v>4.2143236328214602E-2</v>
      </c>
      <c r="L2013">
        <v>890.54505695311195</v>
      </c>
      <c r="M2013">
        <v>18.359362727864699</v>
      </c>
      <c r="N2013">
        <v>48.754763863548199</v>
      </c>
      <c r="O2013">
        <v>47.941836610103103</v>
      </c>
      <c r="P2013">
        <v>-9.1466556698988399E-2</v>
      </c>
      <c r="Q2013">
        <v>4.4656829895380099E-2</v>
      </c>
      <c r="R2013">
        <v>0.99783397057662804</v>
      </c>
      <c r="S2013" t="s">
        <v>5642</v>
      </c>
      <c r="T2013" t="s">
        <v>7256</v>
      </c>
      <c r="U2013" t="s">
        <v>7256</v>
      </c>
      <c r="V2013" t="s">
        <v>7256</v>
      </c>
      <c r="W2013">
        <v>4</v>
      </c>
      <c r="X2013" t="s">
        <v>9269</v>
      </c>
      <c r="Y2013">
        <v>0.3315971582234829</v>
      </c>
      <c r="Z2013" t="str">
        <f>HYPERLINK("Melting_Curves/meltCurve_sp_Q8NBX0_SCPDL_HUMAN_.pdf", "Melting_Curves/meltCurve_sp_Q8NBX0_SCPDL_HUMAN_.pdf")</f>
        <v>Melting_Curves/meltCurve_sp_Q8NBX0_SCPDL_HUMAN_.pdf</v>
      </c>
      <c r="AA2013" t="s">
        <v>12866</v>
      </c>
      <c r="AB2013" t="s">
        <v>16438</v>
      </c>
    </row>
    <row r="2014" spans="1:28" x14ac:dyDescent="0.25">
      <c r="A2014" t="s">
        <v>2018</v>
      </c>
      <c r="B2014">
        <v>0.98018197421672304</v>
      </c>
      <c r="C2014">
        <v>0.82969312997306899</v>
      </c>
      <c r="D2014">
        <v>0.87378229918127603</v>
      </c>
      <c r="E2014">
        <v>0.79122628582291699</v>
      </c>
      <c r="F2014">
        <v>0.91383056486737402</v>
      </c>
      <c r="G2014">
        <v>0.84886284941864898</v>
      </c>
      <c r="H2014">
        <v>0.81314550347451098</v>
      </c>
      <c r="I2014">
        <v>0.862167594442378</v>
      </c>
      <c r="J2014">
        <v>1.0526869397597201</v>
      </c>
      <c r="K2014">
        <v>1.0798258604489599</v>
      </c>
      <c r="L2014">
        <v>10057.790862543599</v>
      </c>
      <c r="M2014">
        <v>250</v>
      </c>
      <c r="O2014">
        <v>40.2285906456462</v>
      </c>
      <c r="P2014">
        <v>-0.16136585391840899</v>
      </c>
      <c r="Q2014">
        <v>0.89613567046404496</v>
      </c>
      <c r="R2014">
        <v>6.9771779260846503E-2</v>
      </c>
      <c r="S2014" t="s">
        <v>5643</v>
      </c>
      <c r="T2014" t="s">
        <v>7256</v>
      </c>
      <c r="U2014" t="s">
        <v>7256</v>
      </c>
      <c r="V2014" t="s">
        <v>7256</v>
      </c>
      <c r="W2014">
        <v>7</v>
      </c>
      <c r="X2014" t="s">
        <v>9270</v>
      </c>
      <c r="Y2014">
        <v>0.89705896521078043</v>
      </c>
      <c r="Z2014" t="str">
        <f>HYPERLINK("Melting_Curves/meltCurve_sp_Q8NC51_4_PAIRB_HUMAN_.pdf", "Melting_Curves/meltCurve_sp_Q8NC51_4_PAIRB_HUMAN_.pdf")</f>
        <v>Melting_Curves/meltCurve_sp_Q8NC51_4_PAIRB_HUMAN_.pdf</v>
      </c>
      <c r="AA2014" t="s">
        <v>12867</v>
      </c>
      <c r="AB2014" t="s">
        <v>16439</v>
      </c>
    </row>
    <row r="2015" spans="1:28" x14ac:dyDescent="0.25">
      <c r="A2015" t="s">
        <v>2019</v>
      </c>
      <c r="B2015">
        <v>0.98018197421672304</v>
      </c>
      <c r="C2015">
        <v>0.966925029800625</v>
      </c>
      <c r="D2015">
        <v>0.79609412176137095</v>
      </c>
      <c r="E2015">
        <v>0.89886672111021304</v>
      </c>
      <c r="F2015">
        <v>0.774215646006438</v>
      </c>
      <c r="G2015">
        <v>0.48536100940645799</v>
      </c>
      <c r="H2015">
        <v>0.40871863413989001</v>
      </c>
      <c r="I2015">
        <v>0.44633042057028399</v>
      </c>
      <c r="J2015">
        <v>0.55163073652832795</v>
      </c>
      <c r="K2015">
        <v>0.58744087511908405</v>
      </c>
      <c r="L2015">
        <v>1602.60109423324</v>
      </c>
      <c r="M2015">
        <v>30.354163314214599</v>
      </c>
      <c r="N2015">
        <v>60.298645229078303</v>
      </c>
      <c r="O2015">
        <v>52.569183658613497</v>
      </c>
      <c r="P2015">
        <v>-7.3830314994322105E-2</v>
      </c>
      <c r="Q2015">
        <v>0.48854788416733003</v>
      </c>
      <c r="R2015">
        <v>0.83972759689480903</v>
      </c>
      <c r="S2015" t="s">
        <v>5644</v>
      </c>
      <c r="T2015" t="s">
        <v>7256</v>
      </c>
      <c r="U2015" t="s">
        <v>7256</v>
      </c>
      <c r="V2015" t="s">
        <v>7256</v>
      </c>
      <c r="W2015">
        <v>2</v>
      </c>
      <c r="X2015" t="s">
        <v>9271</v>
      </c>
      <c r="Y2015">
        <v>0.70994378738013464</v>
      </c>
      <c r="Z2015" t="str">
        <f>HYPERLINK("Melting_Curves/meltCurve_sp_Q8NC96_NECP1_HUMAN_.pdf", "Melting_Curves/meltCurve_sp_Q8NC96_NECP1_HUMAN_.pdf")</f>
        <v>Melting_Curves/meltCurve_sp_Q8NC96_NECP1_HUMAN_.pdf</v>
      </c>
      <c r="AA2015" t="s">
        <v>12868</v>
      </c>
      <c r="AB2015" t="s">
        <v>16440</v>
      </c>
    </row>
    <row r="2016" spans="1:28" x14ac:dyDescent="0.25">
      <c r="A2016" t="s">
        <v>2020</v>
      </c>
      <c r="B2016">
        <v>0.98018197421672304</v>
      </c>
      <c r="C2016">
        <v>0.81012510541152805</v>
      </c>
      <c r="D2016">
        <v>0.76191437221890701</v>
      </c>
      <c r="E2016">
        <v>0.58499433299228298</v>
      </c>
      <c r="F2016">
        <v>0.41714245190100802</v>
      </c>
      <c r="G2016">
        <v>0.31531491625923103</v>
      </c>
      <c r="H2016">
        <v>0.22054978166872999</v>
      </c>
      <c r="I2016">
        <v>0.108842320681073</v>
      </c>
      <c r="J2016">
        <v>0.208487879893864</v>
      </c>
      <c r="K2016">
        <v>0.100365196114944</v>
      </c>
      <c r="L2016">
        <v>491.89773795766502</v>
      </c>
      <c r="M2016">
        <v>9.6817041791669496</v>
      </c>
      <c r="N2016">
        <v>51.464880074063203</v>
      </c>
      <c r="O2016">
        <v>48.781417805377998</v>
      </c>
      <c r="P2016">
        <v>-4.67552438333554E-2</v>
      </c>
      <c r="Q2016">
        <v>5.8210176769693603E-2</v>
      </c>
      <c r="R2016">
        <v>0.98341284016006802</v>
      </c>
      <c r="S2016" t="s">
        <v>5645</v>
      </c>
      <c r="T2016" t="s">
        <v>7256</v>
      </c>
      <c r="U2016" t="s">
        <v>7256</v>
      </c>
      <c r="V2016" t="s">
        <v>7256</v>
      </c>
      <c r="W2016">
        <v>3</v>
      </c>
      <c r="X2016" t="s">
        <v>9272</v>
      </c>
      <c r="Y2016">
        <v>0.43893356544832229</v>
      </c>
      <c r="Z2016" t="str">
        <f>HYPERLINK("Melting_Curves/meltCurve_sp_Q8NCA5_2_FA98A_HUMAN_.pdf", "Melting_Curves/meltCurve_sp_Q8NCA5_2_FA98A_HUMAN_.pdf")</f>
        <v>Melting_Curves/meltCurve_sp_Q8NCA5_2_FA98A_HUMAN_.pdf</v>
      </c>
      <c r="AA2016" t="s">
        <v>12869</v>
      </c>
      <c r="AB2016" t="s">
        <v>16441</v>
      </c>
    </row>
    <row r="2017" spans="1:28" x14ac:dyDescent="0.25">
      <c r="A2017" t="s">
        <v>2021</v>
      </c>
      <c r="B2017">
        <v>0.98018197421672304</v>
      </c>
      <c r="C2017">
        <v>0.88935421281330396</v>
      </c>
      <c r="D2017">
        <v>0.87590316486575603</v>
      </c>
      <c r="E2017">
        <v>0.75789089918779995</v>
      </c>
      <c r="F2017">
        <v>0.61053254167872795</v>
      </c>
      <c r="G2017">
        <v>0.47943341283602597</v>
      </c>
      <c r="H2017">
        <v>0.36225948225214999</v>
      </c>
      <c r="I2017">
        <v>0.32384443117683298</v>
      </c>
      <c r="J2017">
        <v>0.36553301519799702</v>
      </c>
      <c r="K2017">
        <v>0.35849797105698</v>
      </c>
      <c r="L2017">
        <v>617.84557311699405</v>
      </c>
      <c r="M2017">
        <v>11.8963796485701</v>
      </c>
      <c r="N2017">
        <v>56.149987038116102</v>
      </c>
      <c r="O2017">
        <v>50.533299967470498</v>
      </c>
      <c r="P2017">
        <v>-4.14868972362104E-2</v>
      </c>
      <c r="Q2017">
        <v>0.29526549821975001</v>
      </c>
      <c r="R2017">
        <v>0.985241870204425</v>
      </c>
      <c r="S2017" t="s">
        <v>5646</v>
      </c>
      <c r="T2017" t="s">
        <v>7256</v>
      </c>
      <c r="U2017" t="s">
        <v>7256</v>
      </c>
      <c r="V2017" t="s">
        <v>7256</v>
      </c>
      <c r="W2017">
        <v>2</v>
      </c>
      <c r="X2017" t="s">
        <v>9273</v>
      </c>
      <c r="Y2017">
        <v>0.59755019882733817</v>
      </c>
      <c r="Z2017" t="str">
        <f>HYPERLINK("Melting_Curves/meltCurve_sp_Q8NCC3_PAG15_HUMAN_.pdf", "Melting_Curves/meltCurve_sp_Q8NCC3_PAG15_HUMAN_.pdf")</f>
        <v>Melting_Curves/meltCurve_sp_Q8NCC3_PAG15_HUMAN_.pdf</v>
      </c>
      <c r="AA2017" t="s">
        <v>12870</v>
      </c>
      <c r="AB2017" t="s">
        <v>16442</v>
      </c>
    </row>
    <row r="2018" spans="1:28" x14ac:dyDescent="0.25">
      <c r="A2018" t="s">
        <v>2022</v>
      </c>
      <c r="B2018">
        <v>0.98018197421672304</v>
      </c>
      <c r="C2018">
        <v>1.0018816464816001</v>
      </c>
      <c r="D2018">
        <v>1.1104791273766701</v>
      </c>
      <c r="E2018">
        <v>0.97069649514822198</v>
      </c>
      <c r="F2018">
        <v>0.874405592411586</v>
      </c>
      <c r="G2018">
        <v>0.70850182760941105</v>
      </c>
      <c r="H2018">
        <v>0.56337809795696403</v>
      </c>
      <c r="I2018">
        <v>0.55322284202796701</v>
      </c>
      <c r="J2018">
        <v>1.4454277612980999</v>
      </c>
      <c r="K2018">
        <v>1.49515232426328</v>
      </c>
      <c r="L2018">
        <v>15000</v>
      </c>
      <c r="M2018">
        <v>226.03017522433299</v>
      </c>
      <c r="O2018">
        <v>66.357631490169098</v>
      </c>
      <c r="P2018">
        <v>0.42243122335740102</v>
      </c>
      <c r="Q2018">
        <v>1.4960670917207199</v>
      </c>
      <c r="R2018">
        <v>0.46279476214124998</v>
      </c>
      <c r="S2018" t="s">
        <v>5647</v>
      </c>
      <c r="T2018" t="s">
        <v>7256</v>
      </c>
      <c r="U2018" t="s">
        <v>7256</v>
      </c>
      <c r="V2018" t="s">
        <v>7256</v>
      </c>
      <c r="W2018">
        <v>1</v>
      </c>
      <c r="X2018" t="s">
        <v>9274</v>
      </c>
      <c r="Y2018">
        <v>1.060072192799272</v>
      </c>
      <c r="Z2018" t="str">
        <f>HYPERLINK("Melting_Curves/meltCurve_sp_Q8NCN4_RN169_HUMAN_.pdf", "Melting_Curves/meltCurve_sp_Q8NCN4_RN169_HUMAN_.pdf")</f>
        <v>Melting_Curves/meltCurve_sp_Q8NCN4_RN169_HUMAN_.pdf</v>
      </c>
      <c r="AA2018" t="s">
        <v>12871</v>
      </c>
      <c r="AB2018" t="s">
        <v>16443</v>
      </c>
    </row>
    <row r="2019" spans="1:28" x14ac:dyDescent="0.25">
      <c r="A2019" t="s">
        <v>2023</v>
      </c>
      <c r="B2019">
        <v>0.98018197421672304</v>
      </c>
      <c r="C2019">
        <v>0.96606004671439705</v>
      </c>
      <c r="D2019">
        <v>0.90589812660621705</v>
      </c>
      <c r="E2019">
        <v>0.75161704323249501</v>
      </c>
      <c r="F2019">
        <v>0.37964963932378298</v>
      </c>
      <c r="G2019">
        <v>0.10837200295716</v>
      </c>
      <c r="H2019">
        <v>5.2358810870358298E-2</v>
      </c>
      <c r="I2019">
        <v>3.71424993565867E-2</v>
      </c>
      <c r="J2019">
        <v>4.1619222744592399E-2</v>
      </c>
      <c r="K2019">
        <v>3.1390111394659401E-2</v>
      </c>
      <c r="L2019">
        <v>1304.7164265155</v>
      </c>
      <c r="M2019">
        <v>25.155288795929</v>
      </c>
      <c r="N2019">
        <v>51.990584177117299</v>
      </c>
      <c r="O2019">
        <v>51.542051278141003</v>
      </c>
      <c r="P2019">
        <v>-0.118459715412615</v>
      </c>
      <c r="Q2019">
        <v>2.9138537000633999E-2</v>
      </c>
      <c r="R2019">
        <v>0.99677017318902705</v>
      </c>
      <c r="S2019" t="s">
        <v>5648</v>
      </c>
      <c r="T2019" t="s">
        <v>7256</v>
      </c>
      <c r="U2019" t="s">
        <v>7256</v>
      </c>
      <c r="V2019" t="s">
        <v>7256</v>
      </c>
      <c r="W2019">
        <v>8</v>
      </c>
      <c r="X2019" t="s">
        <v>9275</v>
      </c>
      <c r="Y2019">
        <v>0.42190839243572409</v>
      </c>
      <c r="Z2019" t="str">
        <f>HYPERLINK("Melting_Curves/meltCurve_sp_Q8NCN5_PDPR_HUMAN_.pdf", "Melting_Curves/meltCurve_sp_Q8NCN5_PDPR_HUMAN_.pdf")</f>
        <v>Melting_Curves/meltCurve_sp_Q8NCN5_PDPR_HUMAN_.pdf</v>
      </c>
      <c r="AA2019" t="s">
        <v>12872</v>
      </c>
      <c r="AB2019" t="s">
        <v>16444</v>
      </c>
    </row>
    <row r="2020" spans="1:28" x14ac:dyDescent="0.25">
      <c r="A2020" t="s">
        <v>2024</v>
      </c>
      <c r="B2020">
        <v>0.98018197421672304</v>
      </c>
      <c r="C2020">
        <v>0.97988420018611899</v>
      </c>
      <c r="D2020">
        <v>0.91812946025432096</v>
      </c>
      <c r="E2020">
        <v>0.79817800292264096</v>
      </c>
      <c r="F2020">
        <v>0.77057542128718604</v>
      </c>
      <c r="G2020">
        <v>0.658710523286137</v>
      </c>
      <c r="H2020">
        <v>0.480398366737812</v>
      </c>
      <c r="I2020">
        <v>0.35186312054290098</v>
      </c>
      <c r="J2020">
        <v>0.122777644738417</v>
      </c>
      <c r="K2020">
        <v>9.2448964242179299E-2</v>
      </c>
      <c r="L2020">
        <v>653.49898280223795</v>
      </c>
      <c r="M2020">
        <v>11.034885051380501</v>
      </c>
      <c r="N2020">
        <v>59.2211960218794</v>
      </c>
      <c r="O2020">
        <v>57.376032438158603</v>
      </c>
      <c r="P2020">
        <v>-4.8097448502653503E-2</v>
      </c>
      <c r="Q2020">
        <v>0</v>
      </c>
      <c r="R2020">
        <v>0.96958324696183895</v>
      </c>
      <c r="S2020" t="s">
        <v>5649</v>
      </c>
      <c r="T2020" t="s">
        <v>7256</v>
      </c>
      <c r="U2020" t="s">
        <v>7256</v>
      </c>
      <c r="V2020" t="s">
        <v>7256</v>
      </c>
      <c r="W2020">
        <v>13</v>
      </c>
      <c r="X2020" t="s">
        <v>9276</v>
      </c>
      <c r="Y2020">
        <v>0.64547329873663217</v>
      </c>
      <c r="Z2020" t="str">
        <f>HYPERLINK("Melting_Curves/meltCurve_sp_Q8NCW5_NNRE_HUMAN_.pdf", "Melting_Curves/meltCurve_sp_Q8NCW5_NNRE_HUMAN_.pdf")</f>
        <v>Melting_Curves/meltCurve_sp_Q8NCW5_NNRE_HUMAN_.pdf</v>
      </c>
      <c r="AA2020" t="s">
        <v>12873</v>
      </c>
      <c r="AB2020" t="s">
        <v>16445</v>
      </c>
    </row>
    <row r="2021" spans="1:28" x14ac:dyDescent="0.25">
      <c r="A2021" t="s">
        <v>2025</v>
      </c>
      <c r="B2021">
        <v>0.98018197421672304</v>
      </c>
      <c r="C2021">
        <v>0.85227379982234397</v>
      </c>
      <c r="D2021">
        <v>0.88206986823013001</v>
      </c>
      <c r="E2021">
        <v>0.844087003871835</v>
      </c>
      <c r="F2021">
        <v>0.62044300949735298</v>
      </c>
      <c r="G2021">
        <v>0.35096926809964302</v>
      </c>
      <c r="H2021">
        <v>0.31362380366738801</v>
      </c>
      <c r="I2021">
        <v>0.25344303934441398</v>
      </c>
      <c r="J2021">
        <v>0.25448882849363302</v>
      </c>
      <c r="K2021">
        <v>0.48129585522906299</v>
      </c>
      <c r="L2021">
        <v>1275.7938516409599</v>
      </c>
      <c r="M2021">
        <v>24.427858667145301</v>
      </c>
      <c r="N2021">
        <v>54.414960781307002</v>
      </c>
      <c r="O2021">
        <v>51.880771109489203</v>
      </c>
      <c r="P2021">
        <v>-8.0897320214044596E-2</v>
      </c>
      <c r="Q2021">
        <v>0.312759494181649</v>
      </c>
      <c r="R2021">
        <v>0.90697457766117595</v>
      </c>
      <c r="S2021" t="s">
        <v>5650</v>
      </c>
      <c r="T2021" t="s">
        <v>7256</v>
      </c>
      <c r="U2021" t="s">
        <v>7256</v>
      </c>
      <c r="V2021" t="s">
        <v>7256</v>
      </c>
      <c r="W2021">
        <v>2</v>
      </c>
      <c r="X2021" t="s">
        <v>9277</v>
      </c>
      <c r="Y2021">
        <v>0.59942740242606607</v>
      </c>
      <c r="Z2021" t="str">
        <f>HYPERLINK("Melting_Curves/meltCurve_sp_Q8ND24_RN214_HUMAN_.pdf", "Melting_Curves/meltCurve_sp_Q8ND24_RN214_HUMAN_.pdf")</f>
        <v>Melting_Curves/meltCurve_sp_Q8ND24_RN214_HUMAN_.pdf</v>
      </c>
      <c r="AA2021" t="s">
        <v>12874</v>
      </c>
      <c r="AB2021" t="s">
        <v>16446</v>
      </c>
    </row>
    <row r="2022" spans="1:28" x14ac:dyDescent="0.25">
      <c r="A2022" t="s">
        <v>2026</v>
      </c>
      <c r="B2022">
        <v>0.98018197421672304</v>
      </c>
      <c r="C2022">
        <v>0.91803676636489095</v>
      </c>
      <c r="D2022">
        <v>0.83076623180569498</v>
      </c>
      <c r="E2022">
        <v>0.56799582411345695</v>
      </c>
      <c r="F2022">
        <v>0.32646014301762799</v>
      </c>
      <c r="G2022">
        <v>0.182618736092756</v>
      </c>
      <c r="H2022">
        <v>0.141951700016204</v>
      </c>
      <c r="I2022">
        <v>0.14596437860822101</v>
      </c>
      <c r="J2022">
        <v>0.186561476801615</v>
      </c>
      <c r="K2022">
        <v>0.15858635486828501</v>
      </c>
      <c r="L2022">
        <v>928.57898608898302</v>
      </c>
      <c r="M2022">
        <v>18.728109223219299</v>
      </c>
      <c r="N2022">
        <v>50.475728568065499</v>
      </c>
      <c r="O2022">
        <v>49.027155736998701</v>
      </c>
      <c r="P2022">
        <v>-8.2027310788159793E-2</v>
      </c>
      <c r="Q2022">
        <v>0.141099253957674</v>
      </c>
      <c r="R2022">
        <v>0.99465659372847404</v>
      </c>
      <c r="S2022" t="s">
        <v>5651</v>
      </c>
      <c r="T2022" t="s">
        <v>7256</v>
      </c>
      <c r="U2022" t="s">
        <v>7256</v>
      </c>
      <c r="V2022" t="s">
        <v>7256</v>
      </c>
      <c r="W2022">
        <v>10</v>
      </c>
      <c r="X2022" t="s">
        <v>9278</v>
      </c>
      <c r="Y2022">
        <v>0.42907233615689377</v>
      </c>
      <c r="Z2022" t="str">
        <f>HYPERLINK("Melting_Curves/meltCurve_sp_Q8ND30_LIPB2_HUMAN_.pdf", "Melting_Curves/meltCurve_sp_Q8ND30_LIPB2_HUMAN_.pdf")</f>
        <v>Melting_Curves/meltCurve_sp_Q8ND30_LIPB2_HUMAN_.pdf</v>
      </c>
      <c r="AA2022" t="s">
        <v>12875</v>
      </c>
      <c r="AB2022" t="s">
        <v>16447</v>
      </c>
    </row>
    <row r="2023" spans="1:28" x14ac:dyDescent="0.25">
      <c r="A2023" t="s">
        <v>2027</v>
      </c>
      <c r="B2023">
        <v>0.98018197421672304</v>
      </c>
      <c r="C2023">
        <v>1.0583232964020499</v>
      </c>
      <c r="D2023">
        <v>0.97838847129381601</v>
      </c>
      <c r="E2023">
        <v>0.80316177324920301</v>
      </c>
      <c r="F2023">
        <v>0.71723067833727405</v>
      </c>
      <c r="G2023">
        <v>0.49562630399660901</v>
      </c>
      <c r="H2023">
        <v>0.31305271280621599</v>
      </c>
      <c r="I2023">
        <v>0.36691762552472601</v>
      </c>
      <c r="J2023">
        <v>0.25078817037001599</v>
      </c>
      <c r="K2023">
        <v>0.46615580166199899</v>
      </c>
      <c r="L2023">
        <v>1062.01680415695</v>
      </c>
      <c r="M2023">
        <v>19.964507436945599</v>
      </c>
      <c r="N2023">
        <v>56.325739239806701</v>
      </c>
      <c r="O2023">
        <v>52.670157371370301</v>
      </c>
      <c r="P2023">
        <v>-6.3004174886060499E-2</v>
      </c>
      <c r="Q2023">
        <v>0.33515394414244598</v>
      </c>
      <c r="R2023">
        <v>0.95276541167392104</v>
      </c>
      <c r="S2023" t="s">
        <v>5652</v>
      </c>
      <c r="T2023" t="s">
        <v>7256</v>
      </c>
      <c r="U2023" t="s">
        <v>7256</v>
      </c>
      <c r="V2023" t="s">
        <v>7256</v>
      </c>
      <c r="W2023">
        <v>3</v>
      </c>
      <c r="X2023" t="s">
        <v>9279</v>
      </c>
      <c r="Y2023">
        <v>0.63673605069455674</v>
      </c>
      <c r="Z2023" t="str">
        <f>HYPERLINK("Melting_Curves/meltCurve_sp_Q8ND76_3_CCNY_HUMAN_.pdf", "Melting_Curves/meltCurve_sp_Q8ND76_3_CCNY_HUMAN_.pdf")</f>
        <v>Melting_Curves/meltCurve_sp_Q8ND76_3_CCNY_HUMAN_.pdf</v>
      </c>
      <c r="AA2023" t="s">
        <v>12876</v>
      </c>
      <c r="AB2023" t="s">
        <v>16448</v>
      </c>
    </row>
    <row r="2024" spans="1:28" x14ac:dyDescent="0.25">
      <c r="A2024" t="s">
        <v>2028</v>
      </c>
      <c r="B2024">
        <v>0.98018197421672304</v>
      </c>
      <c r="C2024">
        <v>1.1743540316160599</v>
      </c>
      <c r="D2024">
        <v>0.93969200525387897</v>
      </c>
      <c r="E2024">
        <v>0.87310413037536305</v>
      </c>
      <c r="F2024">
        <v>0.70026109136910897</v>
      </c>
      <c r="G2024">
        <v>0.49756201554480101</v>
      </c>
      <c r="H2024">
        <v>0.30029640265452001</v>
      </c>
      <c r="I2024">
        <v>0.18890679804117699</v>
      </c>
      <c r="J2024">
        <v>0.180147418847664</v>
      </c>
      <c r="K2024">
        <v>7.3850096253029393E-2</v>
      </c>
      <c r="L2024">
        <v>803.34531714001901</v>
      </c>
      <c r="M2024">
        <v>14.2483382317698</v>
      </c>
      <c r="N2024">
        <v>56.815622820524602</v>
      </c>
      <c r="O2024">
        <v>55.305951854488697</v>
      </c>
      <c r="P2024">
        <v>-6.1093891923519703E-2</v>
      </c>
      <c r="Q2024">
        <v>5.1555795716069601E-2</v>
      </c>
      <c r="R2024">
        <v>0.97226466942732803</v>
      </c>
      <c r="S2024" t="s">
        <v>5653</v>
      </c>
      <c r="T2024" t="s">
        <v>7256</v>
      </c>
      <c r="U2024" t="s">
        <v>7256</v>
      </c>
      <c r="V2024" t="s">
        <v>7256</v>
      </c>
      <c r="W2024">
        <v>5</v>
      </c>
      <c r="X2024" t="s">
        <v>9280</v>
      </c>
      <c r="Y2024">
        <v>0.58622778469463621</v>
      </c>
      <c r="Z2024" t="str">
        <f>HYPERLINK("Melting_Curves/meltCurve_sp_Q8NDH3_2_PEPL1_HUMAN_.pdf", "Melting_Curves/meltCurve_sp_Q8NDH3_2_PEPL1_HUMAN_.pdf")</f>
        <v>Melting_Curves/meltCurve_sp_Q8NDH3_2_PEPL1_HUMAN_.pdf</v>
      </c>
      <c r="AA2024" t="s">
        <v>12877</v>
      </c>
      <c r="AB2024" t="s">
        <v>16449</v>
      </c>
    </row>
    <row r="2025" spans="1:28" x14ac:dyDescent="0.25">
      <c r="A2025" t="s">
        <v>2029</v>
      </c>
      <c r="B2025">
        <v>0.98018197421672304</v>
      </c>
      <c r="C2025">
        <v>0.96523939834151196</v>
      </c>
      <c r="D2025">
        <v>0.74623274934295003</v>
      </c>
      <c r="E2025">
        <v>0.37977476224787099</v>
      </c>
      <c r="F2025">
        <v>0.23798369466389799</v>
      </c>
      <c r="G2025">
        <v>0.18233975473664801</v>
      </c>
      <c r="H2025">
        <v>0.15861008244660299</v>
      </c>
      <c r="I2025">
        <v>0.18657141957057799</v>
      </c>
      <c r="J2025">
        <v>0.18925708006153699</v>
      </c>
      <c r="K2025">
        <v>0.22777871154298701</v>
      </c>
      <c r="L2025">
        <v>1199.81993789342</v>
      </c>
      <c r="M2025">
        <v>25.235081807783398</v>
      </c>
      <c r="N2025">
        <v>48.438490506964897</v>
      </c>
      <c r="O2025">
        <v>47.250151690337802</v>
      </c>
      <c r="P2025">
        <v>-0.10868995721479</v>
      </c>
      <c r="Q2025">
        <v>0.18596650560075301</v>
      </c>
      <c r="R2025">
        <v>0.99653802719689899</v>
      </c>
      <c r="S2025" t="s">
        <v>5654</v>
      </c>
      <c r="T2025" t="s">
        <v>7256</v>
      </c>
      <c r="U2025" t="s">
        <v>7256</v>
      </c>
      <c r="V2025" t="s">
        <v>7256</v>
      </c>
      <c r="W2025">
        <v>6</v>
      </c>
      <c r="X2025" t="s">
        <v>9281</v>
      </c>
      <c r="Y2025">
        <v>0.39778375764752028</v>
      </c>
      <c r="Z2025" t="str">
        <f>HYPERLINK("Melting_Curves/meltCurve_sp_Q8NDI1_3_EHBP1_HUMAN_.pdf", "Melting_Curves/meltCurve_sp_Q8NDI1_3_EHBP1_HUMAN_.pdf")</f>
        <v>Melting_Curves/meltCurve_sp_Q8NDI1_3_EHBP1_HUMAN_.pdf</v>
      </c>
      <c r="AA2025" t="s">
        <v>12878</v>
      </c>
      <c r="AB2025" t="s">
        <v>16450</v>
      </c>
    </row>
    <row r="2026" spans="1:28" x14ac:dyDescent="0.25">
      <c r="A2026" t="s">
        <v>2030</v>
      </c>
      <c r="B2026">
        <v>0.98018197421672304</v>
      </c>
      <c r="C2026">
        <v>0.75328151651195596</v>
      </c>
      <c r="D2026">
        <v>0.50333662844373595</v>
      </c>
      <c r="E2026">
        <v>0.26508985789688599</v>
      </c>
      <c r="F2026">
        <v>0.13564453874698601</v>
      </c>
      <c r="G2026">
        <v>8.1924834207338301E-2</v>
      </c>
      <c r="H2026">
        <v>6.3788059240002803E-2</v>
      </c>
      <c r="I2026">
        <v>4.76197149292127E-2</v>
      </c>
      <c r="J2026">
        <v>5.2644977495204803E-2</v>
      </c>
      <c r="K2026">
        <v>3.1774980164062501E-2</v>
      </c>
      <c r="L2026">
        <v>763.39230716727104</v>
      </c>
      <c r="M2026">
        <v>16.611053509447601</v>
      </c>
      <c r="N2026">
        <v>46.208736292229297</v>
      </c>
      <c r="O2026">
        <v>45.306330479679801</v>
      </c>
      <c r="P2026">
        <v>-8.7698703869953404E-2</v>
      </c>
      <c r="Q2026">
        <v>4.3278617148006397E-2</v>
      </c>
      <c r="R2026">
        <v>0.99561989157617203</v>
      </c>
      <c r="S2026" t="s">
        <v>5655</v>
      </c>
      <c r="T2026" t="s">
        <v>7256</v>
      </c>
      <c r="U2026" t="s">
        <v>7256</v>
      </c>
      <c r="V2026" t="s">
        <v>7256</v>
      </c>
      <c r="W2026">
        <v>4</v>
      </c>
      <c r="X2026" t="s">
        <v>9282</v>
      </c>
      <c r="Y2026">
        <v>0.25576885183012038</v>
      </c>
      <c r="Z2026" t="str">
        <f>HYPERLINK("Melting_Curves/meltCurve_sp_Q8NE62_CHDH_HUMAN_.pdf", "Melting_Curves/meltCurve_sp_Q8NE62_CHDH_HUMAN_.pdf")</f>
        <v>Melting_Curves/meltCurve_sp_Q8NE62_CHDH_HUMAN_.pdf</v>
      </c>
      <c r="AA2026" t="s">
        <v>12879</v>
      </c>
      <c r="AB2026" t="s">
        <v>16451</v>
      </c>
    </row>
    <row r="2027" spans="1:28" x14ac:dyDescent="0.25">
      <c r="A2027" t="s">
        <v>2031</v>
      </c>
      <c r="B2027">
        <v>0.98018197421672304</v>
      </c>
      <c r="C2027">
        <v>0.90998945462420799</v>
      </c>
      <c r="D2027">
        <v>0.74272284184544102</v>
      </c>
      <c r="E2027">
        <v>0.58110844381979998</v>
      </c>
      <c r="F2027">
        <v>0.63101257160310198</v>
      </c>
      <c r="G2027">
        <v>0.51108575974102599</v>
      </c>
      <c r="H2027">
        <v>0.41358184147800803</v>
      </c>
      <c r="I2027">
        <v>0.448864448298256</v>
      </c>
      <c r="J2027">
        <v>0.508345716397959</v>
      </c>
      <c r="K2027">
        <v>0.66672202588774399</v>
      </c>
      <c r="L2027">
        <v>885.01414690599404</v>
      </c>
      <c r="M2027">
        <v>19.273747250890199</v>
      </c>
      <c r="O2027">
        <v>45.432350341571301</v>
      </c>
      <c r="P2027">
        <v>-5.1214162566612903E-2</v>
      </c>
      <c r="Q2027">
        <v>0.517126968531049</v>
      </c>
      <c r="R2027">
        <v>0.85827359201160003</v>
      </c>
      <c r="S2027" t="s">
        <v>5656</v>
      </c>
      <c r="T2027" t="s">
        <v>7256</v>
      </c>
      <c r="U2027" t="s">
        <v>7256</v>
      </c>
      <c r="V2027" t="s">
        <v>7256</v>
      </c>
      <c r="W2027">
        <v>8</v>
      </c>
      <c r="X2027" t="s">
        <v>9283</v>
      </c>
      <c r="Y2027">
        <v>0.62055571046213742</v>
      </c>
      <c r="Z2027" t="str">
        <f>HYPERLINK("Melting_Curves/meltCurve_sp_Q8NE71_2_ABCF1_HUMAN_.pdf", "Melting_Curves/meltCurve_sp_Q8NE71_2_ABCF1_HUMAN_.pdf")</f>
        <v>Melting_Curves/meltCurve_sp_Q8NE71_2_ABCF1_HUMAN_.pdf</v>
      </c>
      <c r="AA2027" t="s">
        <v>12880</v>
      </c>
      <c r="AB2027" t="s">
        <v>16452</v>
      </c>
    </row>
    <row r="2028" spans="1:28" x14ac:dyDescent="0.25">
      <c r="A2028" t="s">
        <v>2032</v>
      </c>
      <c r="B2028">
        <v>0.98018197421672304</v>
      </c>
      <c r="C2028">
        <v>0.94989855271319001</v>
      </c>
      <c r="D2028">
        <v>0.82666481968175798</v>
      </c>
      <c r="E2028">
        <v>0.51714826151099202</v>
      </c>
      <c r="F2028">
        <v>0.24868543417455399</v>
      </c>
      <c r="G2028">
        <v>0.123339323608259</v>
      </c>
      <c r="H2028">
        <v>7.26698545780671E-2</v>
      </c>
      <c r="I2028">
        <v>5.6038480577410503E-2</v>
      </c>
      <c r="J2028">
        <v>5.6389804588915099E-2</v>
      </c>
      <c r="K2028">
        <v>4.1975275316758397E-2</v>
      </c>
      <c r="L2028">
        <v>951.04963725513096</v>
      </c>
      <c r="M2028">
        <v>19.117583182614101</v>
      </c>
      <c r="N2028">
        <v>49.981522035294802</v>
      </c>
      <c r="O2028">
        <v>49.212637501116298</v>
      </c>
      <c r="P2028">
        <v>-9.2961061468274098E-2</v>
      </c>
      <c r="Q2028">
        <v>4.2832573879898798E-2</v>
      </c>
      <c r="R2028">
        <v>0.99924580651188799</v>
      </c>
      <c r="S2028" t="s">
        <v>5657</v>
      </c>
      <c r="T2028" t="s">
        <v>7256</v>
      </c>
      <c r="U2028" t="s">
        <v>7256</v>
      </c>
      <c r="V2028" t="s">
        <v>7256</v>
      </c>
      <c r="W2028">
        <v>6</v>
      </c>
      <c r="X2028" t="s">
        <v>9284</v>
      </c>
      <c r="Y2028">
        <v>0.36840263634299281</v>
      </c>
      <c r="Z2028" t="str">
        <f>HYPERLINK("Melting_Curves/meltCurve_sp_Q8NEB9_PK3C3_HUMAN_.pdf", "Melting_Curves/meltCurve_sp_Q8NEB9_PK3C3_HUMAN_.pdf")</f>
        <v>Melting_Curves/meltCurve_sp_Q8NEB9_PK3C3_HUMAN_.pdf</v>
      </c>
      <c r="AA2028" t="s">
        <v>12881</v>
      </c>
      <c r="AB2028" t="s">
        <v>16453</v>
      </c>
    </row>
    <row r="2029" spans="1:28" x14ac:dyDescent="0.25">
      <c r="A2029" t="s">
        <v>2033</v>
      </c>
      <c r="B2029">
        <v>0.98018197421672304</v>
      </c>
      <c r="C2029">
        <v>0.87742648880287</v>
      </c>
      <c r="D2029">
        <v>0.73822415335310398</v>
      </c>
      <c r="E2029">
        <v>0.50949032805913097</v>
      </c>
      <c r="F2029">
        <v>0.36618812171604997</v>
      </c>
      <c r="G2029">
        <v>0.16548713787034899</v>
      </c>
      <c r="H2029">
        <v>9.8029783268751294E-2</v>
      </c>
      <c r="I2029">
        <v>7.3960416283198799E-2</v>
      </c>
      <c r="J2029">
        <v>4.8878772551305398E-2</v>
      </c>
      <c r="K2029">
        <v>2.02609653826991E-2</v>
      </c>
      <c r="L2029">
        <v>611.66823034108199</v>
      </c>
      <c r="M2029">
        <v>12.197293283495</v>
      </c>
      <c r="N2029">
        <v>50.1478660039594</v>
      </c>
      <c r="O2029">
        <v>48.857032255019803</v>
      </c>
      <c r="P2029">
        <v>-6.24273172338961E-2</v>
      </c>
      <c r="Q2029">
        <v>0</v>
      </c>
      <c r="R2029">
        <v>0.99828189760413899</v>
      </c>
      <c r="S2029" t="s">
        <v>5658</v>
      </c>
      <c r="T2029" t="s">
        <v>7256</v>
      </c>
      <c r="U2029" t="s">
        <v>7256</v>
      </c>
      <c r="V2029" t="s">
        <v>7256</v>
      </c>
      <c r="W2029">
        <v>4</v>
      </c>
      <c r="X2029" t="s">
        <v>9285</v>
      </c>
      <c r="Y2029">
        <v>0.37172101441134942</v>
      </c>
      <c r="Z2029" t="str">
        <f>HYPERLINK("Melting_Curves/meltCurve_sp_Q8NEZ5_FBX22_HUMAN_.pdf", "Melting_Curves/meltCurve_sp_Q8NEZ5_FBX22_HUMAN_.pdf")</f>
        <v>Melting_Curves/meltCurve_sp_Q8NEZ5_FBX22_HUMAN_.pdf</v>
      </c>
      <c r="AA2029" t="s">
        <v>12882</v>
      </c>
      <c r="AB2029" t="s">
        <v>16454</v>
      </c>
    </row>
    <row r="2030" spans="1:28" x14ac:dyDescent="0.25">
      <c r="A2030" t="s">
        <v>2034</v>
      </c>
      <c r="B2030">
        <v>0.98018197421672304</v>
      </c>
      <c r="C2030">
        <v>0.95372095370921905</v>
      </c>
      <c r="D2030">
        <v>0.82413664315669699</v>
      </c>
      <c r="E2030">
        <v>0.71877037409893596</v>
      </c>
      <c r="F2030">
        <v>0.57578547551259796</v>
      </c>
      <c r="G2030">
        <v>0.34782753813068101</v>
      </c>
      <c r="H2030">
        <v>0.32244593444814101</v>
      </c>
      <c r="I2030">
        <v>0.28075343292744998</v>
      </c>
      <c r="J2030">
        <v>0.47671704870868697</v>
      </c>
      <c r="K2030">
        <v>0.32596822778767198</v>
      </c>
      <c r="L2030">
        <v>796.54135969676599</v>
      </c>
      <c r="M2030">
        <v>15.826520081476399</v>
      </c>
      <c r="N2030">
        <v>53.915347549617302</v>
      </c>
      <c r="O2030">
        <v>49.5465562138235</v>
      </c>
      <c r="P2030">
        <v>-5.3869097807439197E-2</v>
      </c>
      <c r="Q2030">
        <v>0.325484115205533</v>
      </c>
      <c r="R2030">
        <v>0.94542960770708195</v>
      </c>
      <c r="S2030" t="s">
        <v>5659</v>
      </c>
      <c r="T2030" t="s">
        <v>7256</v>
      </c>
      <c r="U2030" t="s">
        <v>7256</v>
      </c>
      <c r="V2030" t="s">
        <v>7256</v>
      </c>
      <c r="W2030">
        <v>6</v>
      </c>
      <c r="X2030" t="s">
        <v>9286</v>
      </c>
      <c r="Y2030">
        <v>0.57221814972163476</v>
      </c>
      <c r="Z2030" t="str">
        <f>HYPERLINK("Melting_Curves/meltCurve_sp_Q8NFC6_BD1L1_HUMAN_.pdf", "Melting_Curves/meltCurve_sp_Q8NFC6_BD1L1_HUMAN_.pdf")</f>
        <v>Melting_Curves/meltCurve_sp_Q8NFC6_BD1L1_HUMAN_.pdf</v>
      </c>
      <c r="AA2030" t="s">
        <v>12883</v>
      </c>
      <c r="AB2030" t="s">
        <v>16455</v>
      </c>
    </row>
    <row r="2031" spans="1:28" x14ac:dyDescent="0.25">
      <c r="A2031" t="s">
        <v>2035</v>
      </c>
      <c r="B2031">
        <v>0.98018197421672304</v>
      </c>
      <c r="C2031">
        <v>1.03822599182484</v>
      </c>
      <c r="D2031">
        <v>0.88932749273771206</v>
      </c>
      <c r="E2031">
        <v>0.33819709128158798</v>
      </c>
      <c r="F2031">
        <v>0.177241798964347</v>
      </c>
      <c r="G2031">
        <v>0.107501775944436</v>
      </c>
      <c r="H2031">
        <v>7.2443011591358797E-2</v>
      </c>
      <c r="I2031">
        <v>5.1498097510352503E-2</v>
      </c>
      <c r="J2031">
        <v>5.8802034287817898E-2</v>
      </c>
      <c r="K2031">
        <v>6.0287274100720899E-2</v>
      </c>
      <c r="L2031">
        <v>1570.1567190635101</v>
      </c>
      <c r="M2031">
        <v>32.213684559561301</v>
      </c>
      <c r="N2031">
        <v>48.981314300681703</v>
      </c>
      <c r="O2031">
        <v>48.555225074542697</v>
      </c>
      <c r="P2031">
        <v>-0.15378069020418</v>
      </c>
      <c r="Q2031">
        <v>7.2838657667423298E-2</v>
      </c>
      <c r="R2031">
        <v>0.99596488981129705</v>
      </c>
      <c r="S2031" t="s">
        <v>5660</v>
      </c>
      <c r="T2031" t="s">
        <v>7256</v>
      </c>
      <c r="U2031" t="s">
        <v>7256</v>
      </c>
      <c r="V2031" t="s">
        <v>7256</v>
      </c>
      <c r="W2031">
        <v>7</v>
      </c>
      <c r="X2031" t="s">
        <v>9287</v>
      </c>
      <c r="Y2031">
        <v>0.34787243592395262</v>
      </c>
      <c r="Z2031" t="str">
        <f>HYPERLINK("Melting_Curves/meltCurve_sp_Q8NFF5_2_FAD1_HUMAN_.pdf", "Melting_Curves/meltCurve_sp_Q8NFF5_2_FAD1_HUMAN_.pdf")</f>
        <v>Melting_Curves/meltCurve_sp_Q8NFF5_2_FAD1_HUMAN_.pdf</v>
      </c>
      <c r="AA2031" t="s">
        <v>12884</v>
      </c>
      <c r="AB2031" t="s">
        <v>16456</v>
      </c>
    </row>
    <row r="2032" spans="1:28" x14ac:dyDescent="0.25">
      <c r="A2032" t="s">
        <v>2036</v>
      </c>
      <c r="B2032">
        <v>0.98018197421672304</v>
      </c>
      <c r="C2032">
        <v>1.02601850800523</v>
      </c>
      <c r="D2032">
        <v>1.0321158783507001</v>
      </c>
      <c r="E2032">
        <v>0.78728033728181002</v>
      </c>
      <c r="F2032">
        <v>0.58524629258508198</v>
      </c>
      <c r="G2032">
        <v>0.32779543668850197</v>
      </c>
      <c r="H2032">
        <v>9.1111975714744095E-2</v>
      </c>
      <c r="I2032">
        <v>7.7209021510418904E-2</v>
      </c>
      <c r="J2032">
        <v>0.108822329754012</v>
      </c>
      <c r="K2032">
        <v>0</v>
      </c>
      <c r="L2032">
        <v>995.82589596516698</v>
      </c>
      <c r="M2032">
        <v>18.446529609978299</v>
      </c>
      <c r="N2032">
        <v>54.139516239785699</v>
      </c>
      <c r="O2032">
        <v>53.362017710765997</v>
      </c>
      <c r="P2032">
        <v>-8.4201769360475104E-2</v>
      </c>
      <c r="Q2032">
        <v>2.5730013350439E-2</v>
      </c>
      <c r="R2032">
        <v>0.990926916936961</v>
      </c>
      <c r="S2032" t="s">
        <v>5661</v>
      </c>
      <c r="T2032" t="s">
        <v>7256</v>
      </c>
      <c r="U2032" t="s">
        <v>7256</v>
      </c>
      <c r="V2032" t="s">
        <v>7256</v>
      </c>
      <c r="W2032">
        <v>2</v>
      </c>
      <c r="X2032" t="s">
        <v>9288</v>
      </c>
      <c r="Y2032">
        <v>0.49491614947135348</v>
      </c>
      <c r="Z2032" t="str">
        <f>HYPERLINK("Melting_Curves/meltCurve_sp_Q8NFH3_NUP43_HUMAN_.pdf", "Melting_Curves/meltCurve_sp_Q8NFH3_NUP43_HUMAN_.pdf")</f>
        <v>Melting_Curves/meltCurve_sp_Q8NFH3_NUP43_HUMAN_.pdf</v>
      </c>
      <c r="AA2032" t="s">
        <v>12885</v>
      </c>
      <c r="AB2032" t="s">
        <v>16457</v>
      </c>
    </row>
    <row r="2033" spans="1:28" x14ac:dyDescent="0.25">
      <c r="A2033" t="s">
        <v>2037</v>
      </c>
      <c r="B2033">
        <v>0.98018197421672304</v>
      </c>
      <c r="C2033">
        <v>0.95244514767619504</v>
      </c>
      <c r="D2033">
        <v>0.91315997497658596</v>
      </c>
      <c r="E2033">
        <v>0.70165400658626098</v>
      </c>
      <c r="F2033">
        <v>0.57486144718138699</v>
      </c>
      <c r="G2033">
        <v>0.33831787980213901</v>
      </c>
      <c r="H2033">
        <v>0.11991427484553301</v>
      </c>
      <c r="I2033">
        <v>7.6921623740504597E-2</v>
      </c>
      <c r="J2033">
        <v>6.9497093636593205E-2</v>
      </c>
      <c r="K2033">
        <v>5.8809774845772801E-2</v>
      </c>
      <c r="L2033">
        <v>734.30077105444195</v>
      </c>
      <c r="M2033">
        <v>13.674325730800501</v>
      </c>
      <c r="N2033">
        <v>53.699231855515897</v>
      </c>
      <c r="O2033">
        <v>52.589848897087599</v>
      </c>
      <c r="P2033">
        <v>-6.5014016956317797E-2</v>
      </c>
      <c r="Q2033">
        <v>0</v>
      </c>
      <c r="R2033">
        <v>0.99578710209084997</v>
      </c>
      <c r="S2033" t="s">
        <v>5662</v>
      </c>
      <c r="T2033" t="s">
        <v>7256</v>
      </c>
      <c r="U2033" t="s">
        <v>7256</v>
      </c>
      <c r="V2033" t="s">
        <v>7256</v>
      </c>
      <c r="W2033">
        <v>3</v>
      </c>
      <c r="X2033" t="s">
        <v>9289</v>
      </c>
      <c r="Y2033">
        <v>0.47998239312618529</v>
      </c>
      <c r="Z2033" t="str">
        <f>HYPERLINK("Melting_Curves/meltCurve_sp_Q8NFH4_NUP37_HUMAN_.pdf", "Melting_Curves/meltCurve_sp_Q8NFH4_NUP37_HUMAN_.pdf")</f>
        <v>Melting_Curves/meltCurve_sp_Q8NFH4_NUP37_HUMAN_.pdf</v>
      </c>
      <c r="AA2033" t="s">
        <v>12886</v>
      </c>
      <c r="AB2033" t="s">
        <v>16458</v>
      </c>
    </row>
    <row r="2034" spans="1:28" x14ac:dyDescent="0.25">
      <c r="A2034" t="s">
        <v>2038</v>
      </c>
      <c r="B2034">
        <v>0.98018197421672304</v>
      </c>
      <c r="C2034">
        <v>0.94159934439875403</v>
      </c>
      <c r="D2034">
        <v>0.91660082418524702</v>
      </c>
      <c r="E2034">
        <v>0.61284439641631006</v>
      </c>
      <c r="F2034">
        <v>0.379786311020335</v>
      </c>
      <c r="G2034">
        <v>0.25373213937321298</v>
      </c>
      <c r="H2034">
        <v>0.22940436307050899</v>
      </c>
      <c r="I2034">
        <v>0.21465081171402201</v>
      </c>
      <c r="J2034">
        <v>0.26446790172009499</v>
      </c>
      <c r="K2034">
        <v>0.31270678338854102</v>
      </c>
      <c r="L2034">
        <v>1277.1539856535001</v>
      </c>
      <c r="M2034">
        <v>25.6476870518322</v>
      </c>
      <c r="N2034">
        <v>51.163756566466802</v>
      </c>
      <c r="O2034">
        <v>49.496312007111598</v>
      </c>
      <c r="P2034">
        <v>-9.7404026140952796E-2</v>
      </c>
      <c r="Q2034">
        <v>0.248106803701685</v>
      </c>
      <c r="R2034">
        <v>0.98993120428605696</v>
      </c>
      <c r="S2034" t="s">
        <v>5663</v>
      </c>
      <c r="T2034" t="s">
        <v>7256</v>
      </c>
      <c r="U2034" t="s">
        <v>7256</v>
      </c>
      <c r="V2034" t="s">
        <v>7256</v>
      </c>
      <c r="W2034">
        <v>8</v>
      </c>
      <c r="X2034" t="s">
        <v>9290</v>
      </c>
      <c r="Y2034">
        <v>0.49999542376128059</v>
      </c>
      <c r="Z2034" t="str">
        <f>HYPERLINK("Melting_Curves/meltCurve_sp_Q8NFH8_4_REPS2_HUMAN_.pdf", "Melting_Curves/meltCurve_sp_Q8NFH8_4_REPS2_HUMAN_.pdf")</f>
        <v>Melting_Curves/meltCurve_sp_Q8NFH8_4_REPS2_HUMAN_.pdf</v>
      </c>
      <c r="AA2034" t="s">
        <v>12887</v>
      </c>
      <c r="AB2034" t="s">
        <v>16459</v>
      </c>
    </row>
    <row r="2035" spans="1:28" x14ac:dyDescent="0.25">
      <c r="A2035" t="s">
        <v>2039</v>
      </c>
      <c r="B2035">
        <v>0.98018197421672304</v>
      </c>
      <c r="C2035">
        <v>0.84522202066841901</v>
      </c>
      <c r="D2035">
        <v>0.932886784078238</v>
      </c>
      <c r="E2035">
        <v>0.92950505136411099</v>
      </c>
      <c r="F2035">
        <v>0.578800912679032</v>
      </c>
      <c r="G2035">
        <v>0.31143767228744801</v>
      </c>
      <c r="H2035">
        <v>0.21128679311840701</v>
      </c>
      <c r="I2035">
        <v>0.177516066256456</v>
      </c>
      <c r="J2035">
        <v>0.20704931536031099</v>
      </c>
      <c r="K2035">
        <v>0.10602120508037199</v>
      </c>
      <c r="L2035">
        <v>1388.62980354875</v>
      </c>
      <c r="M2035">
        <v>26.047347880022599</v>
      </c>
      <c r="N2035">
        <v>54.142753234913499</v>
      </c>
      <c r="O2035">
        <v>53.000499928581696</v>
      </c>
      <c r="P2035">
        <v>-0.102620972292514</v>
      </c>
      <c r="Q2035">
        <v>0.16476707187307499</v>
      </c>
      <c r="R2035">
        <v>0.96890529781291501</v>
      </c>
      <c r="S2035" t="s">
        <v>5664</v>
      </c>
      <c r="T2035" t="s">
        <v>7256</v>
      </c>
      <c r="U2035" t="s">
        <v>7256</v>
      </c>
      <c r="V2035" t="s">
        <v>7256</v>
      </c>
      <c r="W2035">
        <v>5</v>
      </c>
      <c r="X2035" t="s">
        <v>9291</v>
      </c>
      <c r="Y2035">
        <v>0.54251629352528286</v>
      </c>
      <c r="Z2035" t="str">
        <f>HYPERLINK("Melting_Curves/meltCurve_sp_Q8NFI3_ENASE_HUMAN_.pdf", "Melting_Curves/meltCurve_sp_Q8NFI3_ENASE_HUMAN_.pdf")</f>
        <v>Melting_Curves/meltCurve_sp_Q8NFI3_ENASE_HUMAN_.pdf</v>
      </c>
      <c r="AA2035" t="s">
        <v>12888</v>
      </c>
      <c r="AB2035" t="s">
        <v>16460</v>
      </c>
    </row>
    <row r="2036" spans="1:28" x14ac:dyDescent="0.25">
      <c r="A2036" t="s">
        <v>2040</v>
      </c>
      <c r="B2036">
        <v>0.98018197421672304</v>
      </c>
      <c r="C2036">
        <v>0.95043547598697098</v>
      </c>
      <c r="D2036">
        <v>0.825984749367767</v>
      </c>
      <c r="E2036">
        <v>0.71977658166188596</v>
      </c>
      <c r="F2036">
        <v>0.73754536479218002</v>
      </c>
      <c r="G2036">
        <v>0.66792490049117503</v>
      </c>
      <c r="H2036">
        <v>0.450730118065713</v>
      </c>
      <c r="I2036">
        <v>0.53594560669270097</v>
      </c>
      <c r="J2036">
        <v>0.43095579422232999</v>
      </c>
      <c r="K2036">
        <v>0.79149256711874505</v>
      </c>
      <c r="L2036">
        <v>633.96274866802196</v>
      </c>
      <c r="M2036">
        <v>13.039002914744099</v>
      </c>
      <c r="O2036">
        <v>47.519508159032299</v>
      </c>
      <c r="P2036">
        <v>-3.0360831969332099E-2</v>
      </c>
      <c r="Q2036">
        <v>0.55748766088301804</v>
      </c>
      <c r="R2036">
        <v>0.69752946454140896</v>
      </c>
      <c r="S2036" t="s">
        <v>5665</v>
      </c>
      <c r="T2036" t="s">
        <v>7256</v>
      </c>
      <c r="U2036" t="s">
        <v>7256</v>
      </c>
      <c r="V2036" t="s">
        <v>7256</v>
      </c>
      <c r="W2036">
        <v>1</v>
      </c>
      <c r="X2036" t="s">
        <v>9292</v>
      </c>
      <c r="Y2036">
        <v>0.69902791314032098</v>
      </c>
      <c r="Z2036" t="str">
        <f>HYPERLINK("Melting_Curves/meltCurve_sp_Q8NFQ8_TOIP2_HUMAN_.pdf", "Melting_Curves/meltCurve_sp_Q8NFQ8_TOIP2_HUMAN_.pdf")</f>
        <v>Melting_Curves/meltCurve_sp_Q8NFQ8_TOIP2_HUMAN_.pdf</v>
      </c>
      <c r="AA2036" t="s">
        <v>12889</v>
      </c>
      <c r="AB2036" t="s">
        <v>16461</v>
      </c>
    </row>
    <row r="2037" spans="1:28" x14ac:dyDescent="0.25">
      <c r="A2037" t="s">
        <v>2041</v>
      </c>
      <c r="B2037">
        <v>0.98018197421672304</v>
      </c>
      <c r="C2037">
        <v>0.96121253007153096</v>
      </c>
      <c r="D2037">
        <v>0.74346602354871505</v>
      </c>
      <c r="E2037">
        <v>0.69441165211835898</v>
      </c>
      <c r="F2037">
        <v>0.63526803763094597</v>
      </c>
      <c r="G2037">
        <v>0.40664814897372697</v>
      </c>
      <c r="H2037">
        <v>0.24174110141643901</v>
      </c>
      <c r="I2037">
        <v>0.24708042435587399</v>
      </c>
      <c r="J2037">
        <v>0.32965901443950901</v>
      </c>
      <c r="K2037">
        <v>0.37390023509821302</v>
      </c>
      <c r="L2037">
        <v>608.33526515198901</v>
      </c>
      <c r="M2037">
        <v>11.931334463924401</v>
      </c>
      <c r="N2037">
        <v>54.239441477779899</v>
      </c>
      <c r="O2037">
        <v>49.617395398815702</v>
      </c>
      <c r="P2037">
        <v>-4.4764893298069298E-2</v>
      </c>
      <c r="Q2037">
        <v>0.25555024324701298</v>
      </c>
      <c r="R2037">
        <v>0.93693158818879196</v>
      </c>
      <c r="S2037" t="s">
        <v>5666</v>
      </c>
      <c r="T2037" t="s">
        <v>7256</v>
      </c>
      <c r="U2037" t="s">
        <v>7256</v>
      </c>
      <c r="V2037" t="s">
        <v>7256</v>
      </c>
      <c r="W2037">
        <v>9</v>
      </c>
      <c r="X2037" t="s">
        <v>9293</v>
      </c>
      <c r="Y2037">
        <v>0.55267686464727683</v>
      </c>
      <c r="Z2037" t="str">
        <f>HYPERLINK("Melting_Curves/meltCurve_sp_Q8NFU3_4_TSTD1_HUMAN_.pdf", "Melting_Curves/meltCurve_sp_Q8NFU3_4_TSTD1_HUMAN_.pdf")</f>
        <v>Melting_Curves/meltCurve_sp_Q8NFU3_4_TSTD1_HUMAN_.pdf</v>
      </c>
      <c r="AA2037" t="s">
        <v>12890</v>
      </c>
      <c r="AB2037" t="s">
        <v>16462</v>
      </c>
    </row>
    <row r="2038" spans="1:28" x14ac:dyDescent="0.25">
      <c r="A2038" t="s">
        <v>2042</v>
      </c>
      <c r="B2038">
        <v>0.98018197421672304</v>
      </c>
      <c r="C2038">
        <v>1.0389869405362699</v>
      </c>
      <c r="D2038">
        <v>0.96094623663311696</v>
      </c>
      <c r="E2038">
        <v>0.89042381393520498</v>
      </c>
      <c r="F2038">
        <v>0.96733319634722803</v>
      </c>
      <c r="G2038">
        <v>0.90384411016265198</v>
      </c>
      <c r="H2038">
        <v>0.65638288605753903</v>
      </c>
      <c r="I2038">
        <v>0.69079899168579195</v>
      </c>
      <c r="J2038">
        <v>0.94350095228932296</v>
      </c>
      <c r="K2038">
        <v>0.71218155887279899</v>
      </c>
      <c r="L2038">
        <v>14276.5222587238</v>
      </c>
      <c r="M2038">
        <v>250</v>
      </c>
      <c r="O2038">
        <v>57.1024369491344</v>
      </c>
      <c r="P2038">
        <v>-0.27284728003511699</v>
      </c>
      <c r="Q2038">
        <v>0.75071609675724904</v>
      </c>
      <c r="R2038">
        <v>0.59697473539703705</v>
      </c>
      <c r="S2038" t="s">
        <v>5667</v>
      </c>
      <c r="T2038" t="s">
        <v>7256</v>
      </c>
      <c r="U2038" t="s">
        <v>7256</v>
      </c>
      <c r="V2038" t="s">
        <v>7256</v>
      </c>
      <c r="W2038">
        <v>9</v>
      </c>
      <c r="X2038" t="s">
        <v>9294</v>
      </c>
      <c r="Y2038">
        <v>0.89288350152541451</v>
      </c>
      <c r="Z2038" t="str">
        <f>HYPERLINK("Melting_Curves/meltCurve_sp_Q8NFU3_TSTD1_HUMAN_.pdf", "Melting_Curves/meltCurve_sp_Q8NFU3_TSTD1_HUMAN_.pdf")</f>
        <v>Melting_Curves/meltCurve_sp_Q8NFU3_TSTD1_HUMAN_.pdf</v>
      </c>
      <c r="AA2038" t="s">
        <v>12890</v>
      </c>
      <c r="AB2038" t="s">
        <v>16463</v>
      </c>
    </row>
    <row r="2039" spans="1:28" x14ac:dyDescent="0.25">
      <c r="A2039" t="s">
        <v>2043</v>
      </c>
      <c r="B2039">
        <v>0.98018197421672304</v>
      </c>
      <c r="C2039">
        <v>1.04576403114697</v>
      </c>
      <c r="D2039">
        <v>0.90535364332940205</v>
      </c>
      <c r="E2039">
        <v>0.72720970789720796</v>
      </c>
      <c r="F2039">
        <v>0.35072485543087401</v>
      </c>
      <c r="G2039">
        <v>0.12580267706363699</v>
      </c>
      <c r="H2039">
        <v>8.3692980906926007E-2</v>
      </c>
      <c r="I2039">
        <v>5.5326409165708398E-2</v>
      </c>
      <c r="J2039">
        <v>8.0610057257226003E-2</v>
      </c>
      <c r="K2039">
        <v>4.1666125776995903E-2</v>
      </c>
      <c r="L2039">
        <v>1342.17328129872</v>
      </c>
      <c r="M2039">
        <v>26.056952677936899</v>
      </c>
      <c r="N2039">
        <v>51.751872145845802</v>
      </c>
      <c r="O2039">
        <v>51.208684278553498</v>
      </c>
      <c r="P2039">
        <v>-0.119896303907117</v>
      </c>
      <c r="Q2039">
        <v>5.75007229605548E-2</v>
      </c>
      <c r="R2039">
        <v>0.99539375761831905</v>
      </c>
      <c r="S2039" t="s">
        <v>5668</v>
      </c>
      <c r="T2039" t="s">
        <v>7256</v>
      </c>
      <c r="U2039" t="s">
        <v>7256</v>
      </c>
      <c r="V2039" t="s">
        <v>7256</v>
      </c>
      <c r="W2039">
        <v>5</v>
      </c>
      <c r="X2039" t="s">
        <v>9295</v>
      </c>
      <c r="Y2039">
        <v>0.42697783010555629</v>
      </c>
      <c r="Z2039" t="str">
        <f>HYPERLINK("Melting_Curves/meltCurve_sp_Q8NFV4_ABHDB_HUMAN_.pdf", "Melting_Curves/meltCurve_sp_Q8NFV4_ABHDB_HUMAN_.pdf")</f>
        <v>Melting_Curves/meltCurve_sp_Q8NFV4_ABHDB_HUMAN_.pdf</v>
      </c>
      <c r="AA2039" t="s">
        <v>12891</v>
      </c>
      <c r="AB2039" t="s">
        <v>16464</v>
      </c>
    </row>
    <row r="2040" spans="1:28" x14ac:dyDescent="0.25">
      <c r="A2040" t="s">
        <v>2044</v>
      </c>
      <c r="B2040">
        <v>0.98018197421672304</v>
      </c>
      <c r="C2040">
        <v>0.96913720491798505</v>
      </c>
      <c r="D2040">
        <v>0.89157642046242502</v>
      </c>
      <c r="E2040">
        <v>0.63671010421104102</v>
      </c>
      <c r="F2040">
        <v>0.146147820164577</v>
      </c>
      <c r="G2040">
        <v>8.8515153486005305E-2</v>
      </c>
      <c r="H2040">
        <v>5.1863236357588501E-2</v>
      </c>
      <c r="I2040">
        <v>4.3847807481137098E-2</v>
      </c>
      <c r="J2040">
        <v>6.1797902552916603E-2</v>
      </c>
      <c r="K2040">
        <v>3.1645086489810403E-2</v>
      </c>
      <c r="L2040">
        <v>1989.7218463018</v>
      </c>
      <c r="M2040">
        <v>39.406530473763297</v>
      </c>
      <c r="N2040">
        <v>50.625071387165299</v>
      </c>
      <c r="O2040">
        <v>50.362697423693298</v>
      </c>
      <c r="P2040">
        <v>-0.186001988196181</v>
      </c>
      <c r="Q2040">
        <v>4.9138516744572799E-2</v>
      </c>
      <c r="R2040">
        <v>0.99267129157002498</v>
      </c>
      <c r="S2040" t="s">
        <v>5669</v>
      </c>
      <c r="T2040" t="s">
        <v>7256</v>
      </c>
      <c r="U2040" t="s">
        <v>7256</v>
      </c>
      <c r="V2040" t="s">
        <v>7256</v>
      </c>
      <c r="W2040">
        <v>12</v>
      </c>
      <c r="X2040" t="s">
        <v>9296</v>
      </c>
      <c r="Y2040">
        <v>0.3851130017516346</v>
      </c>
      <c r="Z2040" t="str">
        <f>HYPERLINK("Melting_Curves/meltCurve_sp_Q8NFW8_NEUA_HUMAN_.pdf", "Melting_Curves/meltCurve_sp_Q8NFW8_NEUA_HUMAN_.pdf")</f>
        <v>Melting_Curves/meltCurve_sp_Q8NFW8_NEUA_HUMAN_.pdf</v>
      </c>
      <c r="AA2040" t="s">
        <v>12892</v>
      </c>
      <c r="AB2040" t="s">
        <v>16465</v>
      </c>
    </row>
    <row r="2041" spans="1:28" x14ac:dyDescent="0.25">
      <c r="A2041" t="s">
        <v>2045</v>
      </c>
      <c r="B2041">
        <v>0.98018197421672304</v>
      </c>
      <c r="C2041">
        <v>1.0886365785574601</v>
      </c>
      <c r="D2041">
        <v>0.87869972898144699</v>
      </c>
      <c r="E2041">
        <v>0.73415351996560796</v>
      </c>
      <c r="F2041">
        <v>0.61856314935055301</v>
      </c>
      <c r="G2041">
        <v>0.44476572342909798</v>
      </c>
      <c r="H2041">
        <v>0.47773910396126201</v>
      </c>
      <c r="I2041">
        <v>0.48311813922830199</v>
      </c>
      <c r="J2041">
        <v>0.82513756560321605</v>
      </c>
      <c r="K2041">
        <v>0.75677701614432102</v>
      </c>
      <c r="L2041">
        <v>1458.7645623231499</v>
      </c>
      <c r="M2041">
        <v>30.286435905925298</v>
      </c>
      <c r="O2041">
        <v>47.957089810860502</v>
      </c>
      <c r="P2041">
        <v>-6.3156698617559404E-2</v>
      </c>
      <c r="Q2041">
        <v>0.59998040843643397</v>
      </c>
      <c r="R2041">
        <v>0.67731528820994302</v>
      </c>
      <c r="S2041" t="s">
        <v>5670</v>
      </c>
      <c r="T2041" t="s">
        <v>7256</v>
      </c>
      <c r="U2041" t="s">
        <v>7256</v>
      </c>
      <c r="V2041" t="s">
        <v>7256</v>
      </c>
      <c r="W2041">
        <v>3</v>
      </c>
      <c r="X2041" t="s">
        <v>9297</v>
      </c>
      <c r="Y2041">
        <v>0.71122461067952658</v>
      </c>
      <c r="Z2041" t="str">
        <f>HYPERLINK("Melting_Curves/meltCurve_sp_Q8NHG8_ZNRF2_HUMAN_.pdf", "Melting_Curves/meltCurve_sp_Q8NHG8_ZNRF2_HUMAN_.pdf")</f>
        <v>Melting_Curves/meltCurve_sp_Q8NHG8_ZNRF2_HUMAN_.pdf</v>
      </c>
      <c r="AA2041" t="s">
        <v>12893</v>
      </c>
      <c r="AB2041" t="s">
        <v>16466</v>
      </c>
    </row>
    <row r="2042" spans="1:28" x14ac:dyDescent="0.25">
      <c r="A2042" t="s">
        <v>2046</v>
      </c>
      <c r="B2042">
        <v>0.98018197421672304</v>
      </c>
      <c r="C2042">
        <v>0.90799143603140597</v>
      </c>
      <c r="D2042">
        <v>0.79398365158144102</v>
      </c>
      <c r="E2042">
        <v>0.43214463841441902</v>
      </c>
      <c r="F2042">
        <v>0.15783753580245699</v>
      </c>
      <c r="G2042">
        <v>6.0863809189056997E-2</v>
      </c>
      <c r="H2042">
        <v>3.0529932439157598E-2</v>
      </c>
      <c r="I2042">
        <v>2.40611697369329E-2</v>
      </c>
      <c r="J2042">
        <v>2.8647959178213299E-2</v>
      </c>
      <c r="K2042">
        <v>1.44729188336886E-2</v>
      </c>
      <c r="L2042">
        <v>983.31169094209304</v>
      </c>
      <c r="M2042">
        <v>20.071695276216499</v>
      </c>
      <c r="N2042">
        <v>49.046653231836203</v>
      </c>
      <c r="O2042">
        <v>48.511463292648301</v>
      </c>
      <c r="P2042">
        <v>-0.102255218733017</v>
      </c>
      <c r="Q2042">
        <v>1.1465520725122001E-2</v>
      </c>
      <c r="R2042">
        <v>0.99768453437123505</v>
      </c>
      <c r="S2042" t="s">
        <v>5671</v>
      </c>
      <c r="T2042" t="s">
        <v>7256</v>
      </c>
      <c r="U2042" t="s">
        <v>7256</v>
      </c>
      <c r="V2042" t="s">
        <v>7256</v>
      </c>
      <c r="W2042">
        <v>2</v>
      </c>
      <c r="X2042" t="s">
        <v>9298</v>
      </c>
      <c r="Y2042">
        <v>0.32144324200684588</v>
      </c>
      <c r="Z2042" t="str">
        <f>HYPERLINK("Melting_Curves/meltCurve_sp_Q8NHH9_2_ATLA2_HUMAN_.pdf", "Melting_Curves/meltCurve_sp_Q8NHH9_2_ATLA2_HUMAN_.pdf")</f>
        <v>Melting_Curves/meltCurve_sp_Q8NHH9_2_ATLA2_HUMAN_.pdf</v>
      </c>
      <c r="AA2042" t="s">
        <v>12894</v>
      </c>
      <c r="AB2042" t="s">
        <v>16467</v>
      </c>
    </row>
    <row r="2043" spans="1:28" x14ac:dyDescent="0.25">
      <c r="A2043" t="s">
        <v>2047</v>
      </c>
      <c r="B2043">
        <v>0.98018197421672304</v>
      </c>
      <c r="C2043">
        <v>0.97304363835908603</v>
      </c>
      <c r="D2043">
        <v>0.93320573107787996</v>
      </c>
      <c r="E2043">
        <v>0.87141664579692601</v>
      </c>
      <c r="F2043">
        <v>0.700771312968128</v>
      </c>
      <c r="G2043">
        <v>0.491581962475868</v>
      </c>
      <c r="H2043">
        <v>0.29493804006708302</v>
      </c>
      <c r="I2043">
        <v>0.31235396368609603</v>
      </c>
      <c r="J2043">
        <v>0.36814285260396801</v>
      </c>
      <c r="K2043">
        <v>0.49629899412629602</v>
      </c>
      <c r="L2043">
        <v>1295.8050698900499</v>
      </c>
      <c r="M2043">
        <v>24.428772237624599</v>
      </c>
      <c r="N2043">
        <v>56.061342965614699</v>
      </c>
      <c r="O2043">
        <v>52.692592320589199</v>
      </c>
      <c r="P2043">
        <v>-7.3515056947988197E-2</v>
      </c>
      <c r="Q2043">
        <v>0.36572468001325098</v>
      </c>
      <c r="R2043">
        <v>0.95145055384017696</v>
      </c>
      <c r="S2043" t="s">
        <v>5672</v>
      </c>
      <c r="T2043" t="s">
        <v>7256</v>
      </c>
      <c r="U2043" t="s">
        <v>7256</v>
      </c>
      <c r="V2043" t="s">
        <v>7256</v>
      </c>
      <c r="W2043">
        <v>2</v>
      </c>
      <c r="X2043" t="s">
        <v>9299</v>
      </c>
      <c r="Y2043">
        <v>0.64761162864584454</v>
      </c>
      <c r="Z2043" t="str">
        <f>HYPERLINK("Melting_Curves/meltCurve_sp_Q8NHM4_TRY6_HUMAN_.pdf", "Melting_Curves/meltCurve_sp_Q8NHM4_TRY6_HUMAN_.pdf")</f>
        <v>Melting_Curves/meltCurve_sp_Q8NHM4_TRY6_HUMAN_.pdf</v>
      </c>
      <c r="AA2043" t="s">
        <v>12895</v>
      </c>
      <c r="AB2043" t="s">
        <v>16468</v>
      </c>
    </row>
    <row r="2044" spans="1:28" x14ac:dyDescent="0.25">
      <c r="A2044" t="s">
        <v>2048</v>
      </c>
      <c r="B2044">
        <v>0.98018197421672304</v>
      </c>
      <c r="C2044">
        <v>0.98890384282691202</v>
      </c>
      <c r="D2044">
        <v>0.88246859782244602</v>
      </c>
      <c r="E2044">
        <v>0.67451488762426903</v>
      </c>
      <c r="F2044">
        <v>0.73562494846986803</v>
      </c>
      <c r="G2044">
        <v>0.419106128088577</v>
      </c>
      <c r="H2044">
        <v>0.60677657993107503</v>
      </c>
      <c r="I2044">
        <v>0.48283403299389699</v>
      </c>
      <c r="J2044">
        <v>0.97762023622148397</v>
      </c>
      <c r="K2044">
        <v>0.76762067442392501</v>
      </c>
      <c r="L2044">
        <v>1890.89428465368</v>
      </c>
      <c r="M2044">
        <v>40.497568001393503</v>
      </c>
      <c r="O2044">
        <v>46.578147462045202</v>
      </c>
      <c r="P2044">
        <v>-7.3279025410154006E-2</v>
      </c>
      <c r="Q2044">
        <v>0.66287422015378705</v>
      </c>
      <c r="R2044">
        <v>0.45599608518496199</v>
      </c>
      <c r="S2044" t="s">
        <v>5673</v>
      </c>
      <c r="T2044" t="s">
        <v>7256</v>
      </c>
      <c r="U2044" t="s">
        <v>7256</v>
      </c>
      <c r="V2044" t="s">
        <v>7256</v>
      </c>
      <c r="W2044">
        <v>2</v>
      </c>
      <c r="X2044" t="s">
        <v>9300</v>
      </c>
      <c r="Y2044">
        <v>0.73914264390262729</v>
      </c>
      <c r="Z2044" t="str">
        <f>HYPERLINK("Melting_Curves/meltCurve_sp_Q8NI08_2_NCOA7_HUMAN_.pdf", "Melting_Curves/meltCurve_sp_Q8NI08_2_NCOA7_HUMAN_.pdf")</f>
        <v>Melting_Curves/meltCurve_sp_Q8NI08_2_NCOA7_HUMAN_.pdf</v>
      </c>
      <c r="AA2044" t="s">
        <v>12896</v>
      </c>
      <c r="AB2044" t="s">
        <v>16469</v>
      </c>
    </row>
    <row r="2045" spans="1:28" x14ac:dyDescent="0.25">
      <c r="A2045" t="s">
        <v>2049</v>
      </c>
      <c r="B2045">
        <v>0.98018197421672304</v>
      </c>
      <c r="C2045">
        <v>0.91465516482124398</v>
      </c>
      <c r="D2045">
        <v>0.87143441030009205</v>
      </c>
      <c r="E2045">
        <v>0.72192244306207598</v>
      </c>
      <c r="F2045">
        <v>0.72210885787009804</v>
      </c>
      <c r="G2045">
        <v>0.651099628004846</v>
      </c>
      <c r="H2045">
        <v>0.52762544325685101</v>
      </c>
      <c r="I2045">
        <v>0.559284667489655</v>
      </c>
      <c r="J2045">
        <v>0.68907123171003504</v>
      </c>
      <c r="K2045">
        <v>0.64719353803089597</v>
      </c>
      <c r="L2045">
        <v>686.85981366479803</v>
      </c>
      <c r="M2045">
        <v>14.3787396392904</v>
      </c>
      <c r="O2045">
        <v>46.873662210370298</v>
      </c>
      <c r="P2045">
        <v>-3.0268408346714699E-2</v>
      </c>
      <c r="Q2045">
        <v>0.60535566969181798</v>
      </c>
      <c r="R2045">
        <v>0.88960267203864596</v>
      </c>
      <c r="S2045" t="s">
        <v>5674</v>
      </c>
      <c r="T2045" t="s">
        <v>7256</v>
      </c>
      <c r="U2045" t="s">
        <v>7256</v>
      </c>
      <c r="V2045" t="s">
        <v>7256</v>
      </c>
      <c r="W2045">
        <v>4</v>
      </c>
      <c r="X2045" t="s">
        <v>9301</v>
      </c>
      <c r="Y2045">
        <v>0.7187255238206316</v>
      </c>
      <c r="Z2045" t="str">
        <f>HYPERLINK("Melting_Curves/meltCurve_sp_Q8NI27_THOC2_HUMAN_.pdf", "Melting_Curves/meltCurve_sp_Q8NI27_THOC2_HUMAN_.pdf")</f>
        <v>Melting_Curves/meltCurve_sp_Q8NI27_THOC2_HUMAN_.pdf</v>
      </c>
      <c r="AA2045" t="s">
        <v>12897</v>
      </c>
      <c r="AB2045" t="s">
        <v>16470</v>
      </c>
    </row>
    <row r="2046" spans="1:28" x14ac:dyDescent="0.25">
      <c r="A2046" t="s">
        <v>2050</v>
      </c>
      <c r="B2046">
        <v>0.98018197421672304</v>
      </c>
      <c r="C2046">
        <v>1.0006611082083501</v>
      </c>
      <c r="D2046">
        <v>0.84851792325451203</v>
      </c>
      <c r="E2046">
        <v>0.61026069995138799</v>
      </c>
      <c r="F2046">
        <v>0.31149752852684998</v>
      </c>
      <c r="G2046">
        <v>0.168848362108492</v>
      </c>
      <c r="H2046">
        <v>0.12382127422848301</v>
      </c>
      <c r="I2046">
        <v>0.120101399160518</v>
      </c>
      <c r="J2046">
        <v>0.12844814081719799</v>
      </c>
      <c r="K2046">
        <v>0.14070486183457201</v>
      </c>
      <c r="L2046">
        <v>1078.6174199908</v>
      </c>
      <c r="M2046">
        <v>21.491740528168201</v>
      </c>
      <c r="N2046">
        <v>50.8160573886585</v>
      </c>
      <c r="O2046">
        <v>49.759079440536503</v>
      </c>
      <c r="P2046">
        <v>-9.5378964683383499E-2</v>
      </c>
      <c r="Q2046">
        <v>0.116711223990196</v>
      </c>
      <c r="R2046">
        <v>0.99615741503387101</v>
      </c>
      <c r="S2046" t="s">
        <v>5675</v>
      </c>
      <c r="T2046" t="s">
        <v>7256</v>
      </c>
      <c r="U2046" t="s">
        <v>7256</v>
      </c>
      <c r="V2046" t="s">
        <v>7256</v>
      </c>
      <c r="W2046">
        <v>7</v>
      </c>
      <c r="X2046" t="s">
        <v>9302</v>
      </c>
      <c r="Y2046">
        <v>0.42734191134127958</v>
      </c>
      <c r="Z2046" t="str">
        <f>HYPERLINK("Melting_Curves/meltCurve_sp_Q8NI60_ADCK3_HUMAN_.pdf", "Melting_Curves/meltCurve_sp_Q8NI60_ADCK3_HUMAN_.pdf")</f>
        <v>Melting_Curves/meltCurve_sp_Q8NI60_ADCK3_HUMAN_.pdf</v>
      </c>
      <c r="AA2046" t="s">
        <v>12898</v>
      </c>
      <c r="AB2046" t="s">
        <v>16471</v>
      </c>
    </row>
    <row r="2047" spans="1:28" x14ac:dyDescent="0.25">
      <c r="A2047" t="s">
        <v>2051</v>
      </c>
      <c r="B2047">
        <v>0.98018197421672304</v>
      </c>
      <c r="C2047">
        <v>0.67098727867353303</v>
      </c>
      <c r="D2047">
        <v>0.77825183799478004</v>
      </c>
      <c r="E2047">
        <v>0.73792362311054305</v>
      </c>
      <c r="F2047">
        <v>0.529919951170429</v>
      </c>
      <c r="G2047">
        <v>0.30465523510137898</v>
      </c>
      <c r="H2047">
        <v>0.31098985554056902</v>
      </c>
      <c r="I2047">
        <v>0.33735635422028099</v>
      </c>
      <c r="J2047">
        <v>0.24503140384543601</v>
      </c>
      <c r="K2047">
        <v>0.30309555851561598</v>
      </c>
      <c r="L2047">
        <v>395.370951384298</v>
      </c>
      <c r="M2047">
        <v>7.7635302325186597</v>
      </c>
      <c r="N2047">
        <v>53.599751963277399</v>
      </c>
      <c r="O2047">
        <v>47.878812850229501</v>
      </c>
      <c r="P2047">
        <v>-3.4073665170731099E-2</v>
      </c>
      <c r="Q2047">
        <v>0.16051292907759901</v>
      </c>
      <c r="R2047">
        <v>0.88341028194825699</v>
      </c>
      <c r="S2047" t="s">
        <v>5676</v>
      </c>
      <c r="T2047" t="s">
        <v>7256</v>
      </c>
      <c r="U2047" t="s">
        <v>7256</v>
      </c>
      <c r="V2047" t="s">
        <v>7256</v>
      </c>
      <c r="W2047">
        <v>1</v>
      </c>
      <c r="X2047" t="s">
        <v>9303</v>
      </c>
      <c r="Y2047">
        <v>0.51284533515861175</v>
      </c>
      <c r="Z2047" t="str">
        <f>HYPERLINK("Melting_Curves/meltCurve_sp_Q8TAE8_G45IP_HUMAN_.pdf", "Melting_Curves/meltCurve_sp_Q8TAE8_G45IP_HUMAN_.pdf")</f>
        <v>Melting_Curves/meltCurve_sp_Q8TAE8_G45IP_HUMAN_.pdf</v>
      </c>
      <c r="AA2047" t="s">
        <v>12899</v>
      </c>
      <c r="AB2047" t="s">
        <v>16472</v>
      </c>
    </row>
    <row r="2048" spans="1:28" x14ac:dyDescent="0.25">
      <c r="A2048" t="s">
        <v>2052</v>
      </c>
      <c r="B2048">
        <v>0.98018197421672304</v>
      </c>
      <c r="C2048">
        <v>0.92172763257491896</v>
      </c>
      <c r="D2048">
        <v>0.76906582139257795</v>
      </c>
      <c r="E2048">
        <v>0.51960455827037699</v>
      </c>
      <c r="F2048">
        <v>0.30783159285830802</v>
      </c>
      <c r="G2048">
        <v>0.19883434864910399</v>
      </c>
      <c r="H2048">
        <v>0.130550498276054</v>
      </c>
      <c r="I2048">
        <v>0.111954079669315</v>
      </c>
      <c r="J2048">
        <v>0.10268429756143301</v>
      </c>
      <c r="K2048">
        <v>8.8605597629451097E-2</v>
      </c>
      <c r="L2048">
        <v>755.140446064466</v>
      </c>
      <c r="M2048">
        <v>15.270036720025701</v>
      </c>
      <c r="N2048">
        <v>50.0481200383797</v>
      </c>
      <c r="O2048">
        <v>48.6275834179161</v>
      </c>
      <c r="P2048">
        <v>-7.1988462239008802E-2</v>
      </c>
      <c r="Q2048">
        <v>8.3094565234457504E-2</v>
      </c>
      <c r="R2048">
        <v>0.99928929999282901</v>
      </c>
      <c r="S2048" t="s">
        <v>5677</v>
      </c>
      <c r="T2048" t="s">
        <v>7256</v>
      </c>
      <c r="U2048" t="s">
        <v>7256</v>
      </c>
      <c r="V2048" t="s">
        <v>7256</v>
      </c>
      <c r="W2048">
        <v>5</v>
      </c>
      <c r="X2048" t="s">
        <v>9304</v>
      </c>
      <c r="Y2048">
        <v>0.39354158112838977</v>
      </c>
      <c r="Z2048" t="str">
        <f>HYPERLINK("Melting_Curves/meltCurve_sp_Q8TAQ2_2_SMRC2_HUMAN_.pdf", "Melting_Curves/meltCurve_sp_Q8TAQ2_2_SMRC2_HUMAN_.pdf")</f>
        <v>Melting_Curves/meltCurve_sp_Q8TAQ2_2_SMRC2_HUMAN_.pdf</v>
      </c>
      <c r="AA2048" t="s">
        <v>12900</v>
      </c>
      <c r="AB2048" t="s">
        <v>16473</v>
      </c>
    </row>
    <row r="2049" spans="1:28" x14ac:dyDescent="0.25">
      <c r="A2049" t="s">
        <v>2053</v>
      </c>
      <c r="B2049">
        <v>0.98018197421672304</v>
      </c>
      <c r="C2049">
        <v>0.96517028318980402</v>
      </c>
      <c r="D2049">
        <v>0.89434310333419897</v>
      </c>
      <c r="E2049">
        <v>0.64078715890369398</v>
      </c>
      <c r="F2049">
        <v>0.38014677405234598</v>
      </c>
      <c r="G2049">
        <v>0.17254439599573701</v>
      </c>
      <c r="H2049">
        <v>8.2814138515873006E-2</v>
      </c>
      <c r="I2049">
        <v>5.7004246959399998E-2</v>
      </c>
      <c r="J2049">
        <v>6.6120425429444102E-2</v>
      </c>
      <c r="K2049">
        <v>4.5436397575221797E-2</v>
      </c>
      <c r="L2049">
        <v>942.92273552926599</v>
      </c>
      <c r="M2049">
        <v>18.374235279664301</v>
      </c>
      <c r="N2049">
        <v>51.5486948949412</v>
      </c>
      <c r="O2049">
        <v>50.7213914214189</v>
      </c>
      <c r="P2049">
        <v>-8.6988854583220906E-2</v>
      </c>
      <c r="Q2049">
        <v>3.9525735961950102E-2</v>
      </c>
      <c r="R2049">
        <v>0.99955636249653002</v>
      </c>
      <c r="S2049" t="s">
        <v>5678</v>
      </c>
      <c r="T2049" t="s">
        <v>7256</v>
      </c>
      <c r="U2049" t="s">
        <v>7256</v>
      </c>
      <c r="V2049" t="s">
        <v>7256</v>
      </c>
      <c r="W2049">
        <v>12</v>
      </c>
      <c r="X2049" t="s">
        <v>9305</v>
      </c>
      <c r="Y2049">
        <v>0.41741247911511969</v>
      </c>
      <c r="Z2049" t="str">
        <f>HYPERLINK("Melting_Curves/meltCurve_sp_Q8TAT6_NPL4_HUMAN_.pdf", "Melting_Curves/meltCurve_sp_Q8TAT6_NPL4_HUMAN_.pdf")</f>
        <v>Melting_Curves/meltCurve_sp_Q8TAT6_NPL4_HUMAN_.pdf</v>
      </c>
      <c r="AA2049" t="s">
        <v>12901</v>
      </c>
      <c r="AB2049" t="s">
        <v>16474</v>
      </c>
    </row>
    <row r="2050" spans="1:28" x14ac:dyDescent="0.25">
      <c r="A2050" t="s">
        <v>2054</v>
      </c>
      <c r="B2050">
        <v>0.98018197421672304</v>
      </c>
      <c r="C2050">
        <v>1.0039125506817099</v>
      </c>
      <c r="D2050">
        <v>0.81864116379338503</v>
      </c>
      <c r="E2050">
        <v>0.66528232627491501</v>
      </c>
      <c r="F2050">
        <v>0.53703159560645097</v>
      </c>
      <c r="G2050">
        <v>0.220447417723204</v>
      </c>
      <c r="H2050">
        <v>6.1643559195009599E-2</v>
      </c>
      <c r="I2050">
        <v>5.1546658365298703E-2</v>
      </c>
      <c r="J2050">
        <v>5.4436909282816699E-2</v>
      </c>
      <c r="K2050">
        <v>5.14646244314588E-2</v>
      </c>
      <c r="L2050">
        <v>767.88673762109897</v>
      </c>
      <c r="M2050">
        <v>14.6187622288382</v>
      </c>
      <c r="N2050">
        <v>52.527496121426402</v>
      </c>
      <c r="O2050">
        <v>51.573925664735803</v>
      </c>
      <c r="P2050">
        <v>-7.0871063232759504E-2</v>
      </c>
      <c r="Q2050">
        <v>0</v>
      </c>
      <c r="R2050">
        <v>0.98896355114357504</v>
      </c>
      <c r="S2050" t="s">
        <v>5679</v>
      </c>
      <c r="T2050" t="s">
        <v>7256</v>
      </c>
      <c r="U2050" t="s">
        <v>7256</v>
      </c>
      <c r="V2050" t="s">
        <v>7256</v>
      </c>
      <c r="W2050">
        <v>3</v>
      </c>
      <c r="X2050" t="s">
        <v>9306</v>
      </c>
      <c r="Y2050">
        <v>0.44034343337470522</v>
      </c>
      <c r="Z2050" t="str">
        <f>HYPERLINK("Melting_Curves/meltCurve_sp_Q8TB03_CX038_HUMAN_.pdf", "Melting_Curves/meltCurve_sp_Q8TB03_CX038_HUMAN_.pdf")</f>
        <v>Melting_Curves/meltCurve_sp_Q8TB03_CX038_HUMAN_.pdf</v>
      </c>
      <c r="AA2050" t="s">
        <v>12902</v>
      </c>
      <c r="AB2050" t="s">
        <v>16475</v>
      </c>
    </row>
    <row r="2051" spans="1:28" x14ac:dyDescent="0.25">
      <c r="A2051" t="s">
        <v>2055</v>
      </c>
      <c r="B2051">
        <v>0.98018197421672304</v>
      </c>
      <c r="C2051">
        <v>1.00058165782661</v>
      </c>
      <c r="D2051">
        <v>0.87419407695189999</v>
      </c>
      <c r="E2051">
        <v>0.67224879294003803</v>
      </c>
      <c r="F2051">
        <v>0.32667080634476903</v>
      </c>
      <c r="G2051">
        <v>0.110673707244343</v>
      </c>
      <c r="H2051">
        <v>0.13070462342043401</v>
      </c>
      <c r="I2051">
        <v>6.2096446192019601E-2</v>
      </c>
      <c r="J2051">
        <v>0.29007367191552103</v>
      </c>
      <c r="K2051">
        <v>4.45920462884433E-2</v>
      </c>
      <c r="L2051">
        <v>1336.8364090974801</v>
      </c>
      <c r="M2051">
        <v>26.357781434175401</v>
      </c>
      <c r="N2051">
        <v>51.235455358767098</v>
      </c>
      <c r="O2051">
        <v>50.4295957558735</v>
      </c>
      <c r="P2051">
        <v>-0.115420437836454</v>
      </c>
      <c r="Q2051">
        <v>0.116686881383953</v>
      </c>
      <c r="R2051">
        <v>0.965859668336989</v>
      </c>
      <c r="S2051" t="s">
        <v>5680</v>
      </c>
      <c r="T2051" t="s">
        <v>7256</v>
      </c>
      <c r="U2051" t="s">
        <v>7256</v>
      </c>
      <c r="V2051" t="s">
        <v>7256</v>
      </c>
      <c r="W2051">
        <v>11</v>
      </c>
      <c r="X2051" t="s">
        <v>9307</v>
      </c>
      <c r="Y2051">
        <v>0.43945265101148923</v>
      </c>
      <c r="Z2051" t="str">
        <f>HYPERLINK("Melting_Curves/meltCurve_sp_Q8TB22_SPT20_HUMAN_.pdf", "Melting_Curves/meltCurve_sp_Q8TB22_SPT20_HUMAN_.pdf")</f>
        <v>Melting_Curves/meltCurve_sp_Q8TB22_SPT20_HUMAN_.pdf</v>
      </c>
      <c r="AA2051" t="s">
        <v>12903</v>
      </c>
      <c r="AB2051" t="s">
        <v>16476</v>
      </c>
    </row>
    <row r="2052" spans="1:28" x14ac:dyDescent="0.25">
      <c r="A2052" t="s">
        <v>2056</v>
      </c>
      <c r="B2052">
        <v>0.98018197421672304</v>
      </c>
      <c r="C2052">
        <v>0.94229682519199598</v>
      </c>
      <c r="D2052">
        <v>0.93482838020919001</v>
      </c>
      <c r="E2052">
        <v>0.85187245196602601</v>
      </c>
      <c r="F2052">
        <v>0.93569353831228397</v>
      </c>
      <c r="G2052">
        <v>0.79623128480286798</v>
      </c>
      <c r="H2052">
        <v>0.27184644954190801</v>
      </c>
      <c r="I2052">
        <v>5.0200419365972603E-2</v>
      </c>
      <c r="J2052">
        <v>7.4568165769812603E-3</v>
      </c>
      <c r="K2052">
        <v>1.10300771667655E-2</v>
      </c>
      <c r="L2052">
        <v>2018.73364235293</v>
      </c>
      <c r="M2052">
        <v>34.108992392167401</v>
      </c>
      <c r="N2052">
        <v>59.184792634504902</v>
      </c>
      <c r="O2052">
        <v>58.982472407680298</v>
      </c>
      <c r="P2052">
        <v>-0.14457315865696799</v>
      </c>
      <c r="Q2052">
        <v>0</v>
      </c>
      <c r="R2052">
        <v>0.98097849743357202</v>
      </c>
      <c r="S2052" t="s">
        <v>5681</v>
      </c>
      <c r="T2052" t="s">
        <v>7256</v>
      </c>
      <c r="U2052" t="s">
        <v>7256</v>
      </c>
      <c r="V2052" t="s">
        <v>7256</v>
      </c>
      <c r="W2052">
        <v>2</v>
      </c>
      <c r="X2052" t="s">
        <v>9308</v>
      </c>
      <c r="Y2052">
        <v>0.64469241723990633</v>
      </c>
      <c r="Z2052" t="str">
        <f>HYPERLINK("Melting_Curves/meltCurve_sp_Q8TB45_DPTOR_HUMAN_.pdf", "Melting_Curves/meltCurve_sp_Q8TB45_DPTOR_HUMAN_.pdf")</f>
        <v>Melting_Curves/meltCurve_sp_Q8TB45_DPTOR_HUMAN_.pdf</v>
      </c>
      <c r="AA2052" t="s">
        <v>12904</v>
      </c>
      <c r="AB2052" t="s">
        <v>16477</v>
      </c>
    </row>
    <row r="2053" spans="1:28" x14ac:dyDescent="0.25">
      <c r="A2053" t="s">
        <v>2057</v>
      </c>
      <c r="B2053">
        <v>0.98018197421672304</v>
      </c>
      <c r="C2053">
        <v>0.92832434246414897</v>
      </c>
      <c r="D2053">
        <v>0.88598463761143698</v>
      </c>
      <c r="E2053">
        <v>0.75725685938705301</v>
      </c>
      <c r="F2053">
        <v>0.54123755654309502</v>
      </c>
      <c r="G2053">
        <v>0.33748007599795599</v>
      </c>
      <c r="H2053">
        <v>0.41725103580901701</v>
      </c>
      <c r="I2053">
        <v>0.39566711618254702</v>
      </c>
      <c r="J2053">
        <v>0.44377144859126</v>
      </c>
      <c r="K2053">
        <v>0.51753676577514596</v>
      </c>
      <c r="L2053">
        <v>1218.0986202996801</v>
      </c>
      <c r="M2053">
        <v>24.3308792988642</v>
      </c>
      <c r="N2053">
        <v>54.102475461999397</v>
      </c>
      <c r="O2053">
        <v>49.729382415017298</v>
      </c>
      <c r="P2053">
        <v>-7.1105971474083499E-2</v>
      </c>
      <c r="Q2053">
        <v>0.41868058660614099</v>
      </c>
      <c r="R2053">
        <v>0.94011421407582796</v>
      </c>
      <c r="S2053" t="s">
        <v>5682</v>
      </c>
      <c r="T2053" t="s">
        <v>7256</v>
      </c>
      <c r="U2053" t="s">
        <v>7256</v>
      </c>
      <c r="V2053" t="s">
        <v>7256</v>
      </c>
      <c r="W2053">
        <v>4</v>
      </c>
      <c r="X2053" t="s">
        <v>9309</v>
      </c>
      <c r="Y2053">
        <v>0.61918168154047359</v>
      </c>
      <c r="Z2053" t="str">
        <f>HYPERLINK("Melting_Curves/meltCurve_sp_Q8TBA6_2_GOGA5_HUMAN_.pdf", "Melting_Curves/meltCurve_sp_Q8TBA6_2_GOGA5_HUMAN_.pdf")</f>
        <v>Melting_Curves/meltCurve_sp_Q8TBA6_2_GOGA5_HUMAN_.pdf</v>
      </c>
      <c r="AA2053" t="s">
        <v>12905</v>
      </c>
      <c r="AB2053" t="s">
        <v>16478</v>
      </c>
    </row>
    <row r="2054" spans="1:28" x14ac:dyDescent="0.25">
      <c r="A2054" t="s">
        <v>2058</v>
      </c>
      <c r="B2054">
        <v>0.98018197421672304</v>
      </c>
      <c r="C2054">
        <v>0.92363453171070997</v>
      </c>
      <c r="D2054">
        <v>0.80440932849171398</v>
      </c>
      <c r="E2054">
        <v>0.59518927472160499</v>
      </c>
      <c r="F2054">
        <v>0.29155023295528698</v>
      </c>
      <c r="G2054">
        <v>0.16535872037208599</v>
      </c>
      <c r="H2054">
        <v>8.8627801980306106E-2</v>
      </c>
      <c r="I2054">
        <v>8.3216035954502901E-2</v>
      </c>
      <c r="J2054">
        <v>7.8546248512102596E-2</v>
      </c>
      <c r="K2054">
        <v>8.0885767464179095E-2</v>
      </c>
      <c r="L2054">
        <v>837.68103847043994</v>
      </c>
      <c r="M2054">
        <v>16.703777796833801</v>
      </c>
      <c r="N2054">
        <v>50.517409054602403</v>
      </c>
      <c r="O2054">
        <v>49.446969376864899</v>
      </c>
      <c r="P2054">
        <v>-7.9617792073981106E-2</v>
      </c>
      <c r="Q2054">
        <v>5.7315511847315002E-2</v>
      </c>
      <c r="R2054">
        <v>0.99515925402560002</v>
      </c>
      <c r="S2054" t="s">
        <v>5683</v>
      </c>
      <c r="T2054" t="s">
        <v>7256</v>
      </c>
      <c r="U2054" t="s">
        <v>7256</v>
      </c>
      <c r="V2054" t="s">
        <v>7256</v>
      </c>
      <c r="W2054">
        <v>7</v>
      </c>
      <c r="X2054" t="s">
        <v>9310</v>
      </c>
      <c r="Y2054">
        <v>0.39467196527633602</v>
      </c>
      <c r="Z2054" t="str">
        <f>HYPERLINK("Melting_Curves/meltCurve_sp_Q8TBC4_UBA3_HUMAN_.pdf", "Melting_Curves/meltCurve_sp_Q8TBC4_UBA3_HUMAN_.pdf")</f>
        <v>Melting_Curves/meltCurve_sp_Q8TBC4_UBA3_HUMAN_.pdf</v>
      </c>
      <c r="AA2054" t="s">
        <v>12906</v>
      </c>
      <c r="AB2054" t="s">
        <v>16479</v>
      </c>
    </row>
    <row r="2055" spans="1:28" x14ac:dyDescent="0.25">
      <c r="A2055" t="s">
        <v>2059</v>
      </c>
      <c r="B2055">
        <v>0.98018197421672304</v>
      </c>
      <c r="C2055">
        <v>1.4491013572213001</v>
      </c>
      <c r="D2055">
        <v>1.27034850665444</v>
      </c>
      <c r="E2055">
        <v>1.1148671480525101</v>
      </c>
      <c r="F2055">
        <v>0.63576798719745597</v>
      </c>
      <c r="G2055">
        <v>0.45495993043597599</v>
      </c>
      <c r="H2055">
        <v>0.40216299371688002</v>
      </c>
      <c r="I2055">
        <v>0.379528321802588</v>
      </c>
      <c r="J2055">
        <v>0.34307287564781702</v>
      </c>
      <c r="K2055">
        <v>0.41279530498961498</v>
      </c>
      <c r="L2055">
        <v>13227.2833634902</v>
      </c>
      <c r="M2055">
        <v>250</v>
      </c>
      <c r="N2055">
        <v>53.248773209915399</v>
      </c>
      <c r="O2055">
        <v>52.9057587296832</v>
      </c>
      <c r="P2055">
        <v>-0.71057513608512501</v>
      </c>
      <c r="Q2055">
        <v>0.39850385925100101</v>
      </c>
      <c r="R2055">
        <v>0.81350637073910004</v>
      </c>
      <c r="S2055" t="s">
        <v>5684</v>
      </c>
      <c r="T2055" t="s">
        <v>7256</v>
      </c>
      <c r="U2055" t="s">
        <v>7256</v>
      </c>
      <c r="V2055" t="s">
        <v>7256</v>
      </c>
      <c r="W2055">
        <v>2</v>
      </c>
      <c r="X2055" t="s">
        <v>9311</v>
      </c>
      <c r="Y2055">
        <v>0.65738617609720984</v>
      </c>
      <c r="Z2055" t="str">
        <f>HYPERLINK("Melting_Curves/meltCurve_sp_Q8TBC5_ZSC18_HUMAN_.pdf", "Melting_Curves/meltCurve_sp_Q8TBC5_ZSC18_HUMAN_.pdf")</f>
        <v>Melting_Curves/meltCurve_sp_Q8TBC5_ZSC18_HUMAN_.pdf</v>
      </c>
      <c r="AA2055" t="s">
        <v>12907</v>
      </c>
      <c r="AB2055" t="s">
        <v>16480</v>
      </c>
    </row>
    <row r="2056" spans="1:28" x14ac:dyDescent="0.25">
      <c r="A2056" t="s">
        <v>2060</v>
      </c>
      <c r="B2056">
        <v>0.98018197421672304</v>
      </c>
      <c r="C2056">
        <v>0.88798634187959102</v>
      </c>
      <c r="D2056">
        <v>0.85057435804976</v>
      </c>
      <c r="E2056">
        <v>0.54821767512682495</v>
      </c>
      <c r="F2056">
        <v>0.267813413297534</v>
      </c>
      <c r="G2056">
        <v>0.17224498792649701</v>
      </c>
      <c r="H2056">
        <v>0.10253625455035301</v>
      </c>
      <c r="I2056">
        <v>8.9371015313580895E-2</v>
      </c>
      <c r="J2056">
        <v>7.1524034350726795E-2</v>
      </c>
      <c r="K2056">
        <v>5.6736061947077102E-2</v>
      </c>
      <c r="L2056">
        <v>872.98984493201999</v>
      </c>
      <c r="M2056">
        <v>17.489057396647901</v>
      </c>
      <c r="N2056">
        <v>50.287749414504603</v>
      </c>
      <c r="O2056">
        <v>49.277440904881402</v>
      </c>
      <c r="P2056">
        <v>-8.3356453178066794E-2</v>
      </c>
      <c r="Q2056">
        <v>6.0586135516198902E-2</v>
      </c>
      <c r="R2056">
        <v>0.99437768432987905</v>
      </c>
      <c r="S2056" t="s">
        <v>5685</v>
      </c>
      <c r="T2056" t="s">
        <v>7256</v>
      </c>
      <c r="U2056" t="s">
        <v>7256</v>
      </c>
      <c r="V2056" t="s">
        <v>7256</v>
      </c>
      <c r="W2056">
        <v>5</v>
      </c>
      <c r="X2056" t="s">
        <v>9312</v>
      </c>
      <c r="Y2056">
        <v>0.38804385775189021</v>
      </c>
      <c r="Z2056" t="str">
        <f>HYPERLINK("Melting_Curves/meltCurve_sp_Q8TBG4_2_AT2L1_HUMAN_.pdf", "Melting_Curves/meltCurve_sp_Q8TBG4_2_AT2L1_HUMAN_.pdf")</f>
        <v>Melting_Curves/meltCurve_sp_Q8TBG4_2_AT2L1_HUMAN_.pdf</v>
      </c>
      <c r="AA2056" t="s">
        <v>12908</v>
      </c>
      <c r="AB2056" t="s">
        <v>16481</v>
      </c>
    </row>
    <row r="2057" spans="1:28" x14ac:dyDescent="0.25">
      <c r="A2057" t="s">
        <v>2061</v>
      </c>
      <c r="B2057">
        <v>0.98018197421672304</v>
      </c>
      <c r="C2057">
        <v>0.73787608027112095</v>
      </c>
      <c r="D2057">
        <v>0.70185935012627398</v>
      </c>
      <c r="E2057">
        <v>0.418854501493233</v>
      </c>
      <c r="F2057">
        <v>0.22817431851108999</v>
      </c>
      <c r="G2057">
        <v>8.8034260979596796E-2</v>
      </c>
      <c r="H2057">
        <v>6.5273533140352794E-2</v>
      </c>
      <c r="I2057">
        <v>3.8868777309896602E-2</v>
      </c>
      <c r="J2057">
        <v>6.4410563707048799E-2</v>
      </c>
      <c r="K2057">
        <v>3.1269141782680601E-2</v>
      </c>
      <c r="L2057">
        <v>620.29761016467103</v>
      </c>
      <c r="M2057">
        <v>12.8589000216011</v>
      </c>
      <c r="N2057">
        <v>48.286051243611603</v>
      </c>
      <c r="O2057">
        <v>47.116803509921503</v>
      </c>
      <c r="P2057">
        <v>-6.7814552406081405E-2</v>
      </c>
      <c r="Q2057">
        <v>6.2552551703992298E-3</v>
      </c>
      <c r="R2057">
        <v>0.98470414291665198</v>
      </c>
      <c r="S2057" t="s">
        <v>5686</v>
      </c>
      <c r="T2057" t="s">
        <v>7256</v>
      </c>
      <c r="U2057" t="s">
        <v>7256</v>
      </c>
      <c r="V2057" t="s">
        <v>7256</v>
      </c>
      <c r="W2057">
        <v>3</v>
      </c>
      <c r="X2057" t="s">
        <v>9313</v>
      </c>
      <c r="Y2057">
        <v>0.31300977670492169</v>
      </c>
      <c r="Z2057" t="str">
        <f>HYPERLINK("Melting_Curves/meltCurve_sp_Q8TBX8_PI42C_HUMAN_.pdf", "Melting_Curves/meltCurve_sp_Q8TBX8_PI42C_HUMAN_.pdf")</f>
        <v>Melting_Curves/meltCurve_sp_Q8TBX8_PI42C_HUMAN_.pdf</v>
      </c>
      <c r="AA2057" t="s">
        <v>12909</v>
      </c>
      <c r="AB2057" t="s">
        <v>16482</v>
      </c>
    </row>
    <row r="2058" spans="1:28" x14ac:dyDescent="0.25">
      <c r="A2058" t="s">
        <v>2062</v>
      </c>
      <c r="B2058">
        <v>0.98018197421672304</v>
      </c>
      <c r="C2058">
        <v>0.95617085508297395</v>
      </c>
      <c r="D2058">
        <v>0.831477456030425</v>
      </c>
      <c r="E2058">
        <v>0.59016781988679301</v>
      </c>
      <c r="F2058">
        <v>0.30443916793085102</v>
      </c>
      <c r="G2058">
        <v>0.14233800300317001</v>
      </c>
      <c r="H2058">
        <v>0.1078842786147</v>
      </c>
      <c r="I2058">
        <v>9.5799419580192599E-2</v>
      </c>
      <c r="J2058">
        <v>0.11774817331444</v>
      </c>
      <c r="K2058">
        <v>9.31048669090246E-2</v>
      </c>
      <c r="L2058">
        <v>965.85814729154004</v>
      </c>
      <c r="M2058">
        <v>19.275992801699399</v>
      </c>
      <c r="N2058">
        <v>50.596919196682897</v>
      </c>
      <c r="O2058">
        <v>49.5768462378946</v>
      </c>
      <c r="P2058">
        <v>-8.8927778040955502E-2</v>
      </c>
      <c r="Q2058">
        <v>8.5163825538046301E-2</v>
      </c>
      <c r="R2058">
        <v>0.99676425906696797</v>
      </c>
      <c r="S2058" t="s">
        <v>5687</v>
      </c>
      <c r="T2058" t="s">
        <v>7256</v>
      </c>
      <c r="U2058" t="s">
        <v>7256</v>
      </c>
      <c r="V2058" t="s">
        <v>7256</v>
      </c>
      <c r="W2058">
        <v>10</v>
      </c>
      <c r="X2058" t="s">
        <v>9314</v>
      </c>
      <c r="Y2058">
        <v>0.40703741983742758</v>
      </c>
      <c r="Z2058" t="str">
        <f>HYPERLINK("Melting_Curves/meltCurve_sp_Q8TC07_2_TBC15_HUMAN_.pdf", "Melting_Curves/meltCurve_sp_Q8TC07_2_TBC15_HUMAN_.pdf")</f>
        <v>Melting_Curves/meltCurve_sp_Q8TC07_2_TBC15_HUMAN_.pdf</v>
      </c>
      <c r="AA2058" t="s">
        <v>12910</v>
      </c>
      <c r="AB2058" t="s">
        <v>16483</v>
      </c>
    </row>
    <row r="2059" spans="1:28" x14ac:dyDescent="0.25">
      <c r="A2059" t="s">
        <v>2063</v>
      </c>
      <c r="B2059">
        <v>0.98018197421672304</v>
      </c>
      <c r="C2059">
        <v>0.92424666686766199</v>
      </c>
      <c r="D2059">
        <v>0.75613179447891599</v>
      </c>
      <c r="E2059">
        <v>0.34599278412155099</v>
      </c>
      <c r="F2059">
        <v>0.15103552628789299</v>
      </c>
      <c r="G2059">
        <v>9.3300220612287502E-2</v>
      </c>
      <c r="H2059">
        <v>6.6851860757397699E-2</v>
      </c>
      <c r="I2059">
        <v>5.7574015681154403E-2</v>
      </c>
      <c r="J2059">
        <v>6.7079551568233697E-2</v>
      </c>
      <c r="K2059">
        <v>8.1212942551406892E-3</v>
      </c>
      <c r="L2059">
        <v>1034.68878114424</v>
      </c>
      <c r="M2059">
        <v>21.4732034265921</v>
      </c>
      <c r="N2059">
        <v>48.402615670274102</v>
      </c>
      <c r="O2059">
        <v>47.773056578420899</v>
      </c>
      <c r="P2059">
        <v>-0.107205616306324</v>
      </c>
      <c r="Q2059">
        <v>4.5989724478457297E-2</v>
      </c>
      <c r="R2059">
        <v>0.99799580489286299</v>
      </c>
      <c r="S2059" t="s">
        <v>5688</v>
      </c>
      <c r="T2059" t="s">
        <v>7256</v>
      </c>
      <c r="U2059" t="s">
        <v>7256</v>
      </c>
      <c r="V2059" t="s">
        <v>7256</v>
      </c>
      <c r="W2059">
        <v>3</v>
      </c>
      <c r="X2059" t="s">
        <v>9315</v>
      </c>
      <c r="Y2059">
        <v>0.3179073823877942</v>
      </c>
      <c r="Z2059" t="str">
        <f>HYPERLINK("Melting_Curves/meltCurve_sp_Q8TC12_RDH11_HUMAN_.pdf", "Melting_Curves/meltCurve_sp_Q8TC12_RDH11_HUMAN_.pdf")</f>
        <v>Melting_Curves/meltCurve_sp_Q8TC12_RDH11_HUMAN_.pdf</v>
      </c>
      <c r="AA2059" t="s">
        <v>12911</v>
      </c>
      <c r="AB2059" t="s">
        <v>16484</v>
      </c>
    </row>
    <row r="2060" spans="1:28" x14ac:dyDescent="0.25">
      <c r="A2060" t="s">
        <v>2064</v>
      </c>
      <c r="B2060">
        <v>0.98018197421672304</v>
      </c>
      <c r="C2060">
        <v>0.98208967173279604</v>
      </c>
      <c r="D2060">
        <v>0.871210967881764</v>
      </c>
      <c r="E2060">
        <v>0.71200644172624705</v>
      </c>
      <c r="F2060">
        <v>0.60140591884430805</v>
      </c>
      <c r="G2060">
        <v>0.47060694476560799</v>
      </c>
      <c r="H2060">
        <v>0.32900682811638199</v>
      </c>
      <c r="I2060">
        <v>0.21277544048767699</v>
      </c>
      <c r="J2060">
        <v>0.183337992758804</v>
      </c>
      <c r="K2060">
        <v>0.172871051878416</v>
      </c>
      <c r="L2060">
        <v>539.61044171087303</v>
      </c>
      <c r="M2060">
        <v>9.8383082407853593</v>
      </c>
      <c r="N2060">
        <v>55.543565235792101</v>
      </c>
      <c r="O2060">
        <v>52.725962103720803</v>
      </c>
      <c r="P2060">
        <v>-4.3966995023397501E-2</v>
      </c>
      <c r="Q2060">
        <v>5.7967002077962897E-2</v>
      </c>
      <c r="R2060">
        <v>0.99512944824626404</v>
      </c>
      <c r="S2060" t="s">
        <v>5689</v>
      </c>
      <c r="T2060" t="s">
        <v>7256</v>
      </c>
      <c r="U2060" t="s">
        <v>7256</v>
      </c>
      <c r="V2060" t="s">
        <v>7256</v>
      </c>
      <c r="W2060">
        <v>7</v>
      </c>
      <c r="X2060" t="s">
        <v>9316</v>
      </c>
      <c r="Y2060">
        <v>0.54939959387517556</v>
      </c>
      <c r="Z2060" t="str">
        <f>HYPERLINK("Melting_Curves/meltCurve_sp_Q8TCD5_NT5C_HUMAN_.pdf", "Melting_Curves/meltCurve_sp_Q8TCD5_NT5C_HUMAN_.pdf")</f>
        <v>Melting_Curves/meltCurve_sp_Q8TCD5_NT5C_HUMAN_.pdf</v>
      </c>
      <c r="AA2060" t="s">
        <v>12912</v>
      </c>
      <c r="AB2060" t="s">
        <v>16485</v>
      </c>
    </row>
    <row r="2061" spans="1:28" x14ac:dyDescent="0.25">
      <c r="A2061" t="s">
        <v>2065</v>
      </c>
      <c r="B2061">
        <v>0.98018197421672304</v>
      </c>
      <c r="C2061">
        <v>1.02813490744573</v>
      </c>
      <c r="D2061">
        <v>0.86802876212895896</v>
      </c>
      <c r="E2061">
        <v>0.59709394054958898</v>
      </c>
      <c r="F2061">
        <v>0.20516263077595301</v>
      </c>
      <c r="G2061">
        <v>0.105603450225471</v>
      </c>
      <c r="H2061">
        <v>5.9972252075802902E-2</v>
      </c>
      <c r="I2061">
        <v>4.7685882764033898E-2</v>
      </c>
      <c r="J2061">
        <v>3.6467614642061101E-2</v>
      </c>
      <c r="K2061">
        <v>2.7778025926640599E-2</v>
      </c>
      <c r="L2061">
        <v>1277.2901590481199</v>
      </c>
      <c r="M2061">
        <v>25.382086855739001</v>
      </c>
      <c r="N2061">
        <v>50.481962574018503</v>
      </c>
      <c r="O2061">
        <v>50.013261393618897</v>
      </c>
      <c r="P2061">
        <v>-0.121990718215129</v>
      </c>
      <c r="Q2061">
        <v>3.8522551689619197E-2</v>
      </c>
      <c r="R2061">
        <v>0.99477994207206399</v>
      </c>
      <c r="S2061" t="s">
        <v>5690</v>
      </c>
      <c r="T2061" t="s">
        <v>7256</v>
      </c>
      <c r="U2061" t="s">
        <v>7256</v>
      </c>
      <c r="V2061" t="s">
        <v>7256</v>
      </c>
      <c r="W2061">
        <v>4</v>
      </c>
      <c r="X2061" t="s">
        <v>9317</v>
      </c>
      <c r="Y2061">
        <v>0.37771599221685281</v>
      </c>
      <c r="Z2061" t="str">
        <f>HYPERLINK("Melting_Curves/meltCurve_sp_Q8TCE6_2_FA45A_HUMAN_.pdf", "Melting_Curves/meltCurve_sp_Q8TCE6_2_FA45A_HUMAN_.pdf")</f>
        <v>Melting_Curves/meltCurve_sp_Q8TCE6_2_FA45A_HUMAN_.pdf</v>
      </c>
      <c r="AA2061" t="s">
        <v>12913</v>
      </c>
      <c r="AB2061" t="s">
        <v>16486</v>
      </c>
    </row>
    <row r="2062" spans="1:28" x14ac:dyDescent="0.25">
      <c r="A2062" t="s">
        <v>2066</v>
      </c>
      <c r="B2062">
        <v>0.98018197421672304</v>
      </c>
      <c r="C2062">
        <v>0.97967185526572498</v>
      </c>
      <c r="D2062">
        <v>0.88242386233757297</v>
      </c>
      <c r="E2062">
        <v>0.76176241794250499</v>
      </c>
      <c r="F2062">
        <v>0.35085881942414898</v>
      </c>
      <c r="G2062">
        <v>0.12766378938794201</v>
      </c>
      <c r="H2062">
        <v>9.1192819676856801E-2</v>
      </c>
      <c r="I2062">
        <v>6.8581635987289197E-2</v>
      </c>
      <c r="J2062">
        <v>5.8024946834006802E-2</v>
      </c>
      <c r="K2062">
        <v>4.1078898347197301E-2</v>
      </c>
      <c r="L2062">
        <v>1356.24546583488</v>
      </c>
      <c r="M2062">
        <v>26.256629190636801</v>
      </c>
      <c r="N2062">
        <v>51.887051713334102</v>
      </c>
      <c r="O2062">
        <v>51.356621457060399</v>
      </c>
      <c r="P2062">
        <v>-0.120691591958471</v>
      </c>
      <c r="Q2062">
        <v>5.57442097339284E-2</v>
      </c>
      <c r="R2062">
        <v>0.99340720015652795</v>
      </c>
      <c r="S2062" t="s">
        <v>5691</v>
      </c>
      <c r="T2062" t="s">
        <v>7256</v>
      </c>
      <c r="U2062" t="s">
        <v>7256</v>
      </c>
      <c r="V2062" t="s">
        <v>7256</v>
      </c>
      <c r="W2062">
        <v>14</v>
      </c>
      <c r="X2062" t="s">
        <v>9318</v>
      </c>
      <c r="Y2062">
        <v>0.43034593362028067</v>
      </c>
      <c r="Z2062" t="str">
        <f>HYPERLINK("Melting_Curves/meltCurve_sp_Q8TCS8_PNPT1_HUMAN_.pdf", "Melting_Curves/meltCurve_sp_Q8TCS8_PNPT1_HUMAN_.pdf")</f>
        <v>Melting_Curves/meltCurve_sp_Q8TCS8_PNPT1_HUMAN_.pdf</v>
      </c>
      <c r="AA2062" t="s">
        <v>12914</v>
      </c>
      <c r="AB2062" t="s">
        <v>16487</v>
      </c>
    </row>
    <row r="2063" spans="1:28" x14ac:dyDescent="0.25">
      <c r="A2063" t="s">
        <v>2067</v>
      </c>
      <c r="B2063">
        <v>0.98018197421672304</v>
      </c>
      <c r="C2063">
        <v>0.89164298825986399</v>
      </c>
      <c r="D2063">
        <v>0.86848947011494804</v>
      </c>
      <c r="E2063">
        <v>0.80338942642409195</v>
      </c>
      <c r="F2063">
        <v>0.61664384647588</v>
      </c>
      <c r="G2063">
        <v>0.392455791315929</v>
      </c>
      <c r="H2063">
        <v>0.39803728283878598</v>
      </c>
      <c r="I2063">
        <v>0.397565063417535</v>
      </c>
      <c r="J2063">
        <v>0.57104844577862102</v>
      </c>
      <c r="K2063">
        <v>0.45084945724132802</v>
      </c>
      <c r="L2063">
        <v>941.669331028442</v>
      </c>
      <c r="M2063">
        <v>18.6614064348142</v>
      </c>
      <c r="N2063">
        <v>56.440486275585698</v>
      </c>
      <c r="O2063">
        <v>49.892052980541898</v>
      </c>
      <c r="P2063">
        <v>-5.3230716290535801E-2</v>
      </c>
      <c r="Q2063">
        <v>0.43076616402583801</v>
      </c>
      <c r="R2063">
        <v>0.89938511721230097</v>
      </c>
      <c r="S2063" t="s">
        <v>5692</v>
      </c>
      <c r="T2063" t="s">
        <v>7256</v>
      </c>
      <c r="U2063" t="s">
        <v>7256</v>
      </c>
      <c r="V2063" t="s">
        <v>7256</v>
      </c>
      <c r="W2063">
        <v>2</v>
      </c>
      <c r="X2063" t="s">
        <v>9319</v>
      </c>
      <c r="Y2063">
        <v>0.63827743661548253</v>
      </c>
      <c r="Z2063" t="str">
        <f>HYPERLINK("Melting_Curves/meltCurve_sp_Q8TD16_BICD2_HUMAN_.pdf", "Melting_Curves/meltCurve_sp_Q8TD16_BICD2_HUMAN_.pdf")</f>
        <v>Melting_Curves/meltCurve_sp_Q8TD16_BICD2_HUMAN_.pdf</v>
      </c>
      <c r="AA2063" t="s">
        <v>12915</v>
      </c>
      <c r="AB2063" t="s">
        <v>16488</v>
      </c>
    </row>
    <row r="2064" spans="1:28" x14ac:dyDescent="0.25">
      <c r="A2064" t="s">
        <v>2068</v>
      </c>
      <c r="B2064">
        <v>0.98018197421672304</v>
      </c>
      <c r="C2064">
        <v>0.98185402701987301</v>
      </c>
      <c r="D2064">
        <v>0.90351619932966398</v>
      </c>
      <c r="E2064">
        <v>0.68219537769080296</v>
      </c>
      <c r="F2064">
        <v>0.32708179241327001</v>
      </c>
      <c r="G2064">
        <v>0.140190760924194</v>
      </c>
      <c r="H2064">
        <v>9.0243304437457594E-2</v>
      </c>
      <c r="I2064">
        <v>8.1899063097793601E-2</v>
      </c>
      <c r="J2064">
        <v>9.1996754461992306E-2</v>
      </c>
      <c r="K2064">
        <v>6.6487307324547301E-2</v>
      </c>
      <c r="L2064">
        <v>1245.2919097428201</v>
      </c>
      <c r="M2064">
        <v>24.379583690833599</v>
      </c>
      <c r="N2064">
        <v>51.416537004118403</v>
      </c>
      <c r="O2064">
        <v>50.739343149043002</v>
      </c>
      <c r="P2064">
        <v>-0.111247767855814</v>
      </c>
      <c r="Q2064">
        <v>7.38882496342331E-2</v>
      </c>
      <c r="R2064">
        <v>0.997845779942793</v>
      </c>
      <c r="S2064" t="s">
        <v>5693</v>
      </c>
      <c r="T2064" t="s">
        <v>7256</v>
      </c>
      <c r="U2064" t="s">
        <v>7256</v>
      </c>
      <c r="V2064" t="s">
        <v>7256</v>
      </c>
      <c r="W2064">
        <v>11</v>
      </c>
      <c r="X2064" t="s">
        <v>9320</v>
      </c>
      <c r="Y2064">
        <v>0.42470689337743972</v>
      </c>
      <c r="Z2064" t="str">
        <f>HYPERLINK("Melting_Curves/meltCurve_sp_Q8TD19_NEK9_HUMAN_.pdf", "Melting_Curves/meltCurve_sp_Q8TD19_NEK9_HUMAN_.pdf")</f>
        <v>Melting_Curves/meltCurve_sp_Q8TD19_NEK9_HUMAN_.pdf</v>
      </c>
      <c r="AA2064" t="s">
        <v>12916</v>
      </c>
      <c r="AB2064" t="s">
        <v>16489</v>
      </c>
    </row>
    <row r="2065" spans="1:28" x14ac:dyDescent="0.25">
      <c r="A2065" t="s">
        <v>2069</v>
      </c>
      <c r="B2065">
        <v>0.98018197421672304</v>
      </c>
      <c r="C2065">
        <v>0.941146132516548</v>
      </c>
      <c r="D2065">
        <v>0.82078633561924297</v>
      </c>
      <c r="E2065">
        <v>0.44148383317528</v>
      </c>
      <c r="F2065">
        <v>0.225098845334573</v>
      </c>
      <c r="G2065">
        <v>0.11042929671718101</v>
      </c>
      <c r="H2065">
        <v>6.7826643787799304E-2</v>
      </c>
      <c r="I2065">
        <v>4.24222148941137E-2</v>
      </c>
      <c r="J2065">
        <v>6.8503555648466899E-2</v>
      </c>
      <c r="K2065">
        <v>3.4623595916515398E-2</v>
      </c>
      <c r="L2065">
        <v>989.10558201953802</v>
      </c>
      <c r="M2065">
        <v>20.107573880968101</v>
      </c>
      <c r="N2065">
        <v>49.425800749289003</v>
      </c>
      <c r="O2065">
        <v>48.711897791838403</v>
      </c>
      <c r="P2065">
        <v>-9.8493052977551399E-2</v>
      </c>
      <c r="Q2065">
        <v>4.56069279567436E-2</v>
      </c>
      <c r="R2065">
        <v>0.999207731226886</v>
      </c>
      <c r="S2065" t="s">
        <v>5694</v>
      </c>
      <c r="T2065" t="s">
        <v>7256</v>
      </c>
      <c r="U2065" t="s">
        <v>7256</v>
      </c>
      <c r="V2065" t="s">
        <v>7256</v>
      </c>
      <c r="W2065">
        <v>9</v>
      </c>
      <c r="X2065" t="s">
        <v>9321</v>
      </c>
      <c r="Y2065">
        <v>0.35119479559862921</v>
      </c>
      <c r="Z2065" t="str">
        <f>HYPERLINK("Melting_Curves/meltCurve_sp_Q8TD30_ALAT2_HUMAN_.pdf", "Melting_Curves/meltCurve_sp_Q8TD30_ALAT2_HUMAN_.pdf")</f>
        <v>Melting_Curves/meltCurve_sp_Q8TD30_ALAT2_HUMAN_.pdf</v>
      </c>
      <c r="AA2065" t="s">
        <v>12917</v>
      </c>
      <c r="AB2065" t="s">
        <v>16490</v>
      </c>
    </row>
    <row r="2066" spans="1:28" x14ac:dyDescent="0.25">
      <c r="A2066" t="s">
        <v>2070</v>
      </c>
      <c r="B2066">
        <v>0.98018197421672304</v>
      </c>
      <c r="C2066">
        <v>0.87258020191374996</v>
      </c>
      <c r="D2066">
        <v>0.66801729555602896</v>
      </c>
      <c r="E2066">
        <v>0.32678701569623397</v>
      </c>
      <c r="F2066">
        <v>0.20330055180641499</v>
      </c>
      <c r="G2066">
        <v>0.125624894612441</v>
      </c>
      <c r="H2066">
        <v>9.7246626439239203E-2</v>
      </c>
      <c r="I2066">
        <v>7.9086934994848604E-2</v>
      </c>
      <c r="J2066">
        <v>9.4697356620491405E-2</v>
      </c>
      <c r="K2066">
        <v>6.2983330126415701E-2</v>
      </c>
      <c r="L2066">
        <v>856.28524926165403</v>
      </c>
      <c r="M2066">
        <v>18.0646084170011</v>
      </c>
      <c r="N2066">
        <v>47.845255393922798</v>
      </c>
      <c r="O2066">
        <v>46.8318257243521</v>
      </c>
      <c r="P2066">
        <v>-8.8996047206929094E-2</v>
      </c>
      <c r="Q2066">
        <v>7.7168882900561606E-2</v>
      </c>
      <c r="R2066">
        <v>0.99919456554731401</v>
      </c>
      <c r="S2066" t="s">
        <v>5695</v>
      </c>
      <c r="T2066" t="s">
        <v>7256</v>
      </c>
      <c r="U2066" t="s">
        <v>7256</v>
      </c>
      <c r="V2066" t="s">
        <v>7256</v>
      </c>
      <c r="W2066">
        <v>7</v>
      </c>
      <c r="X2066" t="s">
        <v>9322</v>
      </c>
      <c r="Y2066">
        <v>0.32143408433642262</v>
      </c>
      <c r="Z2066" t="str">
        <f>HYPERLINK("Melting_Curves/meltCurve_sp_Q8TDB6_DTX3L_HUMAN_.pdf", "Melting_Curves/meltCurve_sp_Q8TDB6_DTX3L_HUMAN_.pdf")</f>
        <v>Melting_Curves/meltCurve_sp_Q8TDB6_DTX3L_HUMAN_.pdf</v>
      </c>
      <c r="AA2066" t="s">
        <v>12918</v>
      </c>
      <c r="AB2066" t="s">
        <v>16491</v>
      </c>
    </row>
    <row r="2067" spans="1:28" x14ac:dyDescent="0.25">
      <c r="A2067" t="s">
        <v>2071</v>
      </c>
      <c r="B2067">
        <v>0.98018197421672304</v>
      </c>
      <c r="C2067">
        <v>1.0403362156485201</v>
      </c>
      <c r="D2067">
        <v>0.84562297737925995</v>
      </c>
      <c r="E2067">
        <v>0.71441004258626195</v>
      </c>
      <c r="F2067">
        <v>0.664791398005806</v>
      </c>
      <c r="G2067">
        <v>0.52320024631918705</v>
      </c>
      <c r="H2067">
        <v>0.37457570961089198</v>
      </c>
      <c r="I2067">
        <v>0.34511686858284502</v>
      </c>
      <c r="J2067">
        <v>0.48820884442606299</v>
      </c>
      <c r="K2067">
        <v>0.27617001896760202</v>
      </c>
      <c r="L2067">
        <v>628.03214119898996</v>
      </c>
      <c r="M2067">
        <v>12.010387826481599</v>
      </c>
      <c r="N2067">
        <v>57.015416313634297</v>
      </c>
      <c r="O2067">
        <v>50.904374762234703</v>
      </c>
      <c r="P2067">
        <v>-4.04034796705793E-2</v>
      </c>
      <c r="Q2067">
        <v>0.315186197300175</v>
      </c>
      <c r="R2067">
        <v>0.943011545536106</v>
      </c>
      <c r="S2067" t="s">
        <v>5696</v>
      </c>
      <c r="T2067" t="s">
        <v>7256</v>
      </c>
      <c r="U2067" t="s">
        <v>7256</v>
      </c>
      <c r="V2067" t="s">
        <v>7256</v>
      </c>
      <c r="W2067">
        <v>2</v>
      </c>
      <c r="X2067" t="s">
        <v>9323</v>
      </c>
      <c r="Y2067">
        <v>0.61627139699252098</v>
      </c>
      <c r="Z2067" t="str">
        <f>HYPERLINK("Melting_Curves/meltCurve_sp_Q8TDD1_DDX54_HUMAN_.pdf", "Melting_Curves/meltCurve_sp_Q8TDD1_DDX54_HUMAN_.pdf")</f>
        <v>Melting_Curves/meltCurve_sp_Q8TDD1_DDX54_HUMAN_.pdf</v>
      </c>
      <c r="AA2067" t="s">
        <v>12919</v>
      </c>
      <c r="AB2067" t="s">
        <v>16492</v>
      </c>
    </row>
    <row r="2068" spans="1:28" x14ac:dyDescent="0.25">
      <c r="A2068" t="s">
        <v>2072</v>
      </c>
      <c r="B2068">
        <v>0.98018197421672304</v>
      </c>
      <c r="C2068">
        <v>0.87931880032590004</v>
      </c>
      <c r="D2068">
        <v>0.87050858357788696</v>
      </c>
      <c r="E2068">
        <v>0.70180046435920096</v>
      </c>
      <c r="F2068">
        <v>0.496904171555479</v>
      </c>
      <c r="G2068">
        <v>0.25804188830550201</v>
      </c>
      <c r="H2068">
        <v>0.246333670481518</v>
      </c>
      <c r="I2068">
        <v>0.22435162273849599</v>
      </c>
      <c r="J2068">
        <v>0.22628522490012701</v>
      </c>
      <c r="K2068">
        <v>0.294302030860492</v>
      </c>
      <c r="L2068">
        <v>864.34981193042404</v>
      </c>
      <c r="M2068">
        <v>17.013827652254999</v>
      </c>
      <c r="N2068">
        <v>52.576310072739901</v>
      </c>
      <c r="O2068">
        <v>50.116525267935202</v>
      </c>
      <c r="P2068">
        <v>-6.6344382608428801E-2</v>
      </c>
      <c r="Q2068">
        <v>0.218342838594969</v>
      </c>
      <c r="R2068">
        <v>0.97711321964352005</v>
      </c>
      <c r="S2068" t="s">
        <v>5697</v>
      </c>
      <c r="T2068" t="s">
        <v>7256</v>
      </c>
      <c r="U2068" t="s">
        <v>7256</v>
      </c>
      <c r="V2068" t="s">
        <v>7256</v>
      </c>
      <c r="W2068">
        <v>1</v>
      </c>
      <c r="X2068" t="s">
        <v>9324</v>
      </c>
      <c r="Y2068">
        <v>0.51442380952725597</v>
      </c>
      <c r="Z2068" t="str">
        <f>HYPERLINK("Melting_Curves/meltCurve_sp_Q8TDH9_2_BL1S5_HUMAN_.pdf", "Melting_Curves/meltCurve_sp_Q8TDH9_2_BL1S5_HUMAN_.pdf")</f>
        <v>Melting_Curves/meltCurve_sp_Q8TDH9_2_BL1S5_HUMAN_.pdf</v>
      </c>
      <c r="AA2068" t="s">
        <v>12920</v>
      </c>
      <c r="AB2068" t="s">
        <v>16493</v>
      </c>
    </row>
    <row r="2069" spans="1:28" x14ac:dyDescent="0.25">
      <c r="A2069" t="s">
        <v>2073</v>
      </c>
      <c r="B2069">
        <v>0.98018197421672304</v>
      </c>
      <c r="C2069">
        <v>1.0513666743235901</v>
      </c>
      <c r="D2069">
        <v>1.0188016942340701</v>
      </c>
      <c r="E2069">
        <v>0.850799318485988</v>
      </c>
      <c r="F2069">
        <v>0.77768981398200099</v>
      </c>
      <c r="G2069">
        <v>0.61580750444743304</v>
      </c>
      <c r="H2069">
        <v>0.29638738583628199</v>
      </c>
      <c r="I2069">
        <v>0.15761689947486901</v>
      </c>
      <c r="J2069">
        <v>0.11942851274537999</v>
      </c>
      <c r="K2069">
        <v>9.0434839352072804E-2</v>
      </c>
      <c r="L2069">
        <v>859.26712488514397</v>
      </c>
      <c r="M2069">
        <v>14.854278786931101</v>
      </c>
      <c r="N2069">
        <v>57.846438687819401</v>
      </c>
      <c r="O2069">
        <v>56.828403192658101</v>
      </c>
      <c r="P2069">
        <v>-6.5353931446377897E-2</v>
      </c>
      <c r="Q2069">
        <v>0</v>
      </c>
      <c r="R2069">
        <v>0.98925454073748698</v>
      </c>
      <c r="S2069" t="s">
        <v>5698</v>
      </c>
      <c r="T2069" t="s">
        <v>7256</v>
      </c>
      <c r="U2069" t="s">
        <v>7256</v>
      </c>
      <c r="V2069" t="s">
        <v>7256</v>
      </c>
      <c r="W2069">
        <v>10</v>
      </c>
      <c r="X2069" t="s">
        <v>9325</v>
      </c>
      <c r="Y2069">
        <v>0.60874478628732409</v>
      </c>
      <c r="Z2069" t="str">
        <f>HYPERLINK("Melting_Curves/meltCurve_sp_Q8TDX5_ACMSD_HUMAN_.pdf", "Melting_Curves/meltCurve_sp_Q8TDX5_ACMSD_HUMAN_.pdf")</f>
        <v>Melting_Curves/meltCurve_sp_Q8TDX5_ACMSD_HUMAN_.pdf</v>
      </c>
      <c r="AA2069" t="s">
        <v>12921</v>
      </c>
      <c r="AB2069" t="s">
        <v>16494</v>
      </c>
    </row>
    <row r="2070" spans="1:28" x14ac:dyDescent="0.25">
      <c r="A2070" t="s">
        <v>2074</v>
      </c>
      <c r="B2070">
        <v>0.98018197421672304</v>
      </c>
      <c r="C2070">
        <v>0.95620061824960501</v>
      </c>
      <c r="D2070">
        <v>0.81634910608467603</v>
      </c>
      <c r="E2070">
        <v>0.67891928761053499</v>
      </c>
      <c r="F2070">
        <v>0.36173904738703799</v>
      </c>
      <c r="G2070">
        <v>9.3879669424550699E-2</v>
      </c>
      <c r="H2070">
        <v>2.4089361803918598E-2</v>
      </c>
      <c r="I2070">
        <v>0</v>
      </c>
      <c r="J2070">
        <v>6.2446621565315399E-2</v>
      </c>
      <c r="K2070">
        <v>5.8218967458366501E-2</v>
      </c>
      <c r="L2070">
        <v>972.53739847544102</v>
      </c>
      <c r="M2070">
        <v>18.965743704795699</v>
      </c>
      <c r="N2070">
        <v>51.330107369763702</v>
      </c>
      <c r="O2070">
        <v>50.718741487592503</v>
      </c>
      <c r="P2070">
        <v>-9.2608002104334203E-2</v>
      </c>
      <c r="Q2070">
        <v>9.4197499930562395E-3</v>
      </c>
      <c r="R2070">
        <v>0.988093344517323</v>
      </c>
      <c r="S2070" t="s">
        <v>5699</v>
      </c>
      <c r="T2070" t="s">
        <v>7256</v>
      </c>
      <c r="U2070" t="s">
        <v>7256</v>
      </c>
      <c r="V2070" t="s">
        <v>7256</v>
      </c>
      <c r="W2070">
        <v>4</v>
      </c>
      <c r="X2070" t="s">
        <v>9326</v>
      </c>
      <c r="Y2070">
        <v>0.39697821490093532</v>
      </c>
      <c r="Z2070" t="str">
        <f>HYPERLINK("Melting_Curves/meltCurve_sp_Q8TE04_PANK1_HUMAN_.pdf", "Melting_Curves/meltCurve_sp_Q8TE04_PANK1_HUMAN_.pdf")</f>
        <v>Melting_Curves/meltCurve_sp_Q8TE04_PANK1_HUMAN_.pdf</v>
      </c>
      <c r="AA2070" t="s">
        <v>12922</v>
      </c>
      <c r="AB2070" t="s">
        <v>16495</v>
      </c>
    </row>
    <row r="2071" spans="1:28" x14ac:dyDescent="0.25">
      <c r="A2071" t="s">
        <v>2075</v>
      </c>
      <c r="B2071">
        <v>0.98018197421672304</v>
      </c>
      <c r="C2071">
        <v>0.75835558649969403</v>
      </c>
      <c r="D2071">
        <v>0.83554238774867795</v>
      </c>
      <c r="E2071">
        <v>0.454179373153135</v>
      </c>
      <c r="F2071">
        <v>0.197753276828942</v>
      </c>
      <c r="G2071">
        <v>0.142891108432605</v>
      </c>
      <c r="H2071">
        <v>8.8334245004523304E-2</v>
      </c>
      <c r="I2071">
        <v>7.2193636241645306E-2</v>
      </c>
      <c r="J2071">
        <v>7.9128135745200598E-2</v>
      </c>
      <c r="K2071">
        <v>0.15168746169359201</v>
      </c>
      <c r="L2071">
        <v>832.59609137883604</v>
      </c>
      <c r="M2071">
        <v>17.1273641413378</v>
      </c>
      <c r="N2071">
        <v>49.094065269060501</v>
      </c>
      <c r="O2071">
        <v>47.963858544869602</v>
      </c>
      <c r="P2071">
        <v>-8.2368200670043301E-2</v>
      </c>
      <c r="Q2071">
        <v>7.7392274003841993E-2</v>
      </c>
      <c r="R2071">
        <v>0.96290007199777505</v>
      </c>
      <c r="S2071" t="s">
        <v>5700</v>
      </c>
      <c r="T2071" t="s">
        <v>7256</v>
      </c>
      <c r="U2071" t="s">
        <v>7256</v>
      </c>
      <c r="V2071" t="s">
        <v>7256</v>
      </c>
      <c r="W2071">
        <v>2</v>
      </c>
      <c r="X2071" t="s">
        <v>9327</v>
      </c>
      <c r="Y2071">
        <v>0.36005244799902042</v>
      </c>
      <c r="Z2071" t="str">
        <f>HYPERLINK("Melting_Curves/meltCurve_sp_Q8TE77_SSH3_HUMAN_.pdf", "Melting_Curves/meltCurve_sp_Q8TE77_SSH3_HUMAN_.pdf")</f>
        <v>Melting_Curves/meltCurve_sp_Q8TE77_SSH3_HUMAN_.pdf</v>
      </c>
      <c r="AA2071" t="s">
        <v>12923</v>
      </c>
      <c r="AB2071" t="s">
        <v>16496</v>
      </c>
    </row>
    <row r="2072" spans="1:28" x14ac:dyDescent="0.25">
      <c r="A2072" t="s">
        <v>2076</v>
      </c>
      <c r="B2072">
        <v>0.98018197421672304</v>
      </c>
      <c r="C2072">
        <v>0.98997872831679001</v>
      </c>
      <c r="D2072">
        <v>0.80099210473854099</v>
      </c>
      <c r="E2072">
        <v>0.46590419674667699</v>
      </c>
      <c r="F2072">
        <v>0.25106910004602101</v>
      </c>
      <c r="G2072">
        <v>0.158786727201048</v>
      </c>
      <c r="H2072">
        <v>9.4079282965073396E-2</v>
      </c>
      <c r="I2072">
        <v>6.6109800054943907E-2</v>
      </c>
      <c r="J2072">
        <v>9.3274536132572194E-2</v>
      </c>
      <c r="K2072">
        <v>5.1179777199685098E-2</v>
      </c>
      <c r="L2072">
        <v>962.45642061547096</v>
      </c>
      <c r="M2072">
        <v>19.543369551618699</v>
      </c>
      <c r="N2072">
        <v>49.636499825317301</v>
      </c>
      <c r="O2072">
        <v>48.740264033027202</v>
      </c>
      <c r="P2072">
        <v>-9.3123185162612102E-2</v>
      </c>
      <c r="Q2072">
        <v>7.1053061403735601E-2</v>
      </c>
      <c r="R2072">
        <v>0.99736964965365904</v>
      </c>
      <c r="S2072" t="s">
        <v>5701</v>
      </c>
      <c r="T2072" t="s">
        <v>7256</v>
      </c>
      <c r="U2072" t="s">
        <v>7256</v>
      </c>
      <c r="V2072" t="s">
        <v>7256</v>
      </c>
      <c r="W2072">
        <v>5</v>
      </c>
      <c r="X2072" t="s">
        <v>9328</v>
      </c>
      <c r="Y2072">
        <v>0.37099392181350732</v>
      </c>
      <c r="Z2072" t="str">
        <f>HYPERLINK("Melting_Curves/meltCurve_sp_Q8TEA1_NSUN6_HUMAN_.pdf", "Melting_Curves/meltCurve_sp_Q8TEA1_NSUN6_HUMAN_.pdf")</f>
        <v>Melting_Curves/meltCurve_sp_Q8TEA1_NSUN6_HUMAN_.pdf</v>
      </c>
      <c r="AA2072" t="s">
        <v>12924</v>
      </c>
      <c r="AB2072" t="s">
        <v>16497</v>
      </c>
    </row>
    <row r="2073" spans="1:28" x14ac:dyDescent="0.25">
      <c r="A2073" t="s">
        <v>2077</v>
      </c>
      <c r="B2073">
        <v>0.98018197421672304</v>
      </c>
      <c r="C2073">
        <v>0.96279999943234096</v>
      </c>
      <c r="D2073">
        <v>0.84189651906984497</v>
      </c>
      <c r="E2073">
        <v>0.67305005971980902</v>
      </c>
      <c r="F2073">
        <v>0.43302156900043298</v>
      </c>
      <c r="G2073">
        <v>0.16953642120526799</v>
      </c>
      <c r="H2073">
        <v>9.3233897039824098E-2</v>
      </c>
      <c r="I2073">
        <v>6.6691548434687706E-2</v>
      </c>
      <c r="J2073">
        <v>6.7590640399594296E-2</v>
      </c>
      <c r="K2073">
        <v>5.1644989737370597E-2</v>
      </c>
      <c r="L2073">
        <v>839.54244725026797</v>
      </c>
      <c r="M2073">
        <v>16.239317609618599</v>
      </c>
      <c r="N2073">
        <v>51.882052985353901</v>
      </c>
      <c r="O2073">
        <v>50.933227941159501</v>
      </c>
      <c r="P2073">
        <v>-7.7485052190661097E-2</v>
      </c>
      <c r="Q2073">
        <v>2.7970619991619101E-2</v>
      </c>
      <c r="R2073">
        <v>0.99665302474773398</v>
      </c>
      <c r="S2073" t="s">
        <v>5702</v>
      </c>
      <c r="T2073" t="s">
        <v>7256</v>
      </c>
      <c r="U2073" t="s">
        <v>7256</v>
      </c>
      <c r="V2073" t="s">
        <v>7256</v>
      </c>
      <c r="W2073">
        <v>7</v>
      </c>
      <c r="X2073" t="s">
        <v>9329</v>
      </c>
      <c r="Y2073">
        <v>0.42632987340368161</v>
      </c>
      <c r="Z2073" t="str">
        <f>HYPERLINK("Melting_Curves/meltCurve_sp_Q8TEB1_2_DCA11_HUMAN_.pdf", "Melting_Curves/meltCurve_sp_Q8TEB1_2_DCA11_HUMAN_.pdf")</f>
        <v>Melting_Curves/meltCurve_sp_Q8TEB1_2_DCA11_HUMAN_.pdf</v>
      </c>
      <c r="AA2073" t="s">
        <v>12925</v>
      </c>
      <c r="AB2073" t="s">
        <v>16498</v>
      </c>
    </row>
    <row r="2074" spans="1:28" x14ac:dyDescent="0.25">
      <c r="A2074" t="s">
        <v>2078</v>
      </c>
      <c r="B2074">
        <v>0.98018197421672304</v>
      </c>
      <c r="C2074">
        <v>0.856861406707356</v>
      </c>
      <c r="D2074">
        <v>0.88017076344191003</v>
      </c>
      <c r="E2074">
        <v>0.75661225137743604</v>
      </c>
      <c r="F2074">
        <v>0.51472771002549</v>
      </c>
      <c r="G2074">
        <v>0.25624146280313098</v>
      </c>
      <c r="H2074">
        <v>0.12998981070108201</v>
      </c>
      <c r="I2074">
        <v>0.10671023555713099</v>
      </c>
      <c r="J2074">
        <v>0.101966531560148</v>
      </c>
      <c r="K2074">
        <v>7.9794236624926795E-2</v>
      </c>
      <c r="L2074">
        <v>771.84487897126098</v>
      </c>
      <c r="M2074">
        <v>14.618539054807499</v>
      </c>
      <c r="N2074">
        <v>53.101454146348097</v>
      </c>
      <c r="O2074">
        <v>51.840531338739702</v>
      </c>
      <c r="P2074">
        <v>-6.7689495094757898E-2</v>
      </c>
      <c r="Q2074">
        <v>3.9940374675065601E-2</v>
      </c>
      <c r="R2074">
        <v>0.98574664940118395</v>
      </c>
      <c r="S2074" t="s">
        <v>5703</v>
      </c>
      <c r="T2074" t="s">
        <v>7256</v>
      </c>
      <c r="U2074" t="s">
        <v>7256</v>
      </c>
      <c r="V2074" t="s">
        <v>7256</v>
      </c>
      <c r="W2074">
        <v>2</v>
      </c>
      <c r="X2074" t="s">
        <v>9330</v>
      </c>
      <c r="Y2074">
        <v>0.47113430783308979</v>
      </c>
      <c r="Z2074" t="str">
        <f>HYPERLINK("Melting_Curves/meltCurve_sp_Q8TEH3_DEN1A_HUMAN_.pdf", "Melting_Curves/meltCurve_sp_Q8TEH3_DEN1A_HUMAN_.pdf")</f>
        <v>Melting_Curves/meltCurve_sp_Q8TEH3_DEN1A_HUMAN_.pdf</v>
      </c>
      <c r="AA2074" t="s">
        <v>12926</v>
      </c>
      <c r="AB2074" t="s">
        <v>16499</v>
      </c>
    </row>
    <row r="2075" spans="1:28" x14ac:dyDescent="0.25">
      <c r="A2075" t="s">
        <v>2079</v>
      </c>
      <c r="B2075">
        <v>0.98018197421672304</v>
      </c>
      <c r="C2075">
        <v>0.96958921893943795</v>
      </c>
      <c r="D2075">
        <v>0.72069719493544604</v>
      </c>
      <c r="E2075">
        <v>0.55576730132957797</v>
      </c>
      <c r="F2075">
        <v>0.28933197705910702</v>
      </c>
      <c r="G2075">
        <v>1.8291899426371199E-2</v>
      </c>
      <c r="H2075">
        <v>0.11069728349642401</v>
      </c>
      <c r="I2075">
        <v>8.2298236414174997E-2</v>
      </c>
      <c r="J2075">
        <v>9.8163994561370205E-2</v>
      </c>
      <c r="K2075">
        <v>6.2612558554942202E-2</v>
      </c>
      <c r="L2075">
        <v>857.08997967154596</v>
      </c>
      <c r="M2075">
        <v>17.321525148137301</v>
      </c>
      <c r="N2075">
        <v>49.793595318494503</v>
      </c>
      <c r="O2075">
        <v>48.835827987961302</v>
      </c>
      <c r="P2075">
        <v>-8.4111629837999399E-2</v>
      </c>
      <c r="Q2075">
        <v>5.1486457006300501E-2</v>
      </c>
      <c r="R2075">
        <v>0.97813982995278304</v>
      </c>
      <c r="S2075" t="s">
        <v>5704</v>
      </c>
      <c r="T2075" t="s">
        <v>7256</v>
      </c>
      <c r="U2075" t="s">
        <v>7256</v>
      </c>
      <c r="V2075" t="s">
        <v>7256</v>
      </c>
      <c r="W2075">
        <v>4</v>
      </c>
      <c r="X2075" t="s">
        <v>9331</v>
      </c>
      <c r="Y2075">
        <v>0.36880930947901852</v>
      </c>
      <c r="Z2075" t="str">
        <f>HYPERLINK("Melting_Curves/meltCurve_sp_Q8TEQ6_GEMI5_HUMAN_.pdf", "Melting_Curves/meltCurve_sp_Q8TEQ6_GEMI5_HUMAN_.pdf")</f>
        <v>Melting_Curves/meltCurve_sp_Q8TEQ6_GEMI5_HUMAN_.pdf</v>
      </c>
      <c r="AA2075" t="s">
        <v>12927</v>
      </c>
      <c r="AB2075" t="s">
        <v>16500</v>
      </c>
    </row>
    <row r="2076" spans="1:28" x14ac:dyDescent="0.25">
      <c r="A2076" t="s">
        <v>2080</v>
      </c>
      <c r="B2076">
        <v>0.98018197421672304</v>
      </c>
      <c r="C2076">
        <v>0.98451644430363705</v>
      </c>
      <c r="D2076">
        <v>0.97359405247184605</v>
      </c>
      <c r="E2076">
        <v>0.80703873708219798</v>
      </c>
      <c r="F2076">
        <v>0.75478983692153501</v>
      </c>
      <c r="G2076">
        <v>0.61985787208695897</v>
      </c>
      <c r="H2076">
        <v>0.492257837235962</v>
      </c>
      <c r="I2076">
        <v>0.54699896527326497</v>
      </c>
      <c r="J2076">
        <v>0.81009651136878502</v>
      </c>
      <c r="K2076">
        <v>0.99018380174193399</v>
      </c>
      <c r="L2076">
        <v>1653.6996019271201</v>
      </c>
      <c r="M2076">
        <v>33.561387820442597</v>
      </c>
      <c r="O2076">
        <v>49.099919521748603</v>
      </c>
      <c r="P2076">
        <v>-5.1854179905301299E-2</v>
      </c>
      <c r="Q2076">
        <v>0.69655301992961804</v>
      </c>
      <c r="R2076">
        <v>0.47415923682319899</v>
      </c>
      <c r="S2076" t="s">
        <v>5705</v>
      </c>
      <c r="T2076" t="s">
        <v>7256</v>
      </c>
      <c r="U2076" t="s">
        <v>7256</v>
      </c>
      <c r="V2076" t="s">
        <v>7256</v>
      </c>
      <c r="W2076">
        <v>2</v>
      </c>
      <c r="X2076" t="s">
        <v>9332</v>
      </c>
      <c r="Y2076">
        <v>0.79183373113753697</v>
      </c>
      <c r="Z2076" t="str">
        <f>HYPERLINK("Melting_Curves/meltCurve_sp_Q8TER5_4_ARH40_HUMAN_.pdf", "Melting_Curves/meltCurve_sp_Q8TER5_4_ARH40_HUMAN_.pdf")</f>
        <v>Melting_Curves/meltCurve_sp_Q8TER5_4_ARH40_HUMAN_.pdf</v>
      </c>
      <c r="AA2076" t="s">
        <v>12928</v>
      </c>
      <c r="AB2076" t="s">
        <v>16501</v>
      </c>
    </row>
    <row r="2077" spans="1:28" x14ac:dyDescent="0.25">
      <c r="A2077" t="s">
        <v>2081</v>
      </c>
      <c r="B2077">
        <v>0.98018197421672304</v>
      </c>
      <c r="C2077">
        <v>0.92304585512200299</v>
      </c>
      <c r="D2077">
        <v>0.79898377452972302</v>
      </c>
      <c r="E2077">
        <v>0.70269843276703103</v>
      </c>
      <c r="F2077">
        <v>0.46240584195304701</v>
      </c>
      <c r="G2077">
        <v>0.32169770459830999</v>
      </c>
      <c r="H2077">
        <v>0.279366645189431</v>
      </c>
      <c r="I2077">
        <v>0.24386444848477801</v>
      </c>
      <c r="J2077">
        <v>0.27052471767534397</v>
      </c>
      <c r="K2077">
        <v>0.31182177263330502</v>
      </c>
      <c r="L2077">
        <v>743.38910300984696</v>
      </c>
      <c r="M2077">
        <v>14.8218943304487</v>
      </c>
      <c r="N2077">
        <v>52.549253466323997</v>
      </c>
      <c r="O2077">
        <v>49.268376793314602</v>
      </c>
      <c r="P2077">
        <v>-5.67506667545674E-2</v>
      </c>
      <c r="Q2077">
        <v>0.245516881649993</v>
      </c>
      <c r="R2077">
        <v>0.98282277016230102</v>
      </c>
      <c r="S2077" t="s">
        <v>5706</v>
      </c>
      <c r="T2077" t="s">
        <v>7256</v>
      </c>
      <c r="U2077" t="s">
        <v>7256</v>
      </c>
      <c r="V2077" t="s">
        <v>7256</v>
      </c>
      <c r="W2077">
        <v>2</v>
      </c>
      <c r="X2077" t="s">
        <v>9333</v>
      </c>
      <c r="Y2077">
        <v>0.51918467311597005</v>
      </c>
      <c r="Z2077" t="str">
        <f>HYPERLINK("Melting_Curves/meltCurve_sp_Q8TEW0_5_PARD3_HUMAN_.pdf", "Melting_Curves/meltCurve_sp_Q8TEW0_5_PARD3_HUMAN_.pdf")</f>
        <v>Melting_Curves/meltCurve_sp_Q8TEW0_5_PARD3_HUMAN_.pdf</v>
      </c>
      <c r="AA2077" t="s">
        <v>12929</v>
      </c>
      <c r="AB2077" t="s">
        <v>16502</v>
      </c>
    </row>
    <row r="2078" spans="1:28" x14ac:dyDescent="0.25">
      <c r="A2078" t="s">
        <v>2082</v>
      </c>
      <c r="B2078">
        <v>0.98018197421672304</v>
      </c>
      <c r="C2078">
        <v>0.95809780808313805</v>
      </c>
      <c r="D2078">
        <v>0.775579637239314</v>
      </c>
      <c r="E2078">
        <v>0.64400753273664002</v>
      </c>
      <c r="F2078">
        <v>0.44927876807355199</v>
      </c>
      <c r="G2078">
        <v>0.24291998697117301</v>
      </c>
      <c r="H2078">
        <v>0.13059058723488701</v>
      </c>
      <c r="I2078">
        <v>0.101636424420566</v>
      </c>
      <c r="J2078">
        <v>0.103250359891047</v>
      </c>
      <c r="K2078">
        <v>0.118404216429987</v>
      </c>
      <c r="L2078">
        <v>680.81278255074005</v>
      </c>
      <c r="M2078">
        <v>13.2603788673311</v>
      </c>
      <c r="N2078">
        <v>51.813843303813002</v>
      </c>
      <c r="O2078">
        <v>50.216350611733901</v>
      </c>
      <c r="P2078">
        <v>-6.2270838181834501E-2</v>
      </c>
      <c r="Q2078">
        <v>5.68883486012976E-2</v>
      </c>
      <c r="R2078">
        <v>0.99332682654459603</v>
      </c>
      <c r="S2078" t="s">
        <v>5707</v>
      </c>
      <c r="T2078" t="s">
        <v>7256</v>
      </c>
      <c r="U2078" t="s">
        <v>7256</v>
      </c>
      <c r="V2078" t="s">
        <v>7256</v>
      </c>
      <c r="W2078">
        <v>10</v>
      </c>
      <c r="X2078" t="s">
        <v>9334</v>
      </c>
      <c r="Y2078">
        <v>0.43953811799796522</v>
      </c>
      <c r="Z2078" t="str">
        <f>HYPERLINK("Melting_Curves/meltCurve_sp_Q8TEX9_IPO4_HUMAN_.pdf", "Melting_Curves/meltCurve_sp_Q8TEX9_IPO4_HUMAN_.pdf")</f>
        <v>Melting_Curves/meltCurve_sp_Q8TEX9_IPO4_HUMAN_.pdf</v>
      </c>
      <c r="AA2078" t="s">
        <v>12930</v>
      </c>
      <c r="AB2078" t="s">
        <v>16503</v>
      </c>
    </row>
    <row r="2079" spans="1:28" x14ac:dyDescent="0.25">
      <c r="A2079" t="s">
        <v>2083</v>
      </c>
      <c r="B2079">
        <v>0.98018197421672304</v>
      </c>
      <c r="C2079">
        <v>0.99304572268771196</v>
      </c>
      <c r="D2079">
        <v>0.95360925577462097</v>
      </c>
      <c r="E2079">
        <v>0.800699264819696</v>
      </c>
      <c r="F2079">
        <v>0.62332888999948399</v>
      </c>
      <c r="G2079">
        <v>0.181417464988228</v>
      </c>
      <c r="H2079">
        <v>8.3569203131072106E-2</v>
      </c>
      <c r="I2079">
        <v>7.2375810150428196E-2</v>
      </c>
      <c r="J2079">
        <v>7.7156298830549294E-2</v>
      </c>
      <c r="K2079">
        <v>6.3654646584699603E-2</v>
      </c>
      <c r="L2079">
        <v>1286.2490279874301</v>
      </c>
      <c r="M2079">
        <v>24.0817879705201</v>
      </c>
      <c r="N2079">
        <v>53.655041165278199</v>
      </c>
      <c r="O2079">
        <v>53.047471613377503</v>
      </c>
      <c r="P2079">
        <v>-0.107621961663697</v>
      </c>
      <c r="Q2079">
        <v>5.1734211849935798E-2</v>
      </c>
      <c r="R2079">
        <v>0.99481377003636096</v>
      </c>
      <c r="S2079" t="s">
        <v>5708</v>
      </c>
      <c r="T2079" t="s">
        <v>7256</v>
      </c>
      <c r="U2079" t="s">
        <v>7256</v>
      </c>
      <c r="V2079" t="s">
        <v>7256</v>
      </c>
      <c r="W2079">
        <v>3</v>
      </c>
      <c r="X2079" t="s">
        <v>9335</v>
      </c>
      <c r="Y2079">
        <v>0.485040975180626</v>
      </c>
      <c r="Z2079" t="str">
        <f>HYPERLINK("Melting_Curves/meltCurve_sp_Q8TF65_GIPC2_HUMAN_.pdf", "Melting_Curves/meltCurve_sp_Q8TF65_GIPC2_HUMAN_.pdf")</f>
        <v>Melting_Curves/meltCurve_sp_Q8TF65_GIPC2_HUMAN_.pdf</v>
      </c>
      <c r="AA2079" t="s">
        <v>12931</v>
      </c>
      <c r="AB2079" t="s">
        <v>16504</v>
      </c>
    </row>
    <row r="2080" spans="1:28" x14ac:dyDescent="0.25">
      <c r="A2080" t="s">
        <v>2084</v>
      </c>
      <c r="B2080">
        <v>0.98018197421672304</v>
      </c>
      <c r="C2080">
        <v>0.97601553986108203</v>
      </c>
      <c r="D2080">
        <v>0.91248308071464801</v>
      </c>
      <c r="E2080">
        <v>0.733329510751905</v>
      </c>
      <c r="F2080">
        <v>0.65866785711771203</v>
      </c>
      <c r="G2080">
        <v>0.49575861365930302</v>
      </c>
      <c r="H2080">
        <v>0.44712207950421401</v>
      </c>
      <c r="I2080">
        <v>0.487642408485356</v>
      </c>
      <c r="J2080">
        <v>0.63656456927948302</v>
      </c>
      <c r="K2080">
        <v>0.78467992861567404</v>
      </c>
      <c r="L2080">
        <v>1232.24149137525</v>
      </c>
      <c r="M2080">
        <v>25.243709879695199</v>
      </c>
      <c r="O2080">
        <v>48.510572375439303</v>
      </c>
      <c r="P2080">
        <v>-5.5383313190051797E-2</v>
      </c>
      <c r="Q2080">
        <v>0.57428744146334798</v>
      </c>
      <c r="R2080">
        <v>0.77325569626860902</v>
      </c>
      <c r="S2080" t="s">
        <v>5709</v>
      </c>
      <c r="T2080" t="s">
        <v>7256</v>
      </c>
      <c r="U2080" t="s">
        <v>7256</v>
      </c>
      <c r="V2080" t="s">
        <v>7256</v>
      </c>
      <c r="W2080">
        <v>8</v>
      </c>
      <c r="X2080" t="s">
        <v>9336</v>
      </c>
      <c r="Y2080">
        <v>0.70305236800047843</v>
      </c>
      <c r="Z2080" t="str">
        <f>HYPERLINK("Melting_Curves/meltCurve_sp_Q8TF74_WIPF2_HUMAN_.pdf", "Melting_Curves/meltCurve_sp_Q8TF74_WIPF2_HUMAN_.pdf")</f>
        <v>Melting_Curves/meltCurve_sp_Q8TF74_WIPF2_HUMAN_.pdf</v>
      </c>
      <c r="AA2080" t="s">
        <v>12932</v>
      </c>
      <c r="AB2080" t="s">
        <v>16505</v>
      </c>
    </row>
    <row r="2081" spans="1:28" x14ac:dyDescent="0.25">
      <c r="A2081" t="s">
        <v>2085</v>
      </c>
      <c r="B2081">
        <v>0.98018197421672304</v>
      </c>
      <c r="C2081">
        <v>0.95829278686799202</v>
      </c>
      <c r="D2081">
        <v>0.87071204383404499</v>
      </c>
      <c r="E2081">
        <v>0.38668812074671</v>
      </c>
      <c r="F2081">
        <v>0.20878669497275401</v>
      </c>
      <c r="G2081">
        <v>0.11859646833600999</v>
      </c>
      <c r="H2081">
        <v>8.7716347929751595E-2</v>
      </c>
      <c r="I2081">
        <v>9.5857088656412501E-2</v>
      </c>
      <c r="J2081">
        <v>0.122549044302333</v>
      </c>
      <c r="K2081">
        <v>0.13751401399458499</v>
      </c>
      <c r="L2081">
        <v>1384.2300789713199</v>
      </c>
      <c r="M2081">
        <v>28.426987633697699</v>
      </c>
      <c r="N2081">
        <v>49.127331290314203</v>
      </c>
      <c r="O2081">
        <v>48.455160411889104</v>
      </c>
      <c r="P2081">
        <v>-0.130411218717739</v>
      </c>
      <c r="Q2081">
        <v>0.110838532580621</v>
      </c>
      <c r="R2081">
        <v>0.99755686603148397</v>
      </c>
      <c r="S2081" t="s">
        <v>5710</v>
      </c>
      <c r="T2081" t="s">
        <v>7256</v>
      </c>
      <c r="U2081" t="s">
        <v>7256</v>
      </c>
      <c r="V2081" t="s">
        <v>7256</v>
      </c>
      <c r="W2081">
        <v>3</v>
      </c>
      <c r="X2081" t="s">
        <v>9337</v>
      </c>
      <c r="Y2081">
        <v>0.37455103241670279</v>
      </c>
      <c r="Z2081" t="str">
        <f>HYPERLINK("Melting_Curves/meltCurve_sp_Q8WTS6_SETD7_HUMAN_.pdf", "Melting_Curves/meltCurve_sp_Q8WTS6_SETD7_HUMAN_.pdf")</f>
        <v>Melting_Curves/meltCurve_sp_Q8WTS6_SETD7_HUMAN_.pdf</v>
      </c>
      <c r="AA2081" t="s">
        <v>12933</v>
      </c>
      <c r="AB2081" t="s">
        <v>16506</v>
      </c>
    </row>
    <row r="2082" spans="1:28" x14ac:dyDescent="0.25">
      <c r="A2082" t="s">
        <v>2086</v>
      </c>
      <c r="B2082">
        <v>0.98018197421672304</v>
      </c>
      <c r="C2082">
        <v>0.82640124927658898</v>
      </c>
      <c r="D2082">
        <v>0.68606113410066205</v>
      </c>
      <c r="E2082">
        <v>0.59549207541247695</v>
      </c>
      <c r="F2082">
        <v>0.55058294087015203</v>
      </c>
      <c r="G2082">
        <v>0.33831329868722099</v>
      </c>
      <c r="H2082">
        <v>0.26320328280833799</v>
      </c>
      <c r="I2082">
        <v>0.27681168012558</v>
      </c>
      <c r="J2082">
        <v>0.37733116366254699</v>
      </c>
      <c r="K2082">
        <v>0.38277490577345202</v>
      </c>
      <c r="L2082">
        <v>556.03276878806798</v>
      </c>
      <c r="M2082">
        <v>11.6224460538771</v>
      </c>
      <c r="N2082">
        <v>51.892923501323502</v>
      </c>
      <c r="O2082">
        <v>46.490788701329201</v>
      </c>
      <c r="P2082">
        <v>-4.3872102967114898E-2</v>
      </c>
      <c r="Q2082">
        <v>0.298222649710424</v>
      </c>
      <c r="R2082">
        <v>0.93713411712768802</v>
      </c>
      <c r="S2082" t="s">
        <v>5711</v>
      </c>
      <c r="T2082" t="s">
        <v>7256</v>
      </c>
      <c r="U2082" t="s">
        <v>7256</v>
      </c>
      <c r="V2082" t="s">
        <v>7256</v>
      </c>
      <c r="W2082">
        <v>1</v>
      </c>
      <c r="X2082" t="s">
        <v>9338</v>
      </c>
      <c r="Y2082">
        <v>0.51101157367231009</v>
      </c>
      <c r="Z2082" t="str">
        <f>HYPERLINK("Melting_Curves/meltCurve_sp_Q8WU39_3_MZB1_HUMAN_.pdf", "Melting_Curves/meltCurve_sp_Q8WU39_3_MZB1_HUMAN_.pdf")</f>
        <v>Melting_Curves/meltCurve_sp_Q8WU39_3_MZB1_HUMAN_.pdf</v>
      </c>
      <c r="AA2082" t="s">
        <v>12934</v>
      </c>
      <c r="AB2082" t="s">
        <v>16507</v>
      </c>
    </row>
    <row r="2083" spans="1:28" x14ac:dyDescent="0.25">
      <c r="A2083" t="s">
        <v>2087</v>
      </c>
      <c r="B2083">
        <v>0.98018197421672304</v>
      </c>
      <c r="C2083">
        <v>1.0553152825983201</v>
      </c>
      <c r="D2083">
        <v>0.96868286261215997</v>
      </c>
      <c r="E2083">
        <v>0.75928351556837004</v>
      </c>
      <c r="F2083">
        <v>0.56949144803999696</v>
      </c>
      <c r="G2083">
        <v>0.208511077815277</v>
      </c>
      <c r="H2083">
        <v>0.100953146264573</v>
      </c>
      <c r="I2083">
        <v>6.8563759010997399E-2</v>
      </c>
      <c r="J2083">
        <v>7.25566398332258E-2</v>
      </c>
      <c r="K2083">
        <v>7.2416806678781198E-2</v>
      </c>
      <c r="L2083">
        <v>1130.12187185532</v>
      </c>
      <c r="M2083">
        <v>21.302886634716099</v>
      </c>
      <c r="N2083">
        <v>53.3322903385153</v>
      </c>
      <c r="O2083">
        <v>52.589335270689297</v>
      </c>
      <c r="P2083">
        <v>-9.5876135478835098E-2</v>
      </c>
      <c r="Q2083">
        <v>5.32861657907817E-2</v>
      </c>
      <c r="R2083">
        <v>0.99516419138602497</v>
      </c>
      <c r="S2083" t="s">
        <v>5712</v>
      </c>
      <c r="T2083" t="s">
        <v>7256</v>
      </c>
      <c r="U2083" t="s">
        <v>7256</v>
      </c>
      <c r="V2083" t="s">
        <v>7256</v>
      </c>
      <c r="W2083">
        <v>5</v>
      </c>
      <c r="X2083" t="s">
        <v>9339</v>
      </c>
      <c r="Y2083">
        <v>0.47678057180912431</v>
      </c>
      <c r="Z2083" t="str">
        <f>HYPERLINK("Melting_Curves/meltCurve_sp_Q8WU79_3_SMAP2_HUMAN_.pdf", "Melting_Curves/meltCurve_sp_Q8WU79_3_SMAP2_HUMAN_.pdf")</f>
        <v>Melting_Curves/meltCurve_sp_Q8WU79_3_SMAP2_HUMAN_.pdf</v>
      </c>
      <c r="AA2083" t="s">
        <v>12935</v>
      </c>
      <c r="AB2083" t="s">
        <v>16508</v>
      </c>
    </row>
    <row r="2084" spans="1:28" x14ac:dyDescent="0.25">
      <c r="A2084" t="s">
        <v>2088</v>
      </c>
      <c r="B2084">
        <v>0.98018197421672304</v>
      </c>
      <c r="C2084">
        <v>0.90719175885186598</v>
      </c>
      <c r="D2084">
        <v>0.94209546382570297</v>
      </c>
      <c r="E2084">
        <v>0.82295396097170803</v>
      </c>
      <c r="F2084">
        <v>0.35701605026366601</v>
      </c>
      <c r="G2084">
        <v>0.46656699498505</v>
      </c>
      <c r="H2084">
        <v>0.46846869699857902</v>
      </c>
      <c r="I2084">
        <v>0.51854401961188201</v>
      </c>
      <c r="J2084">
        <v>0.56979562698671904</v>
      </c>
      <c r="K2084">
        <v>0.67945315528299099</v>
      </c>
      <c r="L2084">
        <v>12528.4861187225</v>
      </c>
      <c r="M2084">
        <v>250</v>
      </c>
      <c r="O2084">
        <v>50.110737010098198</v>
      </c>
      <c r="P2084">
        <v>-0.61117880760176901</v>
      </c>
      <c r="Q2084">
        <v>0.50997406773570597</v>
      </c>
      <c r="R2084">
        <v>0.84503149655382304</v>
      </c>
      <c r="S2084" t="s">
        <v>5713</v>
      </c>
      <c r="T2084" t="s">
        <v>7256</v>
      </c>
      <c r="U2084" t="s">
        <v>7256</v>
      </c>
      <c r="V2084" t="s">
        <v>7256</v>
      </c>
      <c r="W2084">
        <v>6</v>
      </c>
      <c r="X2084" t="s">
        <v>9340</v>
      </c>
      <c r="Y2084">
        <v>0.675220334126715</v>
      </c>
      <c r="Z2084" t="str">
        <f>HYPERLINK("Melting_Curves/meltCurve_sp_Q8WU90_ZC3HF_HUMAN_.pdf", "Melting_Curves/meltCurve_sp_Q8WU90_ZC3HF_HUMAN_.pdf")</f>
        <v>Melting_Curves/meltCurve_sp_Q8WU90_ZC3HF_HUMAN_.pdf</v>
      </c>
      <c r="AA2084" t="s">
        <v>12936</v>
      </c>
      <c r="AB2084" t="s">
        <v>16509</v>
      </c>
    </row>
    <row r="2085" spans="1:28" x14ac:dyDescent="0.25">
      <c r="A2085" t="s">
        <v>2089</v>
      </c>
      <c r="B2085">
        <v>0.98018197421672304</v>
      </c>
      <c r="C2085">
        <v>0.98215668281975899</v>
      </c>
      <c r="D2085">
        <v>0.98631398585061802</v>
      </c>
      <c r="E2085">
        <v>0.66584775620540204</v>
      </c>
      <c r="F2085">
        <v>0.33034606314436799</v>
      </c>
      <c r="G2085">
        <v>0.24182579198119999</v>
      </c>
      <c r="H2085">
        <v>0.15011430131519601</v>
      </c>
      <c r="I2085">
        <v>0.14240095983599599</v>
      </c>
      <c r="J2085">
        <v>0.13623865724565901</v>
      </c>
      <c r="K2085">
        <v>0.113829002316301</v>
      </c>
      <c r="L2085">
        <v>1418.53317245217</v>
      </c>
      <c r="M2085">
        <v>27.9142273585766</v>
      </c>
      <c r="N2085">
        <v>51.439638064074302</v>
      </c>
      <c r="O2085">
        <v>50.558931792699099</v>
      </c>
      <c r="P2085">
        <v>-0.118256757657281</v>
      </c>
      <c r="Q2085">
        <v>0.143249668765145</v>
      </c>
      <c r="R2085">
        <v>0.99535405007303202</v>
      </c>
      <c r="S2085" t="s">
        <v>5714</v>
      </c>
      <c r="T2085" t="s">
        <v>7256</v>
      </c>
      <c r="U2085" t="s">
        <v>7256</v>
      </c>
      <c r="V2085" t="s">
        <v>7256</v>
      </c>
      <c r="W2085">
        <v>1</v>
      </c>
      <c r="X2085" t="s">
        <v>9341</v>
      </c>
      <c r="Y2085">
        <v>0.45838585945831362</v>
      </c>
      <c r="Z2085" t="str">
        <f>HYPERLINK("Melting_Curves/meltCurve_sp_Q8WUA2_PPIL4_HUMAN_.pdf", "Melting_Curves/meltCurve_sp_Q8WUA2_PPIL4_HUMAN_.pdf")</f>
        <v>Melting_Curves/meltCurve_sp_Q8WUA2_PPIL4_HUMAN_.pdf</v>
      </c>
      <c r="AA2085" t="s">
        <v>12937</v>
      </c>
      <c r="AB2085" t="s">
        <v>16510</v>
      </c>
    </row>
    <row r="2086" spans="1:28" x14ac:dyDescent="0.25">
      <c r="A2086" t="s">
        <v>2090</v>
      </c>
      <c r="B2086">
        <v>0.98018197421672304</v>
      </c>
      <c r="C2086">
        <v>0.91682753531973105</v>
      </c>
      <c r="D2086">
        <v>0.92343592213075398</v>
      </c>
      <c r="E2086">
        <v>0.54289992701399603</v>
      </c>
      <c r="F2086">
        <v>0.12644896295307201</v>
      </c>
      <c r="G2086">
        <v>8.4728158232963799E-2</v>
      </c>
      <c r="H2086">
        <v>5.0871759917959301E-2</v>
      </c>
      <c r="I2086">
        <v>4.1856858269763798E-2</v>
      </c>
      <c r="J2086">
        <v>4.4742632284217397E-2</v>
      </c>
      <c r="K2086">
        <v>3.88058645662957E-2</v>
      </c>
      <c r="L2086">
        <v>1742.1624614884099</v>
      </c>
      <c r="M2086">
        <v>34.841733835425003</v>
      </c>
      <c r="N2086">
        <v>50.136491311677901</v>
      </c>
      <c r="O2086">
        <v>49.838312581258002</v>
      </c>
      <c r="P2086">
        <v>-0.166986808020818</v>
      </c>
      <c r="Q2086">
        <v>4.4558316209996597E-2</v>
      </c>
      <c r="R2086">
        <v>0.993444830275519</v>
      </c>
      <c r="S2086" t="s">
        <v>5715</v>
      </c>
      <c r="T2086" t="s">
        <v>7256</v>
      </c>
      <c r="U2086" t="s">
        <v>7256</v>
      </c>
      <c r="V2086" t="s">
        <v>7256</v>
      </c>
      <c r="W2086">
        <v>42</v>
      </c>
      <c r="X2086" t="s">
        <v>9342</v>
      </c>
      <c r="Y2086">
        <v>0.36747423598840112</v>
      </c>
      <c r="Z2086" t="str">
        <f>HYPERLINK("Melting_Curves/meltCurve_sp_Q8WUM4_PDC6I_HUMAN_.pdf", "Melting_Curves/meltCurve_sp_Q8WUM4_PDC6I_HUMAN_.pdf")</f>
        <v>Melting_Curves/meltCurve_sp_Q8WUM4_PDC6I_HUMAN_.pdf</v>
      </c>
      <c r="AA2086" t="s">
        <v>12938</v>
      </c>
      <c r="AB2086" t="s">
        <v>16511</v>
      </c>
    </row>
    <row r="2087" spans="1:28" x14ac:dyDescent="0.25">
      <c r="A2087" t="s">
        <v>2091</v>
      </c>
      <c r="B2087">
        <v>0.98018197421672304</v>
      </c>
      <c r="C2087">
        <v>0.94534656141443396</v>
      </c>
      <c r="D2087">
        <v>0.88902813576300499</v>
      </c>
      <c r="E2087">
        <v>0.75523079933094295</v>
      </c>
      <c r="F2087">
        <v>0.67203780358430598</v>
      </c>
      <c r="G2087">
        <v>0.464727721592746</v>
      </c>
      <c r="H2087">
        <v>0.41189752889753201</v>
      </c>
      <c r="I2087">
        <v>0.40554966775769102</v>
      </c>
      <c r="J2087">
        <v>0.61543879018745495</v>
      </c>
      <c r="K2087">
        <v>0.61681129520771905</v>
      </c>
      <c r="L2087">
        <v>967.60659621254194</v>
      </c>
      <c r="M2087">
        <v>19.435014358664901</v>
      </c>
      <c r="O2087">
        <v>49.268649323717902</v>
      </c>
      <c r="P2087">
        <v>-4.9275052639170903E-2</v>
      </c>
      <c r="Q2087">
        <v>0.50036011005830605</v>
      </c>
      <c r="R2087">
        <v>0.86096014417111799</v>
      </c>
      <c r="S2087" t="s">
        <v>5716</v>
      </c>
      <c r="T2087" t="s">
        <v>7256</v>
      </c>
      <c r="U2087" t="s">
        <v>7256</v>
      </c>
      <c r="V2087" t="s">
        <v>7256</v>
      </c>
      <c r="W2087">
        <v>3</v>
      </c>
      <c r="X2087" t="s">
        <v>9343</v>
      </c>
      <c r="Y2087">
        <v>0.67072002900618843</v>
      </c>
      <c r="Z2087" t="str">
        <f>HYPERLINK("Melting_Curves/meltCurve_sp_Q8WUR7_CO040_HUMAN_.pdf", "Melting_Curves/meltCurve_sp_Q8WUR7_CO040_HUMAN_.pdf")</f>
        <v>Melting_Curves/meltCurve_sp_Q8WUR7_CO040_HUMAN_.pdf</v>
      </c>
      <c r="AA2087" t="s">
        <v>12939</v>
      </c>
      <c r="AB2087" t="s">
        <v>16512</v>
      </c>
    </row>
    <row r="2088" spans="1:28" x14ac:dyDescent="0.25">
      <c r="A2088" t="s">
        <v>2092</v>
      </c>
      <c r="B2088">
        <v>0.98018197421672304</v>
      </c>
      <c r="C2088">
        <v>0.82524143161125596</v>
      </c>
      <c r="D2088">
        <v>0.964162758819604</v>
      </c>
      <c r="E2088">
        <v>0.89284199912603901</v>
      </c>
      <c r="F2088">
        <v>0.767123951119141</v>
      </c>
      <c r="G2088">
        <v>0.43477833044300501</v>
      </c>
      <c r="H2088">
        <v>0.43264515459904401</v>
      </c>
      <c r="I2088">
        <v>0.44191008566733703</v>
      </c>
      <c r="J2088">
        <v>0.44523471221371202</v>
      </c>
      <c r="K2088">
        <v>0.27676999477752501</v>
      </c>
      <c r="L2088">
        <v>1350.35384853541</v>
      </c>
      <c r="M2088">
        <v>25.218027772810402</v>
      </c>
      <c r="N2088">
        <v>56.753810252197098</v>
      </c>
      <c r="O2088">
        <v>53.213857203861998</v>
      </c>
      <c r="P2088">
        <v>-7.3487690104595604E-2</v>
      </c>
      <c r="Q2088">
        <v>0.37972752475994598</v>
      </c>
      <c r="R2088">
        <v>0.91395466440662099</v>
      </c>
      <c r="S2088" t="s">
        <v>5717</v>
      </c>
      <c r="T2088" t="s">
        <v>7256</v>
      </c>
      <c r="U2088" t="s">
        <v>7256</v>
      </c>
      <c r="V2088" t="s">
        <v>7256</v>
      </c>
      <c r="W2088">
        <v>3</v>
      </c>
      <c r="X2088" t="s">
        <v>9344</v>
      </c>
      <c r="Y2088">
        <v>0.66546373055605568</v>
      </c>
      <c r="Z2088" t="str">
        <f>HYPERLINK("Melting_Curves/meltCurve_sp_Q8WUW1_BRK1_HUMAN_.pdf", "Melting_Curves/meltCurve_sp_Q8WUW1_BRK1_HUMAN_.pdf")</f>
        <v>Melting_Curves/meltCurve_sp_Q8WUW1_BRK1_HUMAN_.pdf</v>
      </c>
      <c r="AA2088" t="s">
        <v>12940</v>
      </c>
      <c r="AB2088" t="s">
        <v>16513</v>
      </c>
    </row>
    <row r="2089" spans="1:28" x14ac:dyDescent="0.25">
      <c r="A2089" t="s">
        <v>2093</v>
      </c>
      <c r="B2089">
        <v>0.98018197421672304</v>
      </c>
      <c r="C2089">
        <v>0.95408511862976397</v>
      </c>
      <c r="D2089">
        <v>0.92185855871270295</v>
      </c>
      <c r="E2089">
        <v>0.69203498032859001</v>
      </c>
      <c r="F2089">
        <v>0.45901953996438699</v>
      </c>
      <c r="G2089">
        <v>0.31186568013384403</v>
      </c>
      <c r="H2089">
        <v>0.22535905569428999</v>
      </c>
      <c r="I2089">
        <v>0.17077258099920001</v>
      </c>
      <c r="J2089">
        <v>0.220199282926934</v>
      </c>
      <c r="K2089">
        <v>0.243931536114494</v>
      </c>
      <c r="L2089">
        <v>999.42404829192799</v>
      </c>
      <c r="M2089">
        <v>19.560182602197099</v>
      </c>
      <c r="N2089">
        <v>52.495694562801802</v>
      </c>
      <c r="O2089">
        <v>50.569762762434898</v>
      </c>
      <c r="P2089">
        <v>-7.7040362466575696E-2</v>
      </c>
      <c r="Q2089">
        <v>0.203325556898281</v>
      </c>
      <c r="R2089">
        <v>0.99488702678877805</v>
      </c>
      <c r="S2089" t="s">
        <v>5718</v>
      </c>
      <c r="T2089" t="s">
        <v>7256</v>
      </c>
      <c r="U2089" t="s">
        <v>7256</v>
      </c>
      <c r="V2089" t="s">
        <v>7256</v>
      </c>
      <c r="W2089">
        <v>1</v>
      </c>
      <c r="X2089" t="s">
        <v>9345</v>
      </c>
      <c r="Y2089">
        <v>0.50948035431315941</v>
      </c>
      <c r="Z2089" t="str">
        <f>HYPERLINK("Melting_Curves/meltCurve_sp_Q8WUX9_CHMP7_HUMAN_.pdf", "Melting_Curves/meltCurve_sp_Q8WUX9_CHMP7_HUMAN_.pdf")</f>
        <v>Melting_Curves/meltCurve_sp_Q8WUX9_CHMP7_HUMAN_.pdf</v>
      </c>
      <c r="AA2089" t="s">
        <v>12941</v>
      </c>
      <c r="AB2089" t="s">
        <v>16514</v>
      </c>
    </row>
    <row r="2090" spans="1:28" x14ac:dyDescent="0.25">
      <c r="A2090" t="s">
        <v>2094</v>
      </c>
      <c r="B2090">
        <v>0.98018197421672304</v>
      </c>
      <c r="C2090">
        <v>0.80534986515803497</v>
      </c>
      <c r="D2090">
        <v>0.67689388292659203</v>
      </c>
      <c r="E2090">
        <v>0.75600547795449402</v>
      </c>
      <c r="F2090">
        <v>0.65269086380649999</v>
      </c>
      <c r="G2090">
        <v>0.50304901865743301</v>
      </c>
      <c r="H2090">
        <v>0.38633740965754598</v>
      </c>
      <c r="I2090">
        <v>0.40828142001566198</v>
      </c>
      <c r="J2090">
        <v>0.43076882011550399</v>
      </c>
      <c r="K2090">
        <v>0.67090503214213204</v>
      </c>
      <c r="L2090">
        <v>477.02556325513899</v>
      </c>
      <c r="M2090">
        <v>10.1554791549362</v>
      </c>
      <c r="N2090">
        <v>62.186316097166298</v>
      </c>
      <c r="O2090">
        <v>45.260075618277703</v>
      </c>
      <c r="P2090">
        <v>-3.03995803337552E-2</v>
      </c>
      <c r="Q2090">
        <v>0.45831930951705502</v>
      </c>
      <c r="R2090">
        <v>0.73135681837014699</v>
      </c>
      <c r="S2090" t="s">
        <v>5719</v>
      </c>
      <c r="T2090" t="s">
        <v>7256</v>
      </c>
      <c r="U2090" t="s">
        <v>7256</v>
      </c>
      <c r="V2090" t="s">
        <v>7256</v>
      </c>
      <c r="W2090">
        <v>2</v>
      </c>
      <c r="X2090" t="s">
        <v>9346</v>
      </c>
      <c r="Y2090">
        <v>0.61463069070516874</v>
      </c>
      <c r="Z2090" t="str">
        <f>HYPERLINK("Melting_Curves/meltCurve_sp_Q8WV28_BLNK_HUMAN_.pdf", "Melting_Curves/meltCurve_sp_Q8WV28_BLNK_HUMAN_.pdf")</f>
        <v>Melting_Curves/meltCurve_sp_Q8WV28_BLNK_HUMAN_.pdf</v>
      </c>
      <c r="AA2090" t="s">
        <v>12942</v>
      </c>
      <c r="AB2090" t="s">
        <v>16515</v>
      </c>
    </row>
    <row r="2091" spans="1:28" x14ac:dyDescent="0.25">
      <c r="A2091" t="s">
        <v>2095</v>
      </c>
      <c r="B2091">
        <v>0.98018197421672304</v>
      </c>
      <c r="C2091">
        <v>0.78145564823243696</v>
      </c>
      <c r="D2091">
        <v>0.67754845365288496</v>
      </c>
      <c r="E2091">
        <v>0.51882758461616796</v>
      </c>
      <c r="F2091">
        <v>0.40610010270560698</v>
      </c>
      <c r="G2091">
        <v>0.23023646302196399</v>
      </c>
      <c r="H2091">
        <v>0.21219733695798701</v>
      </c>
      <c r="I2091">
        <v>0.196343437343731</v>
      </c>
      <c r="J2091">
        <v>0.221745676869672</v>
      </c>
      <c r="K2091">
        <v>0.25233731309853802</v>
      </c>
      <c r="L2091">
        <v>578.58211843214804</v>
      </c>
      <c r="M2091">
        <v>12.115970619162299</v>
      </c>
      <c r="N2091">
        <v>49.650414635250698</v>
      </c>
      <c r="O2091">
        <v>46.508621812243099</v>
      </c>
      <c r="P2091">
        <v>-5.3074553748767503E-2</v>
      </c>
      <c r="Q2091">
        <v>0.18525679948603699</v>
      </c>
      <c r="R2091">
        <v>0.97906780492201895</v>
      </c>
      <c r="S2091" t="s">
        <v>5720</v>
      </c>
      <c r="T2091" t="s">
        <v>7256</v>
      </c>
      <c r="U2091" t="s">
        <v>7256</v>
      </c>
      <c r="V2091" t="s">
        <v>7256</v>
      </c>
      <c r="W2091">
        <v>1</v>
      </c>
      <c r="X2091" t="s">
        <v>9347</v>
      </c>
      <c r="Y2091">
        <v>0.42769278215627332</v>
      </c>
      <c r="Z2091" t="str">
        <f>HYPERLINK("Melting_Curves/meltCurve_sp_Q8WV41_SNX33_HUMAN_.pdf", "Melting_Curves/meltCurve_sp_Q8WV41_SNX33_HUMAN_.pdf")</f>
        <v>Melting_Curves/meltCurve_sp_Q8WV41_SNX33_HUMAN_.pdf</v>
      </c>
      <c r="AA2091" t="s">
        <v>12943</v>
      </c>
      <c r="AB2091" t="s">
        <v>16516</v>
      </c>
    </row>
    <row r="2092" spans="1:28" x14ac:dyDescent="0.25">
      <c r="A2092" t="s">
        <v>2096</v>
      </c>
      <c r="B2092">
        <v>0.98018197421672304</v>
      </c>
      <c r="C2092">
        <v>0.96693818030055501</v>
      </c>
      <c r="D2092">
        <v>0.76106941916237303</v>
      </c>
      <c r="E2092">
        <v>0.477458095545433</v>
      </c>
      <c r="F2092">
        <v>0.26797064271875598</v>
      </c>
      <c r="G2092">
        <v>0.16758313465337499</v>
      </c>
      <c r="H2092">
        <v>0.114609420145155</v>
      </c>
      <c r="I2092">
        <v>8.7591388524386499E-2</v>
      </c>
      <c r="J2092">
        <v>0.118254160674037</v>
      </c>
      <c r="K2092">
        <v>5.7389225919585701E-2</v>
      </c>
      <c r="L2092">
        <v>862.96106063528498</v>
      </c>
      <c r="M2092">
        <v>17.583636640563501</v>
      </c>
      <c r="N2092">
        <v>49.581891474976203</v>
      </c>
      <c r="O2092">
        <v>48.455945894495599</v>
      </c>
      <c r="P2092">
        <v>-8.3294804136204395E-2</v>
      </c>
      <c r="Q2092">
        <v>8.1894250091004803E-2</v>
      </c>
      <c r="R2092">
        <v>0.99691746620377397</v>
      </c>
      <c r="S2092" t="s">
        <v>5721</v>
      </c>
      <c r="T2092" t="s">
        <v>7256</v>
      </c>
      <c r="U2092" t="s">
        <v>7256</v>
      </c>
      <c r="V2092" t="s">
        <v>7256</v>
      </c>
      <c r="W2092">
        <v>5</v>
      </c>
      <c r="X2092" t="s">
        <v>9348</v>
      </c>
      <c r="Y2092">
        <v>0.37633097534022808</v>
      </c>
      <c r="Z2092" t="str">
        <f>HYPERLINK("Melting_Curves/meltCurve_sp_Q8WV74_NUDT8_HUMAN_.pdf", "Melting_Curves/meltCurve_sp_Q8WV74_NUDT8_HUMAN_.pdf")</f>
        <v>Melting_Curves/meltCurve_sp_Q8WV74_NUDT8_HUMAN_.pdf</v>
      </c>
      <c r="AA2092" t="s">
        <v>12944</v>
      </c>
      <c r="AB2092" t="s">
        <v>16517</v>
      </c>
    </row>
    <row r="2093" spans="1:28" x14ac:dyDescent="0.25">
      <c r="A2093" t="s">
        <v>2097</v>
      </c>
      <c r="B2093">
        <v>0.98018197421672304</v>
      </c>
      <c r="C2093">
        <v>0.90340656428000099</v>
      </c>
      <c r="D2093">
        <v>0.83843782136378298</v>
      </c>
      <c r="E2093">
        <v>0.84655523549863798</v>
      </c>
      <c r="F2093">
        <v>0.71127445296468295</v>
      </c>
      <c r="G2093">
        <v>0.79479169572254904</v>
      </c>
      <c r="H2093">
        <v>0.78589838537399503</v>
      </c>
      <c r="I2093">
        <v>0.63380426044940796</v>
      </c>
      <c r="J2093">
        <v>0.94157401194781198</v>
      </c>
      <c r="K2093">
        <v>0.82484351046709403</v>
      </c>
      <c r="L2093">
        <v>962.33963677877205</v>
      </c>
      <c r="M2093">
        <v>22.1192532762756</v>
      </c>
      <c r="O2093">
        <v>43.155955140036298</v>
      </c>
      <c r="P2093">
        <v>-2.7106010398889501E-2</v>
      </c>
      <c r="Q2093">
        <v>0.78846298600044695</v>
      </c>
      <c r="R2093">
        <v>0.40222598550223299</v>
      </c>
      <c r="S2093" t="s">
        <v>5722</v>
      </c>
      <c r="T2093" t="s">
        <v>7256</v>
      </c>
      <c r="U2093" t="s">
        <v>7256</v>
      </c>
      <c r="V2093" t="s">
        <v>7256</v>
      </c>
      <c r="W2093">
        <v>1</v>
      </c>
      <c r="X2093" t="s">
        <v>9349</v>
      </c>
      <c r="Y2093">
        <v>0.81676084626358991</v>
      </c>
      <c r="Z2093" t="str">
        <f>HYPERLINK("Melting_Curves/meltCurve_sp_Q8WV99_2_ZFN2B_HUMAN_.pdf", "Melting_Curves/meltCurve_sp_Q8WV99_2_ZFN2B_HUMAN_.pdf")</f>
        <v>Melting_Curves/meltCurve_sp_Q8WV99_2_ZFN2B_HUMAN_.pdf</v>
      </c>
      <c r="AA2093" t="s">
        <v>12945</v>
      </c>
      <c r="AB2093" t="s">
        <v>16518</v>
      </c>
    </row>
    <row r="2094" spans="1:28" x14ac:dyDescent="0.25">
      <c r="A2094" t="s">
        <v>2098</v>
      </c>
      <c r="B2094">
        <v>0.98018197421672304</v>
      </c>
      <c r="C2094">
        <v>0.95160102737154095</v>
      </c>
      <c r="D2094">
        <v>0.847904005746558</v>
      </c>
      <c r="E2094">
        <v>0.70729704366811597</v>
      </c>
      <c r="F2094">
        <v>0.491625953985458</v>
      </c>
      <c r="G2094">
        <v>0.353596989306315</v>
      </c>
      <c r="H2094">
        <v>0.219291921717572</v>
      </c>
      <c r="I2094">
        <v>0.138248163804506</v>
      </c>
      <c r="J2094">
        <v>0.18928473944626201</v>
      </c>
      <c r="K2094">
        <v>0.10587321028133</v>
      </c>
      <c r="L2094">
        <v>650.04332328664498</v>
      </c>
      <c r="M2094">
        <v>12.372481744677099</v>
      </c>
      <c r="N2094">
        <v>53.321204001293097</v>
      </c>
      <c r="O2094">
        <v>51.223506529798101</v>
      </c>
      <c r="P2094">
        <v>-5.5387850949769599E-2</v>
      </c>
      <c r="Q2094">
        <v>8.2947846948663306E-2</v>
      </c>
      <c r="R2094">
        <v>0.99471152320647205</v>
      </c>
      <c r="S2094" t="s">
        <v>5723</v>
      </c>
      <c r="T2094" t="s">
        <v>7256</v>
      </c>
      <c r="U2094" t="s">
        <v>7256</v>
      </c>
      <c r="V2094" t="s">
        <v>7256</v>
      </c>
      <c r="W2094">
        <v>2</v>
      </c>
      <c r="X2094" t="s">
        <v>9350</v>
      </c>
      <c r="Y2094">
        <v>0.49230362346516843</v>
      </c>
      <c r="Z2094" t="str">
        <f>HYPERLINK("Melting_Curves/meltCurve_sp_Q8WVB3_HEXDC_HUMAN_.pdf", "Melting_Curves/meltCurve_sp_Q8WVB3_HEXDC_HUMAN_.pdf")</f>
        <v>Melting_Curves/meltCurve_sp_Q8WVB3_HEXDC_HUMAN_.pdf</v>
      </c>
      <c r="AA2094" t="s">
        <v>12946</v>
      </c>
      <c r="AB2094" t="s">
        <v>16519</v>
      </c>
    </row>
    <row r="2095" spans="1:28" x14ac:dyDescent="0.25">
      <c r="A2095" t="s">
        <v>2099</v>
      </c>
      <c r="B2095">
        <v>0.98018197421672304</v>
      </c>
      <c r="C2095">
        <v>0.88083896966591901</v>
      </c>
      <c r="D2095">
        <v>0.84167469205770895</v>
      </c>
      <c r="E2095">
        <v>0.66555495875402304</v>
      </c>
      <c r="F2095">
        <v>0.55693343419043195</v>
      </c>
      <c r="G2095">
        <v>0.30959835490454801</v>
      </c>
      <c r="H2095">
        <v>0.33706215967294101</v>
      </c>
      <c r="I2095">
        <v>0.34904927906934202</v>
      </c>
      <c r="J2095">
        <v>0.41101195906747101</v>
      </c>
      <c r="K2095">
        <v>0.38346248361213497</v>
      </c>
      <c r="L2095">
        <v>764.87636606790795</v>
      </c>
      <c r="M2095">
        <v>15.4937732845463</v>
      </c>
      <c r="N2095">
        <v>53.308204694217103</v>
      </c>
      <c r="O2095">
        <v>48.566247928123502</v>
      </c>
      <c r="P2095">
        <v>-5.2565354585936003E-2</v>
      </c>
      <c r="Q2095">
        <v>0.34098043324621702</v>
      </c>
      <c r="R2095">
        <v>0.958770792480927</v>
      </c>
      <c r="S2095" t="s">
        <v>5724</v>
      </c>
      <c r="T2095" t="s">
        <v>7256</v>
      </c>
      <c r="U2095" t="s">
        <v>7256</v>
      </c>
      <c r="V2095" t="s">
        <v>7256</v>
      </c>
      <c r="W2095">
        <v>2</v>
      </c>
      <c r="X2095" t="s">
        <v>9351</v>
      </c>
      <c r="Y2095">
        <v>0.56185744790187298</v>
      </c>
      <c r="Z2095" t="str">
        <f>HYPERLINK("Melting_Curves/meltCurve_sp_Q8WVC0_LEO1_HUMAN_.pdf", "Melting_Curves/meltCurve_sp_Q8WVC0_LEO1_HUMAN_.pdf")</f>
        <v>Melting_Curves/meltCurve_sp_Q8WVC0_LEO1_HUMAN_.pdf</v>
      </c>
      <c r="AA2095" t="s">
        <v>12947</v>
      </c>
      <c r="AB2095" t="s">
        <v>16520</v>
      </c>
    </row>
    <row r="2096" spans="1:28" x14ac:dyDescent="0.25">
      <c r="A2096" t="s">
        <v>2100</v>
      </c>
      <c r="B2096">
        <v>0.98018197421672304</v>
      </c>
      <c r="C2096">
        <v>1.0371071896727</v>
      </c>
      <c r="D2096">
        <v>0.98422309424759902</v>
      </c>
      <c r="E2096">
        <v>0.81789777320520596</v>
      </c>
      <c r="F2096">
        <v>0.69560999489431197</v>
      </c>
      <c r="G2096">
        <v>0.337987320430091</v>
      </c>
      <c r="H2096">
        <v>0.149104059870313</v>
      </c>
      <c r="I2096">
        <v>0.112505268576727</v>
      </c>
      <c r="J2096">
        <v>0.13849894062409401</v>
      </c>
      <c r="K2096">
        <v>0.13101166151138499</v>
      </c>
      <c r="L2096">
        <v>1144.52237742384</v>
      </c>
      <c r="M2096">
        <v>21.109045083713699</v>
      </c>
      <c r="N2096">
        <v>54.8072554831896</v>
      </c>
      <c r="O2096">
        <v>53.739974791884997</v>
      </c>
      <c r="P2096">
        <v>-8.8255585528160804E-2</v>
      </c>
      <c r="Q2096">
        <v>0.101290044056185</v>
      </c>
      <c r="R2096">
        <v>0.99400331084833404</v>
      </c>
      <c r="S2096" t="s">
        <v>5725</v>
      </c>
      <c r="T2096" t="s">
        <v>7256</v>
      </c>
      <c r="U2096" t="s">
        <v>7256</v>
      </c>
      <c r="V2096" t="s">
        <v>7256</v>
      </c>
      <c r="W2096">
        <v>6</v>
      </c>
      <c r="X2096" t="s">
        <v>9352</v>
      </c>
      <c r="Y2096">
        <v>0.53841684615314322</v>
      </c>
      <c r="Z2096" t="str">
        <f>HYPERLINK("Melting_Curves/meltCurve_sp_Q8WVJ2_NUDC2_HUMAN_.pdf", "Melting_Curves/meltCurve_sp_Q8WVJ2_NUDC2_HUMAN_.pdf")</f>
        <v>Melting_Curves/meltCurve_sp_Q8WVJ2_NUDC2_HUMAN_.pdf</v>
      </c>
      <c r="AA2096" t="s">
        <v>12948</v>
      </c>
      <c r="AB2096" t="s">
        <v>16521</v>
      </c>
    </row>
    <row r="2097" spans="1:28" x14ac:dyDescent="0.25">
      <c r="A2097" t="s">
        <v>2101</v>
      </c>
      <c r="B2097">
        <v>0.98018197421672304</v>
      </c>
      <c r="C2097">
        <v>0.93695942126436305</v>
      </c>
      <c r="D2097">
        <v>0.90042114809085605</v>
      </c>
      <c r="E2097">
        <v>0.56584636158771695</v>
      </c>
      <c r="F2097">
        <v>0.22854914686696501</v>
      </c>
      <c r="G2097">
        <v>0.119990990414915</v>
      </c>
      <c r="H2097">
        <v>8.1533612693457602E-2</v>
      </c>
      <c r="I2097">
        <v>6.5552549480985198E-2</v>
      </c>
      <c r="J2097">
        <v>7.6713183914698002E-2</v>
      </c>
      <c r="K2097">
        <v>4.7979809313370002E-2</v>
      </c>
      <c r="L2097">
        <v>1234.0453920933401</v>
      </c>
      <c r="M2097">
        <v>24.625426663573201</v>
      </c>
      <c r="N2097">
        <v>50.386805876025299</v>
      </c>
      <c r="O2097">
        <v>49.785685655212397</v>
      </c>
      <c r="P2097">
        <v>-0.11590558216140801</v>
      </c>
      <c r="Q2097">
        <v>6.2699428974117496E-2</v>
      </c>
      <c r="R2097">
        <v>0.99686361581271599</v>
      </c>
      <c r="S2097" t="s">
        <v>5726</v>
      </c>
      <c r="T2097" t="s">
        <v>7256</v>
      </c>
      <c r="U2097" t="s">
        <v>7256</v>
      </c>
      <c r="V2097" t="s">
        <v>7256</v>
      </c>
      <c r="W2097">
        <v>9</v>
      </c>
      <c r="X2097" t="s">
        <v>9353</v>
      </c>
      <c r="Y2097">
        <v>0.38729721545844531</v>
      </c>
      <c r="Z2097" t="str">
        <f>HYPERLINK("Melting_Curves/meltCurve_sp_Q8WVM8_SCFD1_HUMAN_.pdf", "Melting_Curves/meltCurve_sp_Q8WVM8_SCFD1_HUMAN_.pdf")</f>
        <v>Melting_Curves/meltCurve_sp_Q8WVM8_SCFD1_HUMAN_.pdf</v>
      </c>
      <c r="AA2097" t="s">
        <v>12949</v>
      </c>
      <c r="AB2097" t="s">
        <v>16522</v>
      </c>
    </row>
    <row r="2098" spans="1:28" x14ac:dyDescent="0.25">
      <c r="A2098" t="s">
        <v>2102</v>
      </c>
      <c r="B2098">
        <v>0.98018197421672304</v>
      </c>
      <c r="C2098">
        <v>0.91798761459674105</v>
      </c>
      <c r="D2098">
        <v>0.81421108378162699</v>
      </c>
      <c r="E2098">
        <v>0.54411962535873304</v>
      </c>
      <c r="F2098">
        <v>0.29924482849054801</v>
      </c>
      <c r="G2098">
        <v>0.18434914640630601</v>
      </c>
      <c r="H2098">
        <v>0.111171270133108</v>
      </c>
      <c r="I2098">
        <v>6.2855878131775705E-2</v>
      </c>
      <c r="J2098">
        <v>0.12647368599992101</v>
      </c>
      <c r="K2098">
        <v>0.127824236307996</v>
      </c>
      <c r="L2098">
        <v>859.99898869200001</v>
      </c>
      <c r="M2098">
        <v>17.315513398456801</v>
      </c>
      <c r="N2098">
        <v>50.243732791889499</v>
      </c>
      <c r="O2098">
        <v>49.018166750680301</v>
      </c>
      <c r="P2098">
        <v>-8.0349493226694393E-2</v>
      </c>
      <c r="Q2098">
        <v>9.0212992463729297E-2</v>
      </c>
      <c r="R2098">
        <v>0.99516018180796395</v>
      </c>
      <c r="S2098" t="s">
        <v>5727</v>
      </c>
      <c r="T2098" t="s">
        <v>7256</v>
      </c>
      <c r="U2098" t="s">
        <v>7256</v>
      </c>
      <c r="V2098" t="s">
        <v>7256</v>
      </c>
      <c r="W2098">
        <v>1</v>
      </c>
      <c r="X2098" t="s">
        <v>9354</v>
      </c>
      <c r="Y2098">
        <v>0.40014876955221029</v>
      </c>
      <c r="Z2098" t="str">
        <f>HYPERLINK("Melting_Curves/meltCurve_sp_Q8WVP5_TP8L1_HUMAN_.pdf", "Melting_Curves/meltCurve_sp_Q8WVP5_TP8L1_HUMAN_.pdf")</f>
        <v>Melting_Curves/meltCurve_sp_Q8WVP5_TP8L1_HUMAN_.pdf</v>
      </c>
      <c r="AA2098" t="s">
        <v>12950</v>
      </c>
      <c r="AB2098" t="s">
        <v>16523</v>
      </c>
    </row>
    <row r="2099" spans="1:28" x14ac:dyDescent="0.25">
      <c r="A2099" t="s">
        <v>2103</v>
      </c>
      <c r="B2099">
        <v>0.98018197421672304</v>
      </c>
      <c r="C2099">
        <v>1.0445833297231999</v>
      </c>
      <c r="D2099">
        <v>1.00677408533283</v>
      </c>
      <c r="E2099">
        <v>0.87355909876239402</v>
      </c>
      <c r="F2099">
        <v>0.64259416046789197</v>
      </c>
      <c r="G2099">
        <v>0.53436654568133801</v>
      </c>
      <c r="H2099">
        <v>0.39084100313203901</v>
      </c>
      <c r="I2099">
        <v>0.34554994334984201</v>
      </c>
      <c r="J2099">
        <v>0.39940577455153797</v>
      </c>
      <c r="K2099">
        <v>0.43632711941656799</v>
      </c>
      <c r="L2099">
        <v>1246.9704254102101</v>
      </c>
      <c r="M2099">
        <v>23.681495277151999</v>
      </c>
      <c r="N2099">
        <v>56.315289320084403</v>
      </c>
      <c r="O2099">
        <v>52.284738682438402</v>
      </c>
      <c r="P2099">
        <v>-6.8769515770303505E-2</v>
      </c>
      <c r="Q2099">
        <v>0.39268429857361697</v>
      </c>
      <c r="R2099">
        <v>0.98206661333563905</v>
      </c>
      <c r="S2099" t="s">
        <v>5728</v>
      </c>
      <c r="T2099" t="s">
        <v>7256</v>
      </c>
      <c r="U2099" t="s">
        <v>7256</v>
      </c>
      <c r="V2099" t="s">
        <v>7256</v>
      </c>
      <c r="W2099">
        <v>4</v>
      </c>
      <c r="X2099" t="s">
        <v>9355</v>
      </c>
      <c r="Y2099">
        <v>0.65506333553791074</v>
      </c>
      <c r="Z2099" t="str">
        <f>HYPERLINK("Melting_Curves/meltCurve_sp_Q8WVT3_TPC12_HUMAN_.pdf", "Melting_Curves/meltCurve_sp_Q8WVT3_TPC12_HUMAN_.pdf")</f>
        <v>Melting_Curves/meltCurve_sp_Q8WVT3_TPC12_HUMAN_.pdf</v>
      </c>
      <c r="AA2099" t="s">
        <v>12951</v>
      </c>
      <c r="AB2099" t="s">
        <v>16524</v>
      </c>
    </row>
    <row r="2100" spans="1:28" x14ac:dyDescent="0.25">
      <c r="A2100" t="s">
        <v>2104</v>
      </c>
      <c r="B2100">
        <v>0.98018197421672304</v>
      </c>
      <c r="C2100">
        <v>0.95279889955506603</v>
      </c>
      <c r="D2100">
        <v>0.90488153791701897</v>
      </c>
      <c r="E2100">
        <v>0.57118094829335597</v>
      </c>
      <c r="F2100">
        <v>0.304902197078457</v>
      </c>
      <c r="G2100">
        <v>0.246145722538612</v>
      </c>
      <c r="H2100">
        <v>0.192508335536759</v>
      </c>
      <c r="I2100">
        <v>0.118063257327987</v>
      </c>
      <c r="J2100">
        <v>6.6492619863369698E-2</v>
      </c>
      <c r="K2100">
        <v>3.9952103412001602E-2</v>
      </c>
      <c r="L2100">
        <v>904.765186386285</v>
      </c>
      <c r="M2100">
        <v>17.944917287538502</v>
      </c>
      <c r="N2100">
        <v>50.973591331444297</v>
      </c>
      <c r="O2100">
        <v>49.805403934405597</v>
      </c>
      <c r="P2100">
        <v>-8.2091558443911694E-2</v>
      </c>
      <c r="Q2100">
        <v>8.8678124595857694E-2</v>
      </c>
      <c r="R2100">
        <v>0.987543290166364</v>
      </c>
      <c r="S2100" t="s">
        <v>5729</v>
      </c>
      <c r="T2100" t="s">
        <v>7256</v>
      </c>
      <c r="U2100" t="s">
        <v>7256</v>
      </c>
      <c r="V2100" t="s">
        <v>7256</v>
      </c>
      <c r="W2100">
        <v>1</v>
      </c>
      <c r="X2100" t="s">
        <v>9356</v>
      </c>
      <c r="Y2100">
        <v>0.42072939906985568</v>
      </c>
      <c r="Z2100" t="str">
        <f>HYPERLINK("Melting_Curves/meltCurve_sp_Q8WVY7_UBCP1_HUMAN_.pdf", "Melting_Curves/meltCurve_sp_Q8WVY7_UBCP1_HUMAN_.pdf")</f>
        <v>Melting_Curves/meltCurve_sp_Q8WVY7_UBCP1_HUMAN_.pdf</v>
      </c>
      <c r="AA2100" t="s">
        <v>12952</v>
      </c>
      <c r="AB2100" t="s">
        <v>16525</v>
      </c>
    </row>
    <row r="2101" spans="1:28" x14ac:dyDescent="0.25">
      <c r="A2101" t="s">
        <v>2105</v>
      </c>
      <c r="B2101">
        <v>0.98018197421672304</v>
      </c>
      <c r="C2101">
        <v>1.01232701451421</v>
      </c>
      <c r="D2101">
        <v>0.95870388907749804</v>
      </c>
      <c r="E2101">
        <v>0.84378642334760601</v>
      </c>
      <c r="F2101">
        <v>0.80690085688362101</v>
      </c>
      <c r="G2101">
        <v>0.59594367067328502</v>
      </c>
      <c r="H2101">
        <v>0.53223893814966206</v>
      </c>
      <c r="I2101">
        <v>0.57404917269443001</v>
      </c>
      <c r="J2101">
        <v>0.61809026208723805</v>
      </c>
      <c r="K2101">
        <v>0.89295723642004998</v>
      </c>
      <c r="L2101">
        <v>1338.4932648316201</v>
      </c>
      <c r="M2101">
        <v>26.2291692445549</v>
      </c>
      <c r="O2101">
        <v>50.736856465271501</v>
      </c>
      <c r="P2101">
        <v>-4.5838334286272098E-2</v>
      </c>
      <c r="Q2101">
        <v>0.64533118665983602</v>
      </c>
      <c r="R2101">
        <v>0.70040391939022995</v>
      </c>
      <c r="S2101" t="s">
        <v>5730</v>
      </c>
      <c r="T2101" t="s">
        <v>7256</v>
      </c>
      <c r="U2101" t="s">
        <v>7256</v>
      </c>
      <c r="V2101" t="s">
        <v>7256</v>
      </c>
      <c r="W2101">
        <v>5</v>
      </c>
      <c r="X2101" t="s">
        <v>9357</v>
      </c>
      <c r="Y2101">
        <v>0.77865511551317079</v>
      </c>
      <c r="Z2101" t="str">
        <f>HYPERLINK("Melting_Curves/meltCurve_sp_Q8WW12_PCNP_HUMAN_.pdf", "Melting_Curves/meltCurve_sp_Q8WW12_PCNP_HUMAN_.pdf")</f>
        <v>Melting_Curves/meltCurve_sp_Q8WW12_PCNP_HUMAN_.pdf</v>
      </c>
      <c r="AA2101" t="s">
        <v>12953</v>
      </c>
      <c r="AB2101" t="s">
        <v>16526</v>
      </c>
    </row>
    <row r="2102" spans="1:28" x14ac:dyDescent="0.25">
      <c r="A2102" t="s">
        <v>2106</v>
      </c>
      <c r="B2102">
        <v>0.98018197421672304</v>
      </c>
      <c r="C2102">
        <v>0.76172839834180694</v>
      </c>
      <c r="D2102">
        <v>1.0366141458131</v>
      </c>
      <c r="E2102">
        <v>0.72701492233132703</v>
      </c>
      <c r="F2102">
        <v>0.40144415933711503</v>
      </c>
      <c r="G2102">
        <v>0.109716996343922</v>
      </c>
      <c r="H2102">
        <v>7.6124841217446795E-2</v>
      </c>
      <c r="I2102">
        <v>4.3496403732397798E-2</v>
      </c>
      <c r="J2102">
        <v>3.7320421588429097E-2</v>
      </c>
      <c r="K2102">
        <v>3.32608843673904E-2</v>
      </c>
      <c r="L2102">
        <v>1348.3423907251699</v>
      </c>
      <c r="M2102">
        <v>25.9749286810023</v>
      </c>
      <c r="N2102">
        <v>52.065440932944902</v>
      </c>
      <c r="O2102">
        <v>51.604635009055102</v>
      </c>
      <c r="P2102">
        <v>-0.12112477480585999</v>
      </c>
      <c r="Q2102">
        <v>3.7452197590701002E-2</v>
      </c>
      <c r="R2102">
        <v>0.96091196443795701</v>
      </c>
      <c r="S2102" t="s">
        <v>5731</v>
      </c>
      <c r="T2102" t="s">
        <v>7256</v>
      </c>
      <c r="U2102" t="s">
        <v>7256</v>
      </c>
      <c r="V2102" t="s">
        <v>7256</v>
      </c>
      <c r="W2102">
        <v>12</v>
      </c>
      <c r="X2102" t="s">
        <v>9358</v>
      </c>
      <c r="Y2102">
        <v>0.42771611602868809</v>
      </c>
      <c r="Z2102" t="str">
        <f>HYPERLINK("Melting_Curves/meltCurve_sp_Q8WW59_SPRY4_HUMAN_.pdf", "Melting_Curves/meltCurve_sp_Q8WW59_SPRY4_HUMAN_.pdf")</f>
        <v>Melting_Curves/meltCurve_sp_Q8WW59_SPRY4_HUMAN_.pdf</v>
      </c>
      <c r="AA2102" t="s">
        <v>12954</v>
      </c>
      <c r="AB2102" t="s">
        <v>16527</v>
      </c>
    </row>
    <row r="2103" spans="1:28" x14ac:dyDescent="0.25">
      <c r="A2103" t="s">
        <v>2107</v>
      </c>
      <c r="B2103">
        <v>0.98018197421672304</v>
      </c>
      <c r="C2103">
        <v>1.04074597297497</v>
      </c>
      <c r="D2103">
        <v>0.98637759960052895</v>
      </c>
      <c r="E2103">
        <v>0.83888664559953796</v>
      </c>
      <c r="F2103">
        <v>0.64854289834067302</v>
      </c>
      <c r="G2103">
        <v>0.38378068216574501</v>
      </c>
      <c r="H2103">
        <v>0.36573805744119903</v>
      </c>
      <c r="I2103">
        <v>0.339007838859679</v>
      </c>
      <c r="J2103">
        <v>0.57314787122802802</v>
      </c>
      <c r="K2103">
        <v>0.50601034654034205</v>
      </c>
      <c r="L2103">
        <v>1726.31646988188</v>
      </c>
      <c r="M2103">
        <v>33.362605229463</v>
      </c>
      <c r="N2103">
        <v>55.046218951580897</v>
      </c>
      <c r="O2103">
        <v>51.559209764013197</v>
      </c>
      <c r="P2103">
        <v>-9.1815934456149106E-2</v>
      </c>
      <c r="Q2103">
        <v>0.43242600949170301</v>
      </c>
      <c r="R2103">
        <v>0.92866491694838704</v>
      </c>
      <c r="S2103" t="s">
        <v>5732</v>
      </c>
      <c r="T2103" t="s">
        <v>7256</v>
      </c>
      <c r="U2103" t="s">
        <v>7256</v>
      </c>
      <c r="V2103" t="s">
        <v>7256</v>
      </c>
      <c r="W2103">
        <v>17</v>
      </c>
      <c r="X2103" t="s">
        <v>9359</v>
      </c>
      <c r="Y2103">
        <v>0.65753497064359623</v>
      </c>
      <c r="Z2103" t="str">
        <f>HYPERLINK("Melting_Curves/meltCurve_sp_Q8WWM7_ATX2L_HUMAN_.pdf", "Melting_Curves/meltCurve_sp_Q8WWM7_ATX2L_HUMAN_.pdf")</f>
        <v>Melting_Curves/meltCurve_sp_Q8WWM7_ATX2L_HUMAN_.pdf</v>
      </c>
      <c r="AA2103" t="s">
        <v>12955</v>
      </c>
      <c r="AB2103" t="s">
        <v>16528</v>
      </c>
    </row>
    <row r="2104" spans="1:28" x14ac:dyDescent="0.25">
      <c r="A2104" t="s">
        <v>2108</v>
      </c>
      <c r="B2104">
        <v>0.98018197421672304</v>
      </c>
      <c r="C2104">
        <v>0.89417299736362699</v>
      </c>
      <c r="D2104">
        <v>0.58236455290044498</v>
      </c>
      <c r="E2104">
        <v>0.29762848602965603</v>
      </c>
      <c r="F2104">
        <v>0.19275900672221699</v>
      </c>
      <c r="G2104">
        <v>0.113053105630239</v>
      </c>
      <c r="H2104">
        <v>6.7757281962933999E-2</v>
      </c>
      <c r="I2104">
        <v>5.5578439397240803E-2</v>
      </c>
      <c r="J2104">
        <v>5.7432571724533497E-2</v>
      </c>
      <c r="K2104">
        <v>5.0281557758433598E-2</v>
      </c>
      <c r="L2104">
        <v>849.93922160354202</v>
      </c>
      <c r="M2104">
        <v>18.088931736555899</v>
      </c>
      <c r="N2104">
        <v>47.313750610210697</v>
      </c>
      <c r="O2104">
        <v>46.4237426457914</v>
      </c>
      <c r="P2104">
        <v>-9.1692198367334707E-2</v>
      </c>
      <c r="Q2104">
        <v>5.8763866248066898E-2</v>
      </c>
      <c r="R2104">
        <v>0.99625477522771499</v>
      </c>
      <c r="S2104" t="s">
        <v>5733</v>
      </c>
      <c r="T2104" t="s">
        <v>7256</v>
      </c>
      <c r="U2104" t="s">
        <v>7256</v>
      </c>
      <c r="V2104" t="s">
        <v>7256</v>
      </c>
      <c r="W2104">
        <v>3</v>
      </c>
      <c r="X2104" t="s">
        <v>9360</v>
      </c>
      <c r="Y2104">
        <v>0.29515953348565699</v>
      </c>
      <c r="Z2104" t="str">
        <f>HYPERLINK("Melting_Curves/meltCurve_sp_Q8WWV3_2_RT4I1_HUMAN_.pdf", "Melting_Curves/meltCurve_sp_Q8WWV3_2_RT4I1_HUMAN_.pdf")</f>
        <v>Melting_Curves/meltCurve_sp_Q8WWV3_2_RT4I1_HUMAN_.pdf</v>
      </c>
      <c r="AA2104" t="s">
        <v>12956</v>
      </c>
      <c r="AB2104" t="s">
        <v>16529</v>
      </c>
    </row>
    <row r="2105" spans="1:28" x14ac:dyDescent="0.25">
      <c r="A2105" t="s">
        <v>2109</v>
      </c>
      <c r="B2105">
        <v>0.98018197421672304</v>
      </c>
      <c r="C2105">
        <v>0.85700064748563898</v>
      </c>
      <c r="D2105">
        <v>0.79969079140270105</v>
      </c>
      <c r="E2105">
        <v>0.63465721630379202</v>
      </c>
      <c r="F2105">
        <v>0.35715258790660998</v>
      </c>
      <c r="G2105">
        <v>0.13919085671470899</v>
      </c>
      <c r="H2105">
        <v>0.101844109330577</v>
      </c>
      <c r="I2105">
        <v>5.5026774473666197E-2</v>
      </c>
      <c r="J2105">
        <v>7.2463615942110801E-2</v>
      </c>
      <c r="K2105">
        <v>4.0457901514806299E-2</v>
      </c>
      <c r="L2105">
        <v>701.09580775317795</v>
      </c>
      <c r="M2105">
        <v>13.779640919184301</v>
      </c>
      <c r="N2105">
        <v>50.945560969084603</v>
      </c>
      <c r="O2105">
        <v>49.8434593748553</v>
      </c>
      <c r="P2105">
        <v>-6.85085571599586E-2</v>
      </c>
      <c r="Q2105">
        <v>8.9081520724372601E-3</v>
      </c>
      <c r="R2105">
        <v>0.98868147521486704</v>
      </c>
      <c r="S2105" t="s">
        <v>5734</v>
      </c>
      <c r="T2105" t="s">
        <v>7256</v>
      </c>
      <c r="U2105" t="s">
        <v>7256</v>
      </c>
      <c r="V2105" t="s">
        <v>7256</v>
      </c>
      <c r="W2105">
        <v>4</v>
      </c>
      <c r="X2105" t="s">
        <v>9361</v>
      </c>
      <c r="Y2105">
        <v>0.39470815351858513</v>
      </c>
      <c r="Z2105" t="str">
        <f>HYPERLINK("Melting_Curves/meltCurve_sp_Q8WX92_NELFB_HUMAN_.pdf", "Melting_Curves/meltCurve_sp_Q8WX92_NELFB_HUMAN_.pdf")</f>
        <v>Melting_Curves/meltCurve_sp_Q8WX92_NELFB_HUMAN_.pdf</v>
      </c>
      <c r="AA2105" t="s">
        <v>12957</v>
      </c>
      <c r="AB2105" t="s">
        <v>16530</v>
      </c>
    </row>
    <row r="2106" spans="1:28" x14ac:dyDescent="0.25">
      <c r="A2106" t="s">
        <v>2110</v>
      </c>
      <c r="B2106">
        <v>0.98018197421672304</v>
      </c>
      <c r="C2106">
        <v>0.94963975587914096</v>
      </c>
      <c r="D2106">
        <v>0.72774832114334997</v>
      </c>
      <c r="E2106">
        <v>0.559585054278817</v>
      </c>
      <c r="F2106">
        <v>0.55276798446364095</v>
      </c>
      <c r="G2106">
        <v>0.40393688423003099</v>
      </c>
      <c r="H2106">
        <v>0.52175327710583197</v>
      </c>
      <c r="I2106">
        <v>0.35100194310802302</v>
      </c>
      <c r="J2106">
        <v>1.1164500595303699</v>
      </c>
      <c r="K2106">
        <v>0.93896723648189995</v>
      </c>
      <c r="L2106">
        <v>2046.0769935665101</v>
      </c>
      <c r="M2106">
        <v>45.692148854022697</v>
      </c>
      <c r="O2106">
        <v>44.694097501874403</v>
      </c>
      <c r="P2106">
        <v>-9.3190709260685706E-2</v>
      </c>
      <c r="Q2106">
        <v>0.635379848283261</v>
      </c>
      <c r="R2106">
        <v>0.25883348932257899</v>
      </c>
      <c r="S2106" t="s">
        <v>5735</v>
      </c>
      <c r="T2106" t="s">
        <v>7256</v>
      </c>
      <c r="U2106" t="s">
        <v>7256</v>
      </c>
      <c r="V2106" t="s">
        <v>7256</v>
      </c>
      <c r="W2106">
        <v>4</v>
      </c>
      <c r="X2106" t="s">
        <v>9362</v>
      </c>
      <c r="Y2106">
        <v>0.69437359386061481</v>
      </c>
      <c r="Z2106" t="str">
        <f>HYPERLINK("Melting_Curves/meltCurve_sp_Q8WXE0_CSKI2_HUMAN_.pdf", "Melting_Curves/meltCurve_sp_Q8WXE0_CSKI2_HUMAN_.pdf")</f>
        <v>Melting_Curves/meltCurve_sp_Q8WXE0_CSKI2_HUMAN_.pdf</v>
      </c>
      <c r="AA2106" t="s">
        <v>12958</v>
      </c>
      <c r="AB2106" t="s">
        <v>16531</v>
      </c>
    </row>
    <row r="2107" spans="1:28" x14ac:dyDescent="0.25">
      <c r="A2107" t="s">
        <v>2111</v>
      </c>
      <c r="B2107">
        <v>0.98018197421672304</v>
      </c>
      <c r="C2107">
        <v>0.98313982012006196</v>
      </c>
      <c r="D2107">
        <v>0.88920382317492896</v>
      </c>
      <c r="E2107">
        <v>0.72117067858591899</v>
      </c>
      <c r="F2107">
        <v>0.52961304103166496</v>
      </c>
      <c r="G2107">
        <v>0.29280843805596601</v>
      </c>
      <c r="H2107">
        <v>0.208756796971905</v>
      </c>
      <c r="I2107">
        <v>0.17993401936424999</v>
      </c>
      <c r="J2107">
        <v>0.16567736662680199</v>
      </c>
      <c r="K2107">
        <v>0.16505800812172799</v>
      </c>
      <c r="L2107">
        <v>853.36836458663402</v>
      </c>
      <c r="M2107">
        <v>16.368965016520701</v>
      </c>
      <c r="N2107">
        <v>53.215337941801202</v>
      </c>
      <c r="O2107">
        <v>51.373866243619801</v>
      </c>
      <c r="P2107">
        <v>-6.8385572081837501E-2</v>
      </c>
      <c r="Q2107">
        <v>0.141551319382859</v>
      </c>
      <c r="R2107">
        <v>0.998553656653838</v>
      </c>
      <c r="S2107" t="s">
        <v>5736</v>
      </c>
      <c r="T2107" t="s">
        <v>7256</v>
      </c>
      <c r="U2107" t="s">
        <v>7256</v>
      </c>
      <c r="V2107" t="s">
        <v>7256</v>
      </c>
      <c r="W2107">
        <v>6</v>
      </c>
      <c r="X2107" t="s">
        <v>9363</v>
      </c>
      <c r="Y2107">
        <v>0.505419588713233</v>
      </c>
      <c r="Z2107" t="str">
        <f>HYPERLINK("Melting_Curves/meltCurve_sp_Q8WXF1_PSPC1_HUMAN_.pdf", "Melting_Curves/meltCurve_sp_Q8WXF1_PSPC1_HUMAN_.pdf")</f>
        <v>Melting_Curves/meltCurve_sp_Q8WXF1_PSPC1_HUMAN_.pdf</v>
      </c>
      <c r="AA2107" t="s">
        <v>12959</v>
      </c>
      <c r="AB2107" t="s">
        <v>16532</v>
      </c>
    </row>
    <row r="2108" spans="1:28" x14ac:dyDescent="0.25">
      <c r="A2108" t="s">
        <v>2112</v>
      </c>
      <c r="B2108">
        <v>0.98018197421672304</v>
      </c>
      <c r="C2108">
        <v>0.94175304660792503</v>
      </c>
      <c r="D2108">
        <v>0.87180688291903197</v>
      </c>
      <c r="E2108">
        <v>0.50798786648414596</v>
      </c>
      <c r="F2108">
        <v>0.263030350618494</v>
      </c>
      <c r="G2108">
        <v>0.12301696979747601</v>
      </c>
      <c r="H2108">
        <v>8.0887922504193896E-2</v>
      </c>
      <c r="I2108">
        <v>6.7350067187507398E-2</v>
      </c>
      <c r="J2108">
        <v>7.6869244098489206E-2</v>
      </c>
      <c r="K2108">
        <v>5.84980564970164E-2</v>
      </c>
      <c r="L2108">
        <v>1049.97752577814</v>
      </c>
      <c r="M2108">
        <v>21.0937648087417</v>
      </c>
      <c r="N2108">
        <v>50.091732773470802</v>
      </c>
      <c r="O2108">
        <v>49.335773682648899</v>
      </c>
      <c r="P2108">
        <v>-0.10025114175897</v>
      </c>
      <c r="Q2108">
        <v>6.2123176855153298E-2</v>
      </c>
      <c r="R2108">
        <v>0.99907493081364396</v>
      </c>
      <c r="S2108" t="s">
        <v>5737</v>
      </c>
      <c r="T2108" t="s">
        <v>7256</v>
      </c>
      <c r="U2108" t="s">
        <v>7256</v>
      </c>
      <c r="V2108" t="s">
        <v>7256</v>
      </c>
      <c r="W2108">
        <v>22</v>
      </c>
      <c r="X2108" t="s">
        <v>9364</v>
      </c>
      <c r="Y2108">
        <v>0.37952949726106178</v>
      </c>
      <c r="Z2108" t="str">
        <f>HYPERLINK("Melting_Curves/meltCurve_sp_Q8WXH0_SYNE2_HUMAN_.pdf", "Melting_Curves/meltCurve_sp_Q8WXH0_SYNE2_HUMAN_.pdf")</f>
        <v>Melting_Curves/meltCurve_sp_Q8WXH0_SYNE2_HUMAN_.pdf</v>
      </c>
      <c r="AA2108" t="s">
        <v>12960</v>
      </c>
      <c r="AB2108" t="s">
        <v>16533</v>
      </c>
    </row>
    <row r="2109" spans="1:28" x14ac:dyDescent="0.25">
      <c r="A2109" t="s">
        <v>2113</v>
      </c>
      <c r="B2109">
        <v>0.98018197421672304</v>
      </c>
      <c r="C2109">
        <v>0.94836227024040798</v>
      </c>
      <c r="D2109">
        <v>0.79915476529147</v>
      </c>
      <c r="E2109">
        <v>0.72099863206915704</v>
      </c>
      <c r="F2109">
        <v>0.53654790320971701</v>
      </c>
      <c r="G2109">
        <v>0.35536687737335299</v>
      </c>
      <c r="H2109">
        <v>0.27770258701276201</v>
      </c>
      <c r="I2109">
        <v>0.234463789267776</v>
      </c>
      <c r="J2109">
        <v>0.19088122040108599</v>
      </c>
      <c r="K2109">
        <v>0.23385518220742399</v>
      </c>
      <c r="L2109">
        <v>622.71033846311298</v>
      </c>
      <c r="M2109">
        <v>11.9875031205172</v>
      </c>
      <c r="N2109">
        <v>53.686576720382199</v>
      </c>
      <c r="O2109">
        <v>50.564344765933399</v>
      </c>
      <c r="P2109">
        <v>-4.9740402870477499E-2</v>
      </c>
      <c r="Q2109">
        <v>0.160965468765916</v>
      </c>
      <c r="R2109">
        <v>0.99151421761002101</v>
      </c>
      <c r="S2109" t="s">
        <v>5738</v>
      </c>
      <c r="T2109" t="s">
        <v>7256</v>
      </c>
      <c r="U2109" t="s">
        <v>7256</v>
      </c>
      <c r="V2109" t="s">
        <v>7256</v>
      </c>
      <c r="W2109">
        <v>1</v>
      </c>
      <c r="X2109" t="s">
        <v>9365</v>
      </c>
      <c r="Y2109">
        <v>0.52089039496436207</v>
      </c>
      <c r="Z2109" t="str">
        <f>HYPERLINK("Melting_Curves/meltCurve_sp_Q8WXX5_DNJC9_HUMAN_.pdf", "Melting_Curves/meltCurve_sp_Q8WXX5_DNJC9_HUMAN_.pdf")</f>
        <v>Melting_Curves/meltCurve_sp_Q8WXX5_DNJC9_HUMAN_.pdf</v>
      </c>
      <c r="AA2109" t="s">
        <v>12961</v>
      </c>
      <c r="AB2109" t="s">
        <v>16534</v>
      </c>
    </row>
    <row r="2110" spans="1:28" x14ac:dyDescent="0.25">
      <c r="A2110" t="s">
        <v>2114</v>
      </c>
      <c r="B2110">
        <v>0.98018197421672304</v>
      </c>
      <c r="C2110">
        <v>0.87228891712052603</v>
      </c>
      <c r="D2110">
        <v>0.82951337704882</v>
      </c>
      <c r="E2110">
        <v>0.65871252271712599</v>
      </c>
      <c r="F2110">
        <v>0.530680523763012</v>
      </c>
      <c r="G2110">
        <v>0.36088389297935097</v>
      </c>
      <c r="H2110">
        <v>0.19127872461884299</v>
      </c>
      <c r="I2110">
        <v>0.14054112641900801</v>
      </c>
      <c r="J2110">
        <v>0.13224618185377399</v>
      </c>
      <c r="K2110">
        <v>0.18072866026927001</v>
      </c>
      <c r="L2110">
        <v>560.31431971828795</v>
      </c>
      <c r="M2110">
        <v>10.673895142401999</v>
      </c>
      <c r="N2110">
        <v>53.130550312145203</v>
      </c>
      <c r="O2110">
        <v>50.751945075389898</v>
      </c>
      <c r="P2110">
        <v>-4.94411976534763E-2</v>
      </c>
      <c r="Q2110">
        <v>6.0029091410036699E-2</v>
      </c>
      <c r="R2110">
        <v>0.98925862297397005</v>
      </c>
      <c r="S2110" t="s">
        <v>5739</v>
      </c>
      <c r="T2110" t="s">
        <v>7256</v>
      </c>
      <c r="U2110" t="s">
        <v>7256</v>
      </c>
      <c r="V2110" t="s">
        <v>7256</v>
      </c>
      <c r="W2110">
        <v>2</v>
      </c>
      <c r="X2110" t="s">
        <v>9366</v>
      </c>
      <c r="Y2110">
        <v>0.48324512598148261</v>
      </c>
      <c r="Z2110" t="str">
        <f>HYPERLINK("Melting_Curves/meltCurve_sp_Q8WY91_2_THAP4_HUMAN_.pdf", "Melting_Curves/meltCurve_sp_Q8WY91_2_THAP4_HUMAN_.pdf")</f>
        <v>Melting_Curves/meltCurve_sp_Q8WY91_2_THAP4_HUMAN_.pdf</v>
      </c>
      <c r="AA2110" t="s">
        <v>12962</v>
      </c>
      <c r="AB2110" t="s">
        <v>16535</v>
      </c>
    </row>
    <row r="2111" spans="1:28" x14ac:dyDescent="0.25">
      <c r="A2111" t="s">
        <v>2115</v>
      </c>
      <c r="B2111">
        <v>0.98018197421672304</v>
      </c>
      <c r="C2111">
        <v>0.88867453452436596</v>
      </c>
      <c r="D2111">
        <v>0.87885783349733504</v>
      </c>
      <c r="E2111">
        <v>0.76306979797794094</v>
      </c>
      <c r="F2111">
        <v>0.44507794862801497</v>
      </c>
      <c r="G2111">
        <v>0.124861814691462</v>
      </c>
      <c r="H2111">
        <v>7.0730541059906504E-2</v>
      </c>
      <c r="I2111">
        <v>4.8523951221499502E-2</v>
      </c>
      <c r="J2111">
        <v>4.82977230251714E-2</v>
      </c>
      <c r="K2111">
        <v>3.2336219374416497E-2</v>
      </c>
      <c r="L2111">
        <v>1091.6385968336399</v>
      </c>
      <c r="M2111">
        <v>20.900639190727102</v>
      </c>
      <c r="N2111">
        <v>52.3481562996432</v>
      </c>
      <c r="O2111">
        <v>51.758834255555698</v>
      </c>
      <c r="P2111">
        <v>-9.8627170052060398E-2</v>
      </c>
      <c r="Q2111">
        <v>2.30561970825152E-2</v>
      </c>
      <c r="R2111">
        <v>0.98750465983853897</v>
      </c>
      <c r="S2111" t="s">
        <v>5740</v>
      </c>
      <c r="T2111" t="s">
        <v>7256</v>
      </c>
      <c r="U2111" t="s">
        <v>7256</v>
      </c>
      <c r="V2111" t="s">
        <v>7256</v>
      </c>
      <c r="W2111">
        <v>11</v>
      </c>
      <c r="X2111" t="s">
        <v>9367</v>
      </c>
      <c r="Y2111">
        <v>0.43380232163434013</v>
      </c>
      <c r="Z2111" t="str">
        <f>HYPERLINK("Melting_Curves/meltCurve_sp_Q8WYK0_ACO12_HUMAN_.pdf", "Melting_Curves/meltCurve_sp_Q8WYK0_ACO12_HUMAN_.pdf")</f>
        <v>Melting_Curves/meltCurve_sp_Q8WYK0_ACO12_HUMAN_.pdf</v>
      </c>
      <c r="AA2111" t="s">
        <v>12963</v>
      </c>
      <c r="AB2111" t="s">
        <v>16536</v>
      </c>
    </row>
    <row r="2112" spans="1:28" x14ac:dyDescent="0.25">
      <c r="A2112" t="s">
        <v>2116</v>
      </c>
      <c r="B2112">
        <v>0.98018197421672304</v>
      </c>
      <c r="C2112">
        <v>1.6628236782388599</v>
      </c>
      <c r="D2112">
        <v>1.4085425774382501</v>
      </c>
      <c r="E2112">
        <v>1.1969295391729</v>
      </c>
      <c r="F2112">
        <v>1.2850530305180301</v>
      </c>
      <c r="G2112">
        <v>0.83629890533523399</v>
      </c>
      <c r="H2112">
        <v>0.96796038660968597</v>
      </c>
      <c r="I2112">
        <v>0.91916520224194498</v>
      </c>
      <c r="J2112">
        <v>1.1813181565767801</v>
      </c>
      <c r="K2112">
        <v>1.5263317454832099</v>
      </c>
      <c r="L2112">
        <v>1.0000000000000001E-5</v>
      </c>
      <c r="M2112">
        <v>1.0000000000000001E-5</v>
      </c>
      <c r="Q2112">
        <v>1.3929191093476101</v>
      </c>
      <c r="R2112">
        <v>-5.2905206882059003E-9</v>
      </c>
      <c r="S2112" t="s">
        <v>5741</v>
      </c>
      <c r="T2112" t="s">
        <v>7256</v>
      </c>
      <c r="U2112" t="s">
        <v>7256</v>
      </c>
      <c r="V2112" t="s">
        <v>7256</v>
      </c>
      <c r="W2112">
        <v>1</v>
      </c>
      <c r="X2112" t="s">
        <v>9368</v>
      </c>
      <c r="Y2112">
        <v>1.196460518647934</v>
      </c>
      <c r="Z2112" t="str">
        <f>HYPERLINK("Melting_Curves/meltCurve_sp_Q8WYP5_ELYS_HUMAN_.pdf", "Melting_Curves/meltCurve_sp_Q8WYP5_ELYS_HUMAN_.pdf")</f>
        <v>Melting_Curves/meltCurve_sp_Q8WYP5_ELYS_HUMAN_.pdf</v>
      </c>
      <c r="AA2112" t="s">
        <v>12964</v>
      </c>
      <c r="AB2112" t="s">
        <v>16537</v>
      </c>
    </row>
    <row r="2113" spans="1:28" x14ac:dyDescent="0.25">
      <c r="A2113" t="s">
        <v>2117</v>
      </c>
      <c r="B2113">
        <v>0.98018197421672304</v>
      </c>
      <c r="C2113">
        <v>0.68143668709184402</v>
      </c>
      <c r="D2113">
        <v>0.696309757491962</v>
      </c>
      <c r="E2113">
        <v>0.64655436221743301</v>
      </c>
      <c r="F2113">
        <v>0.50385760015388903</v>
      </c>
      <c r="G2113">
        <v>0.19787433920873199</v>
      </c>
      <c r="H2113">
        <v>0.12231896741625201</v>
      </c>
      <c r="I2113">
        <v>0.10175108765541099</v>
      </c>
      <c r="J2113">
        <v>6.5947471314315206E-2</v>
      </c>
      <c r="K2113">
        <v>3.6147010176837802E-2</v>
      </c>
      <c r="L2113">
        <v>479.43951476310502</v>
      </c>
      <c r="M2113">
        <v>9.4364062878007307</v>
      </c>
      <c r="N2113">
        <v>50.807412707971203</v>
      </c>
      <c r="O2113">
        <v>48.682494576093802</v>
      </c>
      <c r="P2113">
        <v>-4.8488334691306603E-2</v>
      </c>
      <c r="Q2113">
        <v>0</v>
      </c>
      <c r="R2113">
        <v>0.93819111416315804</v>
      </c>
      <c r="S2113" t="s">
        <v>5742</v>
      </c>
      <c r="T2113" t="s">
        <v>7256</v>
      </c>
      <c r="U2113" t="s">
        <v>7256</v>
      </c>
      <c r="V2113" t="s">
        <v>7256</v>
      </c>
      <c r="W2113">
        <v>2</v>
      </c>
      <c r="X2113" t="s">
        <v>9369</v>
      </c>
      <c r="Y2113">
        <v>0.40566256447672122</v>
      </c>
      <c r="Z2113" t="str">
        <f>HYPERLINK("Melting_Curves/meltCurve_sp_Q8WZ42_5_TITIN_HUMAN_.pdf", "Melting_Curves/meltCurve_sp_Q8WZ42_5_TITIN_HUMAN_.pdf")</f>
        <v>Melting_Curves/meltCurve_sp_Q8WZ42_5_TITIN_HUMAN_.pdf</v>
      </c>
      <c r="AA2113" t="s">
        <v>12965</v>
      </c>
      <c r="AB2113" t="s">
        <v>16538</v>
      </c>
    </row>
    <row r="2114" spans="1:28" x14ac:dyDescent="0.25">
      <c r="A2114" t="s">
        <v>2118</v>
      </c>
      <c r="B2114">
        <v>0.98018197421672304</v>
      </c>
      <c r="C2114">
        <v>0.97739836404965197</v>
      </c>
      <c r="D2114">
        <v>0.94221465502101998</v>
      </c>
      <c r="E2114">
        <v>0.50082808080288899</v>
      </c>
      <c r="F2114">
        <v>0.11124618244184201</v>
      </c>
      <c r="G2114">
        <v>0.13261212957427199</v>
      </c>
      <c r="H2114">
        <v>0.10131466336665899</v>
      </c>
      <c r="I2114">
        <v>8.43693648060133E-2</v>
      </c>
      <c r="J2114">
        <v>6.8850919555783804E-2</v>
      </c>
      <c r="K2114">
        <v>5.31249789006887E-2</v>
      </c>
      <c r="L2114">
        <v>2172.6852816436199</v>
      </c>
      <c r="M2114">
        <v>43.675358051637197</v>
      </c>
      <c r="N2114">
        <v>49.952636821664001</v>
      </c>
      <c r="O2114">
        <v>49.642321318854897</v>
      </c>
      <c r="P2114">
        <v>-0.20179303662863199</v>
      </c>
      <c r="Q2114">
        <v>8.25531013871387E-2</v>
      </c>
      <c r="R2114">
        <v>0.99581017341377498</v>
      </c>
      <c r="S2114" t="s">
        <v>5743</v>
      </c>
      <c r="T2114" t="s">
        <v>7256</v>
      </c>
      <c r="U2114" t="s">
        <v>7256</v>
      </c>
      <c r="V2114" t="s">
        <v>7256</v>
      </c>
      <c r="W2114">
        <v>1</v>
      </c>
      <c r="X2114" t="s">
        <v>9370</v>
      </c>
      <c r="Y2114">
        <v>0.38325203775302957</v>
      </c>
      <c r="Z2114" t="str">
        <f>HYPERLINK("Melting_Curves/meltCurve_sp_Q8WZ82_OVCA2_HUMAN_.pdf", "Melting_Curves/meltCurve_sp_Q8WZ82_OVCA2_HUMAN_.pdf")</f>
        <v>Melting_Curves/meltCurve_sp_Q8WZ82_OVCA2_HUMAN_.pdf</v>
      </c>
      <c r="AA2114" t="s">
        <v>12966</v>
      </c>
      <c r="AB2114" t="s">
        <v>16539</v>
      </c>
    </row>
    <row r="2115" spans="1:28" x14ac:dyDescent="0.25">
      <c r="A2115" t="s">
        <v>2119</v>
      </c>
      <c r="B2115">
        <v>0.98018197421672304</v>
      </c>
      <c r="C2115">
        <v>0.88569102508481501</v>
      </c>
      <c r="D2115">
        <v>0.969326617138485</v>
      </c>
      <c r="E2115">
        <v>0.83106531991294497</v>
      </c>
      <c r="F2115">
        <v>0.74546843079083402</v>
      </c>
      <c r="G2115">
        <v>0.50413373834394903</v>
      </c>
      <c r="H2115">
        <v>0.50821307877199795</v>
      </c>
      <c r="I2115">
        <v>0.444807417136865</v>
      </c>
      <c r="J2115">
        <v>0.56576224220625004</v>
      </c>
      <c r="K2115">
        <v>0.56355862956278202</v>
      </c>
      <c r="L2115">
        <v>1182.9669112399399</v>
      </c>
      <c r="M2115">
        <v>22.820100397101299</v>
      </c>
      <c r="O2115">
        <v>51.445652913870198</v>
      </c>
      <c r="P2115">
        <v>-5.4613007521674299E-2</v>
      </c>
      <c r="Q2115">
        <v>0.507531048183125</v>
      </c>
      <c r="R2115">
        <v>0.92101281484722497</v>
      </c>
      <c r="S2115" t="s">
        <v>5744</v>
      </c>
      <c r="T2115" t="s">
        <v>7256</v>
      </c>
      <c r="U2115" t="s">
        <v>7256</v>
      </c>
      <c r="V2115" t="s">
        <v>7256</v>
      </c>
      <c r="W2115">
        <v>6</v>
      </c>
      <c r="X2115" t="s">
        <v>9371</v>
      </c>
      <c r="Y2115">
        <v>0.7072162311045519</v>
      </c>
      <c r="Z2115" t="str">
        <f>HYPERLINK("Melting_Curves/meltCurve_sp_Q8WZA0_LZIC_HUMAN_.pdf", "Melting_Curves/meltCurve_sp_Q8WZA0_LZIC_HUMAN_.pdf")</f>
        <v>Melting_Curves/meltCurve_sp_Q8WZA0_LZIC_HUMAN_.pdf</v>
      </c>
      <c r="AA2115" t="s">
        <v>12967</v>
      </c>
      <c r="AB2115" t="s">
        <v>16540</v>
      </c>
    </row>
    <row r="2116" spans="1:28" x14ac:dyDescent="0.25">
      <c r="A2116" t="s">
        <v>2120</v>
      </c>
      <c r="B2116">
        <v>0.98018197421672304</v>
      </c>
      <c r="C2116">
        <v>1.00609954625832</v>
      </c>
      <c r="D2116">
        <v>0.912040559644548</v>
      </c>
      <c r="E2116">
        <v>0.77788537928675705</v>
      </c>
      <c r="F2116">
        <v>0.43466799811678702</v>
      </c>
      <c r="G2116">
        <v>0.19325313093896099</v>
      </c>
      <c r="H2116">
        <v>0.14670348887669299</v>
      </c>
      <c r="I2116">
        <v>0.13118614127911901</v>
      </c>
      <c r="J2116">
        <v>0.149071673566744</v>
      </c>
      <c r="K2116">
        <v>0.146188768550369</v>
      </c>
      <c r="L2116">
        <v>1386.2001236552601</v>
      </c>
      <c r="M2116">
        <v>26.769497856947801</v>
      </c>
      <c r="N2116">
        <v>52.400219095379697</v>
      </c>
      <c r="O2116">
        <v>51.496440652005298</v>
      </c>
      <c r="P2116">
        <v>-0.11238177683091401</v>
      </c>
      <c r="Q2116">
        <v>0.13525433946453799</v>
      </c>
      <c r="R2116">
        <v>0.996443631910507</v>
      </c>
      <c r="S2116" t="s">
        <v>5745</v>
      </c>
      <c r="T2116" t="s">
        <v>7256</v>
      </c>
      <c r="U2116" t="s">
        <v>7256</v>
      </c>
      <c r="V2116" t="s">
        <v>7256</v>
      </c>
      <c r="W2116">
        <v>13</v>
      </c>
      <c r="X2116" t="s">
        <v>9372</v>
      </c>
      <c r="Y2116">
        <v>0.48178764869608631</v>
      </c>
      <c r="Z2116" t="str">
        <f>HYPERLINK("Melting_Curves/meltCurve_sp_Q8WZA9_IRGQ_HUMAN_.pdf", "Melting_Curves/meltCurve_sp_Q8WZA9_IRGQ_HUMAN_.pdf")</f>
        <v>Melting_Curves/meltCurve_sp_Q8WZA9_IRGQ_HUMAN_.pdf</v>
      </c>
      <c r="AA2116" t="s">
        <v>12968</v>
      </c>
      <c r="AB2116" t="s">
        <v>16541</v>
      </c>
    </row>
    <row r="2117" spans="1:28" x14ac:dyDescent="0.25">
      <c r="A2117" t="s">
        <v>2121</v>
      </c>
      <c r="B2117">
        <v>0.98018197421672304</v>
      </c>
      <c r="C2117">
        <v>0.99727571094280298</v>
      </c>
      <c r="D2117">
        <v>0.84833995858008004</v>
      </c>
      <c r="E2117">
        <v>0.36404239326327598</v>
      </c>
      <c r="F2117">
        <v>0.149671345861705</v>
      </c>
      <c r="G2117">
        <v>9.4155414650769598E-2</v>
      </c>
      <c r="H2117">
        <v>5.0073440739148399E-2</v>
      </c>
      <c r="I2117">
        <v>2.71538396405081E-2</v>
      </c>
      <c r="J2117">
        <v>3.4236094634796002E-2</v>
      </c>
      <c r="K2117">
        <v>2.35041470522169E-2</v>
      </c>
      <c r="L2117">
        <v>1307.53844734622</v>
      </c>
      <c r="M2117">
        <v>26.780961893411899</v>
      </c>
      <c r="N2117">
        <v>48.976677102264297</v>
      </c>
      <c r="O2117">
        <v>48.553643816930801</v>
      </c>
      <c r="P2117">
        <v>-0.132352992772547</v>
      </c>
      <c r="Q2117">
        <v>4.0190686031151501E-2</v>
      </c>
      <c r="R2117">
        <v>0.99835965018855199</v>
      </c>
      <c r="S2117" t="s">
        <v>5746</v>
      </c>
      <c r="T2117" t="s">
        <v>7256</v>
      </c>
      <c r="U2117" t="s">
        <v>7256</v>
      </c>
      <c r="V2117" t="s">
        <v>7256</v>
      </c>
      <c r="W2117">
        <v>9</v>
      </c>
      <c r="X2117" t="s">
        <v>9373</v>
      </c>
      <c r="Y2117">
        <v>0.32985332825885971</v>
      </c>
      <c r="Z2117" t="str">
        <f>HYPERLINK("Melting_Curves/meltCurve_sp_Q92499_DDX1_HUMAN_.pdf", "Melting_Curves/meltCurve_sp_Q92499_DDX1_HUMAN_.pdf")</f>
        <v>Melting_Curves/meltCurve_sp_Q92499_DDX1_HUMAN_.pdf</v>
      </c>
      <c r="AA2117" t="s">
        <v>12969</v>
      </c>
      <c r="AB2117" t="s">
        <v>16542</v>
      </c>
    </row>
    <row r="2118" spans="1:28" x14ac:dyDescent="0.25">
      <c r="A2118" t="s">
        <v>2122</v>
      </c>
      <c r="B2118">
        <v>0.98018197421672304</v>
      </c>
      <c r="C2118">
        <v>0.94526697399976001</v>
      </c>
      <c r="D2118">
        <v>0.94378216617662902</v>
      </c>
      <c r="E2118">
        <v>0.83069688300172195</v>
      </c>
      <c r="F2118">
        <v>0.74375255840684495</v>
      </c>
      <c r="G2118">
        <v>0.67194431127766596</v>
      </c>
      <c r="H2118">
        <v>0.51378294627879595</v>
      </c>
      <c r="I2118">
        <v>0.47426985535701899</v>
      </c>
      <c r="J2118">
        <v>0.387201317267518</v>
      </c>
      <c r="K2118">
        <v>0.21519429454993799</v>
      </c>
      <c r="L2118">
        <v>460.83907084081898</v>
      </c>
      <c r="M2118">
        <v>7.4780189943973996</v>
      </c>
      <c r="N2118">
        <v>61.625822204922599</v>
      </c>
      <c r="O2118">
        <v>57.680285518231898</v>
      </c>
      <c r="P2118">
        <v>-3.2458615715280803E-2</v>
      </c>
      <c r="Q2118">
        <v>0</v>
      </c>
      <c r="R2118">
        <v>0.98251001448265995</v>
      </c>
      <c r="S2118" t="s">
        <v>5747</v>
      </c>
      <c r="T2118" t="s">
        <v>7256</v>
      </c>
      <c r="U2118" t="s">
        <v>7256</v>
      </c>
      <c r="V2118" t="s">
        <v>7256</v>
      </c>
      <c r="W2118">
        <v>12</v>
      </c>
      <c r="X2118" t="s">
        <v>9374</v>
      </c>
      <c r="Y2118">
        <v>0.68324199410407616</v>
      </c>
      <c r="Z2118" t="str">
        <f>HYPERLINK("Melting_Curves/meltCurve_sp_Q92506_DHB8_HUMAN_.pdf", "Melting_Curves/meltCurve_sp_Q92506_DHB8_HUMAN_.pdf")</f>
        <v>Melting_Curves/meltCurve_sp_Q92506_DHB8_HUMAN_.pdf</v>
      </c>
      <c r="AA2118" t="s">
        <v>12970</v>
      </c>
      <c r="AB2118" t="s">
        <v>16543</v>
      </c>
    </row>
    <row r="2119" spans="1:28" x14ac:dyDescent="0.25">
      <c r="A2119" t="s">
        <v>2123</v>
      </c>
      <c r="B2119">
        <v>0.98018197421672304</v>
      </c>
      <c r="C2119">
        <v>0.98432226401603695</v>
      </c>
      <c r="D2119">
        <v>0.98388395342863699</v>
      </c>
      <c r="E2119">
        <v>0.80427228958170205</v>
      </c>
      <c r="F2119">
        <v>0.66538362179627697</v>
      </c>
      <c r="G2119">
        <v>0.406583207100639</v>
      </c>
      <c r="H2119">
        <v>0.17592090095628801</v>
      </c>
      <c r="I2119">
        <v>0.119527554822836</v>
      </c>
      <c r="J2119">
        <v>7.3775931574388498E-2</v>
      </c>
      <c r="K2119">
        <v>5.8268612810993901E-2</v>
      </c>
      <c r="L2119">
        <v>845.02514596793196</v>
      </c>
      <c r="M2119">
        <v>15.3104328311793</v>
      </c>
      <c r="N2119">
        <v>55.2814204605368</v>
      </c>
      <c r="O2119">
        <v>54.276885216712898</v>
      </c>
      <c r="P2119">
        <v>-6.9671265026661405E-2</v>
      </c>
      <c r="Q2119">
        <v>1.2128057459921199E-2</v>
      </c>
      <c r="R2119">
        <v>0.99800865069142497</v>
      </c>
      <c r="S2119" t="s">
        <v>5748</v>
      </c>
      <c r="T2119" t="s">
        <v>7256</v>
      </c>
      <c r="U2119" t="s">
        <v>7256</v>
      </c>
      <c r="V2119" t="s">
        <v>7256</v>
      </c>
      <c r="W2119">
        <v>5</v>
      </c>
      <c r="X2119" t="s">
        <v>9375</v>
      </c>
      <c r="Y2119">
        <v>0.53079602823453464</v>
      </c>
      <c r="Z2119" t="str">
        <f>HYPERLINK("Melting_Curves/meltCurve_sp_Q92526_TCPW_HUMAN_.pdf", "Melting_Curves/meltCurve_sp_Q92526_TCPW_HUMAN_.pdf")</f>
        <v>Melting_Curves/meltCurve_sp_Q92526_TCPW_HUMAN_.pdf</v>
      </c>
      <c r="AA2119" t="s">
        <v>12971</v>
      </c>
      <c r="AB2119" t="s">
        <v>16544</v>
      </c>
    </row>
    <row r="2120" spans="1:28" x14ac:dyDescent="0.25">
      <c r="A2120" t="s">
        <v>2124</v>
      </c>
      <c r="B2120">
        <v>0.98018197421672304</v>
      </c>
      <c r="C2120">
        <v>0.92375541846392095</v>
      </c>
      <c r="D2120">
        <v>0.81407199786294204</v>
      </c>
      <c r="E2120">
        <v>0.55445916837210296</v>
      </c>
      <c r="F2120">
        <v>0.285309543186062</v>
      </c>
      <c r="G2120">
        <v>0.17972472018383501</v>
      </c>
      <c r="H2120">
        <v>0.13343202411278701</v>
      </c>
      <c r="I2120">
        <v>0.121597800948179</v>
      </c>
      <c r="J2120">
        <v>0.10732815369787201</v>
      </c>
      <c r="K2120">
        <v>7.42848376142589E-2</v>
      </c>
      <c r="L2120">
        <v>854.96964644742604</v>
      </c>
      <c r="M2120">
        <v>17.1972481310614</v>
      </c>
      <c r="N2120">
        <v>50.281590976255202</v>
      </c>
      <c r="O2120">
        <v>49.057858021898198</v>
      </c>
      <c r="P2120">
        <v>-7.9929057297838405E-2</v>
      </c>
      <c r="Q2120">
        <v>8.8013000685149001E-2</v>
      </c>
      <c r="R2120">
        <v>0.996989387043829</v>
      </c>
      <c r="S2120" t="s">
        <v>5749</v>
      </c>
      <c r="T2120" t="s">
        <v>7256</v>
      </c>
      <c r="U2120" t="s">
        <v>7256</v>
      </c>
      <c r="V2120" t="s">
        <v>7256</v>
      </c>
      <c r="W2120">
        <v>11</v>
      </c>
      <c r="X2120" t="s">
        <v>9376</v>
      </c>
      <c r="Y2120">
        <v>0.40039667964789338</v>
      </c>
      <c r="Z2120" t="str">
        <f>HYPERLINK("Melting_Curves/meltCurve_sp_Q92538_GBF1_HUMAN_.pdf", "Melting_Curves/meltCurve_sp_Q92538_GBF1_HUMAN_.pdf")</f>
        <v>Melting_Curves/meltCurve_sp_Q92538_GBF1_HUMAN_.pdf</v>
      </c>
      <c r="AA2120" t="s">
        <v>12972</v>
      </c>
      <c r="AB2120" t="s">
        <v>16545</v>
      </c>
    </row>
    <row r="2121" spans="1:28" x14ac:dyDescent="0.25">
      <c r="A2121" t="s">
        <v>2125</v>
      </c>
      <c r="B2121">
        <v>0.98018197421672304</v>
      </c>
      <c r="C2121">
        <v>0.944827005625544</v>
      </c>
      <c r="D2121">
        <v>0.93993363889935</v>
      </c>
      <c r="E2121">
        <v>0.77794424368191595</v>
      </c>
      <c r="F2121">
        <v>0.57404086872817595</v>
      </c>
      <c r="G2121">
        <v>0.30215987376382503</v>
      </c>
      <c r="H2121">
        <v>0.233813649668554</v>
      </c>
      <c r="I2121">
        <v>0.17494583459145199</v>
      </c>
      <c r="J2121">
        <v>0.29181859169281799</v>
      </c>
      <c r="K2121">
        <v>0.223758005952403</v>
      </c>
      <c r="L2121">
        <v>1125.6207511016901</v>
      </c>
      <c r="M2121">
        <v>21.545014757463601</v>
      </c>
      <c r="N2121">
        <v>53.6403407885756</v>
      </c>
      <c r="O2121">
        <v>51.8012221318955</v>
      </c>
      <c r="P2121">
        <v>-8.1676062266298796E-2</v>
      </c>
      <c r="Q2121">
        <v>0.21451578990685799</v>
      </c>
      <c r="R2121">
        <v>0.98769323922454</v>
      </c>
      <c r="S2121" t="s">
        <v>5750</v>
      </c>
      <c r="T2121" t="s">
        <v>7256</v>
      </c>
      <c r="U2121" t="s">
        <v>7256</v>
      </c>
      <c r="V2121" t="s">
        <v>7256</v>
      </c>
      <c r="W2121">
        <v>5</v>
      </c>
      <c r="X2121" t="s">
        <v>9377</v>
      </c>
      <c r="Y2121">
        <v>0.54462265750564487</v>
      </c>
      <c r="Z2121" t="str">
        <f>HYPERLINK("Melting_Curves/meltCurve_sp_Q92541_RTF1_HUMAN_.pdf", "Melting_Curves/meltCurve_sp_Q92541_RTF1_HUMAN_.pdf")</f>
        <v>Melting_Curves/meltCurve_sp_Q92541_RTF1_HUMAN_.pdf</v>
      </c>
      <c r="AA2121" t="s">
        <v>12973</v>
      </c>
      <c r="AB2121" t="s">
        <v>16546</v>
      </c>
    </row>
    <row r="2122" spans="1:28" x14ac:dyDescent="0.25">
      <c r="A2122" t="s">
        <v>2126</v>
      </c>
      <c r="B2122">
        <v>0.98018197421672304</v>
      </c>
      <c r="C2122">
        <v>1.0680793837518701</v>
      </c>
      <c r="D2122">
        <v>0.90466403006894702</v>
      </c>
      <c r="E2122">
        <v>0.77750218074251198</v>
      </c>
      <c r="F2122">
        <v>0.92215719413896502</v>
      </c>
      <c r="G2122">
        <v>0.82739838793637199</v>
      </c>
      <c r="H2122">
        <v>0.56540234470688999</v>
      </c>
      <c r="I2122">
        <v>0.73723159752316603</v>
      </c>
      <c r="J2122">
        <v>0.42116299532475898</v>
      </c>
      <c r="K2122">
        <v>1.4553956579961</v>
      </c>
      <c r="L2122">
        <v>11497.086750181599</v>
      </c>
      <c r="M2122">
        <v>250</v>
      </c>
      <c r="O2122">
        <v>45.985404073470498</v>
      </c>
      <c r="P2122">
        <v>-0.25119570762036098</v>
      </c>
      <c r="Q2122">
        <v>0.81517862244162898</v>
      </c>
      <c r="R2122">
        <v>9.5021775746588294E-2</v>
      </c>
      <c r="S2122" t="s">
        <v>5751</v>
      </c>
      <c r="T2122" t="s">
        <v>7256</v>
      </c>
      <c r="U2122" t="s">
        <v>7256</v>
      </c>
      <c r="V2122" t="s">
        <v>7256</v>
      </c>
      <c r="W2122">
        <v>7</v>
      </c>
      <c r="X2122" t="s">
        <v>9378</v>
      </c>
      <c r="Y2122">
        <v>0.85208602389176435</v>
      </c>
      <c r="Z2122" t="str">
        <f>HYPERLINK("Melting_Curves/meltCurve_sp_Q92552_RT27_HUMAN_.pdf", "Melting_Curves/meltCurve_sp_Q92552_RT27_HUMAN_.pdf")</f>
        <v>Melting_Curves/meltCurve_sp_Q92552_RT27_HUMAN_.pdf</v>
      </c>
      <c r="AA2122" t="s">
        <v>12974</v>
      </c>
      <c r="AB2122" t="s">
        <v>16547</v>
      </c>
    </row>
    <row r="2123" spans="1:28" x14ac:dyDescent="0.25">
      <c r="A2123" t="s">
        <v>2127</v>
      </c>
      <c r="B2123">
        <v>0.98018197421672304</v>
      </c>
      <c r="C2123">
        <v>0.98693633311394002</v>
      </c>
      <c r="D2123">
        <v>0.874387101477066</v>
      </c>
      <c r="E2123">
        <v>0.604240974076934</v>
      </c>
      <c r="F2123">
        <v>0.244611500745371</v>
      </c>
      <c r="G2123">
        <v>0.14682639335311101</v>
      </c>
      <c r="H2123">
        <v>8.6433707314578598E-2</v>
      </c>
      <c r="I2123">
        <v>5.2540813468240799E-2</v>
      </c>
      <c r="J2123">
        <v>8.7551245197767205E-2</v>
      </c>
      <c r="K2123">
        <v>4.03173529263448E-2</v>
      </c>
      <c r="L2123">
        <v>1157.69447663136</v>
      </c>
      <c r="M2123">
        <v>22.991224747305001</v>
      </c>
      <c r="N2123">
        <v>50.639971449350099</v>
      </c>
      <c r="O2123">
        <v>49.977454267965797</v>
      </c>
      <c r="P2123">
        <v>-0.10800271034910799</v>
      </c>
      <c r="Q2123">
        <v>6.0928800340944701E-2</v>
      </c>
      <c r="R2123">
        <v>0.99574316585341804</v>
      </c>
      <c r="S2123" t="s">
        <v>5752</v>
      </c>
      <c r="T2123" t="s">
        <v>7256</v>
      </c>
      <c r="U2123" t="s">
        <v>7256</v>
      </c>
      <c r="V2123" t="s">
        <v>7256</v>
      </c>
      <c r="W2123">
        <v>8</v>
      </c>
      <c r="X2123" t="s">
        <v>9379</v>
      </c>
      <c r="Y2123">
        <v>0.39497456182508728</v>
      </c>
      <c r="Z2123" t="str">
        <f>HYPERLINK("Melting_Curves/meltCurve_sp_Q92556_ELMO1_HUMAN_.pdf", "Melting_Curves/meltCurve_sp_Q92556_ELMO1_HUMAN_.pdf")</f>
        <v>Melting_Curves/meltCurve_sp_Q92556_ELMO1_HUMAN_.pdf</v>
      </c>
      <c r="AA2123" t="s">
        <v>12975</v>
      </c>
      <c r="AB2123" t="s">
        <v>16548</v>
      </c>
    </row>
    <row r="2124" spans="1:28" x14ac:dyDescent="0.25">
      <c r="A2124" t="s">
        <v>2128</v>
      </c>
      <c r="B2124">
        <v>0.98018197421672304</v>
      </c>
      <c r="C2124">
        <v>0.85939344877858204</v>
      </c>
      <c r="D2124">
        <v>0.83972245630130704</v>
      </c>
      <c r="E2124">
        <v>0.67283946371983705</v>
      </c>
      <c r="F2124">
        <v>0.30308401617183001</v>
      </c>
      <c r="G2124">
        <v>0.12636463222217401</v>
      </c>
      <c r="H2124">
        <v>9.2401291136306601E-2</v>
      </c>
      <c r="I2124">
        <v>6.6129474488250101E-2</v>
      </c>
      <c r="J2124">
        <v>7.0073474518971293E-2</v>
      </c>
      <c r="K2124">
        <v>8.5459020630217E-2</v>
      </c>
      <c r="L2124">
        <v>922.70423789979895</v>
      </c>
      <c r="M2124">
        <v>18.1883495242318</v>
      </c>
      <c r="N2124">
        <v>51.022760938464501</v>
      </c>
      <c r="O2124">
        <v>50.129192368862398</v>
      </c>
      <c r="P2124">
        <v>-8.6224057494048503E-2</v>
      </c>
      <c r="Q2124">
        <v>4.94711623062256E-2</v>
      </c>
      <c r="R2124">
        <v>0.98135904599358903</v>
      </c>
      <c r="S2124" t="s">
        <v>5753</v>
      </c>
      <c r="T2124" t="s">
        <v>7256</v>
      </c>
      <c r="U2124" t="s">
        <v>7256</v>
      </c>
      <c r="V2124" t="s">
        <v>7256</v>
      </c>
      <c r="W2124">
        <v>1</v>
      </c>
      <c r="X2124" t="s">
        <v>9380</v>
      </c>
      <c r="Y2124">
        <v>0.40522230250116181</v>
      </c>
      <c r="Z2124" t="str">
        <f>HYPERLINK("Melting_Curves/meltCurve_sp_Q92572_AP3S1_HUMAN_.pdf", "Melting_Curves/meltCurve_sp_Q92572_AP3S1_HUMAN_.pdf")</f>
        <v>Melting_Curves/meltCurve_sp_Q92572_AP3S1_HUMAN_.pdf</v>
      </c>
      <c r="AA2124" t="s">
        <v>12976</v>
      </c>
      <c r="AB2124" t="s">
        <v>16549</v>
      </c>
    </row>
    <row r="2125" spans="1:28" x14ac:dyDescent="0.25">
      <c r="A2125" t="s">
        <v>2129</v>
      </c>
      <c r="B2125">
        <v>0.98018197421672304</v>
      </c>
      <c r="C2125">
        <v>0.96295646959177195</v>
      </c>
      <c r="D2125">
        <v>0.78495461268431999</v>
      </c>
      <c r="E2125">
        <v>0.48849084163183598</v>
      </c>
      <c r="F2125">
        <v>0.55192635144951196</v>
      </c>
      <c r="G2125">
        <v>0.41144656863586199</v>
      </c>
      <c r="H2125">
        <v>0.32939477247337301</v>
      </c>
      <c r="I2125">
        <v>0.32535337734084502</v>
      </c>
      <c r="J2125">
        <v>0.54459981143487901</v>
      </c>
      <c r="K2125">
        <v>0.68829705759736604</v>
      </c>
      <c r="L2125">
        <v>1590.54819525279</v>
      </c>
      <c r="M2125">
        <v>34.240798311177898</v>
      </c>
      <c r="N2125">
        <v>50.616855508991001</v>
      </c>
      <c r="O2125">
        <v>46.294261257193497</v>
      </c>
      <c r="P2125">
        <v>-9.7979249729997303E-2</v>
      </c>
      <c r="Q2125">
        <v>0.47012225665381502</v>
      </c>
      <c r="R2125">
        <v>0.79989035266564501</v>
      </c>
      <c r="S2125" t="s">
        <v>5754</v>
      </c>
      <c r="T2125" t="s">
        <v>7256</v>
      </c>
      <c r="U2125" t="s">
        <v>7256</v>
      </c>
      <c r="V2125" t="s">
        <v>7256</v>
      </c>
      <c r="W2125">
        <v>1</v>
      </c>
      <c r="X2125" t="s">
        <v>9381</v>
      </c>
      <c r="Y2125">
        <v>0.58647555628552439</v>
      </c>
      <c r="Z2125" t="str">
        <f>HYPERLINK("Melting_Curves/meltCurve_sp_Q92575_UBXN4_HUMAN_.pdf", "Melting_Curves/meltCurve_sp_Q92575_UBXN4_HUMAN_.pdf")</f>
        <v>Melting_Curves/meltCurve_sp_Q92575_UBXN4_HUMAN_.pdf</v>
      </c>
      <c r="AA2125" t="s">
        <v>12977</v>
      </c>
      <c r="AB2125" t="s">
        <v>16550</v>
      </c>
    </row>
    <row r="2126" spans="1:28" x14ac:dyDescent="0.25">
      <c r="A2126" t="s">
        <v>2130</v>
      </c>
      <c r="B2126">
        <v>0.98018197421672304</v>
      </c>
      <c r="C2126">
        <v>0.93000433020874096</v>
      </c>
      <c r="D2126">
        <v>0.90403358979843795</v>
      </c>
      <c r="E2126">
        <v>0.76089486629722902</v>
      </c>
      <c r="F2126">
        <v>0.64617630431606199</v>
      </c>
      <c r="G2126">
        <v>0.47923529722916502</v>
      </c>
      <c r="H2126">
        <v>0.294730885003817</v>
      </c>
      <c r="I2126">
        <v>0.38094237113471002</v>
      </c>
      <c r="J2126">
        <v>0.45328126289814402</v>
      </c>
      <c r="K2126">
        <v>0.42856559543190398</v>
      </c>
      <c r="L2126">
        <v>861.29297935667705</v>
      </c>
      <c r="M2126">
        <v>16.7754886957342</v>
      </c>
      <c r="N2126">
        <v>56.014953986734703</v>
      </c>
      <c r="O2126">
        <v>50.629420006449301</v>
      </c>
      <c r="P2126">
        <v>-5.1640613532141499E-2</v>
      </c>
      <c r="Q2126">
        <v>0.37662299291458801</v>
      </c>
      <c r="R2126">
        <v>0.95495625423459496</v>
      </c>
      <c r="S2126" t="s">
        <v>5755</v>
      </c>
      <c r="T2126" t="s">
        <v>7256</v>
      </c>
      <c r="U2126" t="s">
        <v>7256</v>
      </c>
      <c r="V2126" t="s">
        <v>7256</v>
      </c>
      <c r="W2126">
        <v>9</v>
      </c>
      <c r="X2126" t="s">
        <v>9382</v>
      </c>
      <c r="Y2126">
        <v>0.62413577922203289</v>
      </c>
      <c r="Z2126" t="str">
        <f>HYPERLINK("Melting_Curves/meltCurve_sp_Q92576_2_PHF3_HUMAN_.pdf", "Melting_Curves/meltCurve_sp_Q92576_2_PHF3_HUMAN_.pdf")</f>
        <v>Melting_Curves/meltCurve_sp_Q92576_2_PHF3_HUMAN_.pdf</v>
      </c>
      <c r="AA2126" t="s">
        <v>12978</v>
      </c>
      <c r="AB2126" t="s">
        <v>16551</v>
      </c>
    </row>
    <row r="2127" spans="1:28" x14ac:dyDescent="0.25">
      <c r="A2127" t="s">
        <v>2131</v>
      </c>
      <c r="B2127">
        <v>0.98018197421672304</v>
      </c>
      <c r="C2127">
        <v>0.95111783137291495</v>
      </c>
      <c r="D2127">
        <v>0.95838725646273804</v>
      </c>
      <c r="E2127">
        <v>0.80471446154466697</v>
      </c>
      <c r="F2127">
        <v>0.614522623085487</v>
      </c>
      <c r="G2127">
        <v>0.16221646465578801</v>
      </c>
      <c r="H2127">
        <v>8.0912691626591204E-2</v>
      </c>
      <c r="I2127">
        <v>7.20284777357387E-2</v>
      </c>
      <c r="J2127">
        <v>7.6673936465540202E-2</v>
      </c>
      <c r="K2127">
        <v>6.8251936548704303E-2</v>
      </c>
      <c r="L2127">
        <v>1348.4529955458499</v>
      </c>
      <c r="M2127">
        <v>25.2962358516445</v>
      </c>
      <c r="N2127">
        <v>53.550463535573002</v>
      </c>
      <c r="O2127">
        <v>52.976680405496502</v>
      </c>
      <c r="P2127">
        <v>-0.11287802054570301</v>
      </c>
      <c r="Q2127">
        <v>5.4432257654234102E-2</v>
      </c>
      <c r="R2127">
        <v>0.99320957639707597</v>
      </c>
      <c r="S2127" t="s">
        <v>5756</v>
      </c>
      <c r="T2127" t="s">
        <v>7256</v>
      </c>
      <c r="U2127" t="s">
        <v>7256</v>
      </c>
      <c r="V2127" t="s">
        <v>7256</v>
      </c>
      <c r="W2127">
        <v>5</v>
      </c>
      <c r="X2127" t="s">
        <v>9383</v>
      </c>
      <c r="Y2127">
        <v>0.48237163574460679</v>
      </c>
      <c r="Z2127" t="str">
        <f>HYPERLINK("Melting_Curves/meltCurve_sp_Q92597_NDRG1_HUMAN_.pdf", "Melting_Curves/meltCurve_sp_Q92597_NDRG1_HUMAN_.pdf")</f>
        <v>Melting_Curves/meltCurve_sp_Q92597_NDRG1_HUMAN_.pdf</v>
      </c>
      <c r="AA2127" t="s">
        <v>12979</v>
      </c>
      <c r="AB2127" t="s">
        <v>16552</v>
      </c>
    </row>
    <row r="2128" spans="1:28" x14ac:dyDescent="0.25">
      <c r="A2128" t="s">
        <v>2132</v>
      </c>
      <c r="B2128">
        <v>0.98018197421672304</v>
      </c>
      <c r="C2128">
        <v>0.91697252580787803</v>
      </c>
      <c r="D2128">
        <v>0.912920139485634</v>
      </c>
      <c r="E2128">
        <v>0.65211053142114295</v>
      </c>
      <c r="F2128">
        <v>0.30618785440718499</v>
      </c>
      <c r="G2128">
        <v>0.19167681711744999</v>
      </c>
      <c r="H2128">
        <v>0.11140893668007699</v>
      </c>
      <c r="I2128">
        <v>8.9300042738943805E-2</v>
      </c>
      <c r="J2128">
        <v>0.101718395869926</v>
      </c>
      <c r="K2128">
        <v>9.1040361212817403E-2</v>
      </c>
      <c r="L2128">
        <v>1129.61706123828</v>
      </c>
      <c r="M2128">
        <v>22.258045041438798</v>
      </c>
      <c r="N2128">
        <v>51.215462998638301</v>
      </c>
      <c r="O2128">
        <v>50.346635116274399</v>
      </c>
      <c r="P2128">
        <v>-0.100424202699821</v>
      </c>
      <c r="Q2128">
        <v>9.1400541517515393E-2</v>
      </c>
      <c r="R2128">
        <v>0.99371517785582897</v>
      </c>
      <c r="S2128" t="s">
        <v>5757</v>
      </c>
      <c r="T2128" t="s">
        <v>7256</v>
      </c>
      <c r="U2128" t="s">
        <v>7256</v>
      </c>
      <c r="V2128" t="s">
        <v>7256</v>
      </c>
      <c r="W2128">
        <v>21</v>
      </c>
      <c r="X2128" t="s">
        <v>9384</v>
      </c>
      <c r="Y2128">
        <v>0.42729110657666541</v>
      </c>
      <c r="Z2128" t="str">
        <f>HYPERLINK("Melting_Curves/meltCurve_sp_Q92598_2_HS105_HUMAN_.pdf", "Melting_Curves/meltCurve_sp_Q92598_2_HS105_HUMAN_.pdf")</f>
        <v>Melting_Curves/meltCurve_sp_Q92598_2_HS105_HUMAN_.pdf</v>
      </c>
      <c r="AA2128" t="s">
        <v>12980</v>
      </c>
      <c r="AB2128" t="s">
        <v>16553</v>
      </c>
    </row>
    <row r="2129" spans="1:28" x14ac:dyDescent="0.25">
      <c r="A2129" t="s">
        <v>2133</v>
      </c>
      <c r="B2129">
        <v>0.98018197421672304</v>
      </c>
      <c r="C2129">
        <v>0.81124174569715202</v>
      </c>
      <c r="D2129">
        <v>0.87280903793923903</v>
      </c>
      <c r="E2129">
        <v>0.792053224067224</v>
      </c>
      <c r="F2129">
        <v>0.65871606056154597</v>
      </c>
      <c r="G2129">
        <v>0.38478622779046401</v>
      </c>
      <c r="H2129">
        <v>0.29565131025079</v>
      </c>
      <c r="I2129">
        <v>0.21478707641976599</v>
      </c>
      <c r="J2129">
        <v>0.21935814215998201</v>
      </c>
      <c r="K2129">
        <v>0.11456381438488999</v>
      </c>
      <c r="L2129">
        <v>508.673261313588</v>
      </c>
      <c r="M2129">
        <v>9.1497306387100199</v>
      </c>
      <c r="N2129">
        <v>55.594342758392898</v>
      </c>
      <c r="O2129">
        <v>53.131911618505796</v>
      </c>
      <c r="P2129">
        <v>-4.3081325601978998E-2</v>
      </c>
      <c r="Q2129">
        <v>0</v>
      </c>
      <c r="R2129">
        <v>0.97007425567726402</v>
      </c>
      <c r="S2129" t="s">
        <v>5758</v>
      </c>
      <c r="T2129" t="s">
        <v>7256</v>
      </c>
      <c r="U2129" t="s">
        <v>7256</v>
      </c>
      <c r="V2129" t="s">
        <v>7256</v>
      </c>
      <c r="W2129">
        <v>6</v>
      </c>
      <c r="X2129" t="s">
        <v>9385</v>
      </c>
      <c r="Y2129">
        <v>0.54307438215051074</v>
      </c>
      <c r="Z2129" t="str">
        <f>HYPERLINK("Melting_Curves/meltCurve_sp_Q92599_2_SEPT8_HUMAN_.pdf", "Melting_Curves/meltCurve_sp_Q92599_2_SEPT8_HUMAN_.pdf")</f>
        <v>Melting_Curves/meltCurve_sp_Q92599_2_SEPT8_HUMAN_.pdf</v>
      </c>
      <c r="AA2129" t="s">
        <v>12981</v>
      </c>
      <c r="AB2129" t="s">
        <v>16554</v>
      </c>
    </row>
    <row r="2130" spans="1:28" x14ac:dyDescent="0.25">
      <c r="A2130" t="s">
        <v>2134</v>
      </c>
      <c r="B2130">
        <v>0.98018197421672304</v>
      </c>
      <c r="C2130">
        <v>0.94664213926002005</v>
      </c>
      <c r="D2130">
        <v>0.86032145299419704</v>
      </c>
      <c r="E2130">
        <v>0.71416910366252295</v>
      </c>
      <c r="F2130">
        <v>0.46563293732640698</v>
      </c>
      <c r="G2130">
        <v>0.38190505644461997</v>
      </c>
      <c r="H2130">
        <v>0.272339399227985</v>
      </c>
      <c r="I2130">
        <v>0.26128551121195998</v>
      </c>
      <c r="J2130">
        <v>0.26570626218594501</v>
      </c>
      <c r="K2130">
        <v>0.165965822506522</v>
      </c>
      <c r="L2130">
        <v>705.47905825349096</v>
      </c>
      <c r="M2130">
        <v>13.7166977719552</v>
      </c>
      <c r="N2130">
        <v>53.344766343140101</v>
      </c>
      <c r="O2130">
        <v>50.375913845600003</v>
      </c>
      <c r="P2130">
        <v>-5.4857459524266697E-2</v>
      </c>
      <c r="Q2130">
        <v>0.194237804406791</v>
      </c>
      <c r="R2130">
        <v>0.990028303957183</v>
      </c>
      <c r="S2130" t="s">
        <v>5759</v>
      </c>
      <c r="T2130" t="s">
        <v>7256</v>
      </c>
      <c r="U2130" t="s">
        <v>7256</v>
      </c>
      <c r="V2130" t="s">
        <v>7256</v>
      </c>
      <c r="W2130">
        <v>2</v>
      </c>
      <c r="X2130" t="s">
        <v>9386</v>
      </c>
      <c r="Y2130">
        <v>0.52239354757474366</v>
      </c>
      <c r="Z2130" t="str">
        <f>HYPERLINK("Melting_Curves/meltCurve_sp_Q92600_RCD1_HUMAN_.pdf", "Melting_Curves/meltCurve_sp_Q92600_RCD1_HUMAN_.pdf")</f>
        <v>Melting_Curves/meltCurve_sp_Q92600_RCD1_HUMAN_.pdf</v>
      </c>
      <c r="AA2130" t="s">
        <v>12982</v>
      </c>
      <c r="AB2130" t="s">
        <v>16555</v>
      </c>
    </row>
    <row r="2131" spans="1:28" x14ac:dyDescent="0.25">
      <c r="A2131" t="s">
        <v>2135</v>
      </c>
      <c r="B2131">
        <v>0.98018197421672304</v>
      </c>
      <c r="C2131">
        <v>1.10853790975539</v>
      </c>
      <c r="D2131">
        <v>1.0114960521862699</v>
      </c>
      <c r="E2131">
        <v>0.86733354553568098</v>
      </c>
      <c r="F2131">
        <v>0.60504569106178696</v>
      </c>
      <c r="G2131">
        <v>0.39174946969149699</v>
      </c>
      <c r="H2131">
        <v>0.35048653031860399</v>
      </c>
      <c r="I2131">
        <v>0.365107917251421</v>
      </c>
      <c r="J2131">
        <v>0.43799334426748998</v>
      </c>
      <c r="K2131">
        <v>0.50717804439888803</v>
      </c>
      <c r="L2131">
        <v>1952.21710919869</v>
      </c>
      <c r="M2131">
        <v>37.6571566818577</v>
      </c>
      <c r="N2131">
        <v>54.284775588944598</v>
      </c>
      <c r="O2131">
        <v>51.696312353101</v>
      </c>
      <c r="P2131">
        <v>-0.10777728194187999</v>
      </c>
      <c r="Q2131">
        <v>0.40816844875809699</v>
      </c>
      <c r="R2131">
        <v>0.96207687123538499</v>
      </c>
      <c r="S2131" t="s">
        <v>5760</v>
      </c>
      <c r="T2131" t="s">
        <v>7256</v>
      </c>
      <c r="U2131" t="s">
        <v>7256</v>
      </c>
      <c r="V2131" t="s">
        <v>7256</v>
      </c>
      <c r="W2131">
        <v>6</v>
      </c>
      <c r="X2131" t="s">
        <v>9387</v>
      </c>
      <c r="Y2131">
        <v>0.64417486193666951</v>
      </c>
      <c r="Z2131" t="str">
        <f>HYPERLINK("Melting_Curves/meltCurve_sp_Q92609_TBCD5_HUMAN_.pdf", "Melting_Curves/meltCurve_sp_Q92609_TBCD5_HUMAN_.pdf")</f>
        <v>Melting_Curves/meltCurve_sp_Q92609_TBCD5_HUMAN_.pdf</v>
      </c>
      <c r="AA2131" t="s">
        <v>12983</v>
      </c>
      <c r="AB2131" t="s">
        <v>16556</v>
      </c>
    </row>
    <row r="2132" spans="1:28" x14ac:dyDescent="0.25">
      <c r="A2132" t="s">
        <v>2136</v>
      </c>
      <c r="B2132">
        <v>0.98018197421672304</v>
      </c>
      <c r="C2132">
        <v>0.92601349975129799</v>
      </c>
      <c r="D2132">
        <v>0.88755762270122895</v>
      </c>
      <c r="E2132">
        <v>0.53860096641907695</v>
      </c>
      <c r="F2132">
        <v>0.210187524337521</v>
      </c>
      <c r="G2132">
        <v>0.130550106071292</v>
      </c>
      <c r="H2132">
        <v>9.4413013200681406E-2</v>
      </c>
      <c r="I2132">
        <v>7.70322792286528E-2</v>
      </c>
      <c r="J2132">
        <v>8.52674266607963E-2</v>
      </c>
      <c r="K2132">
        <v>7.7012744389164306E-2</v>
      </c>
      <c r="L2132">
        <v>1227.58627545482</v>
      </c>
      <c r="M2132">
        <v>24.6643548661065</v>
      </c>
      <c r="N2132">
        <v>50.1176776665788</v>
      </c>
      <c r="O2132">
        <v>49.447951609225697</v>
      </c>
      <c r="P2132">
        <v>-0.114938306125155</v>
      </c>
      <c r="Q2132">
        <v>7.8283937383702804E-2</v>
      </c>
      <c r="R2132">
        <v>0.99583164132467406</v>
      </c>
      <c r="S2132" t="s">
        <v>5761</v>
      </c>
      <c r="T2132" t="s">
        <v>7256</v>
      </c>
      <c r="U2132" t="s">
        <v>7256</v>
      </c>
      <c r="V2132" t="s">
        <v>7256</v>
      </c>
      <c r="W2132">
        <v>28</v>
      </c>
      <c r="X2132" t="s">
        <v>9388</v>
      </c>
      <c r="Y2132">
        <v>0.38695472511445639</v>
      </c>
      <c r="Z2132" t="str">
        <f>HYPERLINK("Melting_Curves/meltCurve_sp_Q92614_4_MY18A_HUMAN_.pdf", "Melting_Curves/meltCurve_sp_Q92614_4_MY18A_HUMAN_.pdf")</f>
        <v>Melting_Curves/meltCurve_sp_Q92614_4_MY18A_HUMAN_.pdf</v>
      </c>
      <c r="AA2132" t="s">
        <v>12984</v>
      </c>
      <c r="AB2132" t="s">
        <v>16557</v>
      </c>
    </row>
    <row r="2133" spans="1:28" x14ac:dyDescent="0.25">
      <c r="A2133" t="s">
        <v>2137</v>
      </c>
      <c r="B2133">
        <v>0.98018197421672304</v>
      </c>
      <c r="C2133">
        <v>1.2084879600852101</v>
      </c>
      <c r="D2133">
        <v>1.3515306876283999</v>
      </c>
      <c r="E2133">
        <v>1.1265589423687401</v>
      </c>
      <c r="F2133">
        <v>1.0871576233307501</v>
      </c>
      <c r="G2133">
        <v>0.759809929365446</v>
      </c>
      <c r="H2133">
        <v>0.62672381378065101</v>
      </c>
      <c r="I2133">
        <v>0.61330945669430004</v>
      </c>
      <c r="J2133">
        <v>1.06062357516498</v>
      </c>
      <c r="K2133">
        <v>0.60374669803674896</v>
      </c>
      <c r="L2133">
        <v>14138.071208814001</v>
      </c>
      <c r="M2133">
        <v>250</v>
      </c>
      <c r="O2133">
        <v>56.548665884741901</v>
      </c>
      <c r="P2133">
        <v>-0.30272500404187902</v>
      </c>
      <c r="Q2133">
        <v>0.72610087868454398</v>
      </c>
      <c r="R2133">
        <v>0.48750512518802203</v>
      </c>
      <c r="S2133" t="s">
        <v>5762</v>
      </c>
      <c r="T2133" t="s">
        <v>7256</v>
      </c>
      <c r="U2133" t="s">
        <v>7256</v>
      </c>
      <c r="V2133" t="s">
        <v>7256</v>
      </c>
      <c r="W2133">
        <v>3</v>
      </c>
      <c r="X2133" t="s">
        <v>9389</v>
      </c>
      <c r="Y2133">
        <v>0.87724993846653843</v>
      </c>
      <c r="Z2133" t="str">
        <f>HYPERLINK("Melting_Curves/meltCurve_sp_Q92615_LAR4B_HUMAN_.pdf", "Melting_Curves/meltCurve_sp_Q92615_LAR4B_HUMAN_.pdf")</f>
        <v>Melting_Curves/meltCurve_sp_Q92615_LAR4B_HUMAN_.pdf</v>
      </c>
      <c r="AA2133" t="s">
        <v>12985</v>
      </c>
      <c r="AB2133" t="s">
        <v>16558</v>
      </c>
    </row>
    <row r="2134" spans="1:28" x14ac:dyDescent="0.25">
      <c r="A2134" t="s">
        <v>2138</v>
      </c>
      <c r="B2134">
        <v>0.98018197421672304</v>
      </c>
      <c r="C2134">
        <v>0.62575675592291902</v>
      </c>
      <c r="D2134">
        <v>0.37140253453640298</v>
      </c>
      <c r="E2134">
        <v>0.19522641812411001</v>
      </c>
      <c r="F2134">
        <v>0.13604842905550901</v>
      </c>
      <c r="G2134">
        <v>7.5115278578603797E-2</v>
      </c>
      <c r="H2134">
        <v>5.3212181631677798E-2</v>
      </c>
      <c r="I2134">
        <v>3.9414529481542497E-2</v>
      </c>
      <c r="J2134">
        <v>4.31988637151575E-2</v>
      </c>
      <c r="K2134">
        <v>3.6493982931404899E-2</v>
      </c>
      <c r="L2134">
        <v>827.06945507902299</v>
      </c>
      <c r="M2134">
        <v>18.619538337651601</v>
      </c>
      <c r="N2134">
        <v>44.697148654640699</v>
      </c>
      <c r="O2134">
        <v>43.916589395326497</v>
      </c>
      <c r="P2134">
        <v>-0.100208597907085</v>
      </c>
      <c r="Q2134">
        <v>5.46212696356006E-2</v>
      </c>
      <c r="R2134">
        <v>0.984534890008953</v>
      </c>
      <c r="S2134" t="s">
        <v>5763</v>
      </c>
      <c r="T2134" t="s">
        <v>7256</v>
      </c>
      <c r="U2134" t="s">
        <v>7256</v>
      </c>
      <c r="V2134" t="s">
        <v>7256</v>
      </c>
      <c r="W2134">
        <v>29</v>
      </c>
      <c r="X2134" t="s">
        <v>9390</v>
      </c>
      <c r="Y2134">
        <v>0.2141963230013853</v>
      </c>
      <c r="Z2134" t="str">
        <f>HYPERLINK("Melting_Curves/meltCurve_sp_Q92616_GCN1L_HUMAN_.pdf", "Melting_Curves/meltCurve_sp_Q92616_GCN1L_HUMAN_.pdf")</f>
        <v>Melting_Curves/meltCurve_sp_Q92616_GCN1L_HUMAN_.pdf</v>
      </c>
      <c r="AA2134" t="s">
        <v>12986</v>
      </c>
      <c r="AB2134" t="s">
        <v>16559</v>
      </c>
    </row>
    <row r="2135" spans="1:28" x14ac:dyDescent="0.25">
      <c r="A2135" t="s">
        <v>2139</v>
      </c>
      <c r="B2135">
        <v>0.98018197421672304</v>
      </c>
      <c r="C2135">
        <v>0.91903191085937697</v>
      </c>
      <c r="D2135">
        <v>0.81244075442803398</v>
      </c>
      <c r="E2135">
        <v>0.49435411805467799</v>
      </c>
      <c r="F2135">
        <v>0.248318747698169</v>
      </c>
      <c r="G2135">
        <v>0.180553137725048</v>
      </c>
      <c r="H2135">
        <v>0.12446333121250799</v>
      </c>
      <c r="I2135">
        <v>9.1673429860141195E-2</v>
      </c>
      <c r="J2135">
        <v>0.108569637370187</v>
      </c>
      <c r="K2135">
        <v>0.11880634825776</v>
      </c>
      <c r="L2135">
        <v>932.26789221009597</v>
      </c>
      <c r="M2135">
        <v>18.9810006710076</v>
      </c>
      <c r="N2135">
        <v>49.708133671004198</v>
      </c>
      <c r="O2135">
        <v>48.580417189912801</v>
      </c>
      <c r="P2135">
        <v>-8.7796093797226304E-2</v>
      </c>
      <c r="Q2135">
        <v>0.101206494233472</v>
      </c>
      <c r="R2135">
        <v>0.99732811184820802</v>
      </c>
      <c r="S2135" t="s">
        <v>5764</v>
      </c>
      <c r="T2135" t="s">
        <v>7256</v>
      </c>
      <c r="U2135" t="s">
        <v>7256</v>
      </c>
      <c r="V2135" t="s">
        <v>7256</v>
      </c>
      <c r="W2135">
        <v>4</v>
      </c>
      <c r="X2135" t="s">
        <v>9391</v>
      </c>
      <c r="Y2135">
        <v>0.38828969521487999</v>
      </c>
      <c r="Z2135" t="str">
        <f>HYPERLINK("Melting_Curves/meltCurve_sp_Q92621_NU205_HUMAN_.pdf", "Melting_Curves/meltCurve_sp_Q92621_NU205_HUMAN_.pdf")</f>
        <v>Melting_Curves/meltCurve_sp_Q92621_NU205_HUMAN_.pdf</v>
      </c>
      <c r="AA2135" t="s">
        <v>12987</v>
      </c>
      <c r="AB2135" t="s">
        <v>16560</v>
      </c>
    </row>
    <row r="2136" spans="1:28" x14ac:dyDescent="0.25">
      <c r="A2136" t="s">
        <v>2140</v>
      </c>
      <c r="B2136">
        <v>0.98018197421672304</v>
      </c>
      <c r="C2136">
        <v>0.99903656589371803</v>
      </c>
      <c r="D2136">
        <v>0.87345352991040903</v>
      </c>
      <c r="E2136">
        <v>0.636846654893786</v>
      </c>
      <c r="F2136">
        <v>0.447834173115364</v>
      </c>
      <c r="G2136">
        <v>0.29839053705413099</v>
      </c>
      <c r="H2136">
        <v>0.26905075934258399</v>
      </c>
      <c r="I2136">
        <v>0.30513750398300599</v>
      </c>
      <c r="J2136">
        <v>0.29494751057573398</v>
      </c>
      <c r="K2136">
        <v>0.422689315344077</v>
      </c>
      <c r="L2136">
        <v>1153.8268571981</v>
      </c>
      <c r="M2136">
        <v>23.284631388585801</v>
      </c>
      <c r="N2136">
        <v>51.730473467685499</v>
      </c>
      <c r="O2136">
        <v>49.191995216658498</v>
      </c>
      <c r="P2136">
        <v>-8.1374513121838202E-2</v>
      </c>
      <c r="Q2136">
        <v>0.31235273092884702</v>
      </c>
      <c r="R2136">
        <v>0.97596793064064302</v>
      </c>
      <c r="S2136" t="s">
        <v>5765</v>
      </c>
      <c r="T2136" t="s">
        <v>7256</v>
      </c>
      <c r="U2136" t="s">
        <v>7256</v>
      </c>
      <c r="V2136" t="s">
        <v>7256</v>
      </c>
      <c r="W2136">
        <v>2</v>
      </c>
      <c r="X2136" t="s">
        <v>9392</v>
      </c>
      <c r="Y2136">
        <v>0.53839490661551348</v>
      </c>
      <c r="Z2136" t="str">
        <f>HYPERLINK("Melting_Curves/meltCurve_sp_Q92665_RT31_HUMAN_.pdf", "Melting_Curves/meltCurve_sp_Q92665_RT31_HUMAN_.pdf")</f>
        <v>Melting_Curves/meltCurve_sp_Q92665_RT31_HUMAN_.pdf</v>
      </c>
      <c r="AA2136" t="s">
        <v>12988</v>
      </c>
      <c r="AB2136" t="s">
        <v>16561</v>
      </c>
    </row>
    <row r="2137" spans="1:28" x14ac:dyDescent="0.25">
      <c r="A2137" t="s">
        <v>2141</v>
      </c>
      <c r="B2137">
        <v>0.98018197421672304</v>
      </c>
      <c r="C2137">
        <v>0.99041087354732404</v>
      </c>
      <c r="D2137">
        <v>0.90396680450727795</v>
      </c>
      <c r="E2137">
        <v>0.71177337256574602</v>
      </c>
      <c r="F2137">
        <v>0.55143571225058696</v>
      </c>
      <c r="G2137">
        <v>0.342385329982756</v>
      </c>
      <c r="H2137">
        <v>0.34770918331099898</v>
      </c>
      <c r="I2137">
        <v>0.35065097450061899</v>
      </c>
      <c r="J2137">
        <v>0.45417238987703801</v>
      </c>
      <c r="K2137">
        <v>0.50021271863189998</v>
      </c>
      <c r="L2137">
        <v>1232.6499713978301</v>
      </c>
      <c r="M2137">
        <v>24.630222308173501</v>
      </c>
      <c r="N2137">
        <v>53.483842982984598</v>
      </c>
      <c r="O2137">
        <v>49.719833508006303</v>
      </c>
      <c r="P2137">
        <v>-7.4639041409193002E-2</v>
      </c>
      <c r="Q2137">
        <v>0.39732776373208001</v>
      </c>
      <c r="R2137">
        <v>0.95392198396019501</v>
      </c>
      <c r="S2137" t="s">
        <v>5766</v>
      </c>
      <c r="T2137" t="s">
        <v>7256</v>
      </c>
      <c r="U2137" t="s">
        <v>7256</v>
      </c>
      <c r="V2137" t="s">
        <v>7256</v>
      </c>
      <c r="W2137">
        <v>8</v>
      </c>
      <c r="X2137" t="s">
        <v>9393</v>
      </c>
      <c r="Y2137">
        <v>0.60470011176777883</v>
      </c>
      <c r="Z2137" t="str">
        <f>HYPERLINK("Melting_Curves/meltCurve_sp_Q92667_AKAP1_HUMAN_.pdf", "Melting_Curves/meltCurve_sp_Q92667_AKAP1_HUMAN_.pdf")</f>
        <v>Melting_Curves/meltCurve_sp_Q92667_AKAP1_HUMAN_.pdf</v>
      </c>
      <c r="AA2137" t="s">
        <v>12989</v>
      </c>
      <c r="AB2137" t="s">
        <v>16562</v>
      </c>
    </row>
    <row r="2138" spans="1:28" x14ac:dyDescent="0.25">
      <c r="A2138" t="s">
        <v>2142</v>
      </c>
      <c r="B2138">
        <v>0.98018197421672304</v>
      </c>
      <c r="C2138">
        <v>0.95464365171694898</v>
      </c>
      <c r="D2138">
        <v>0.97246182539807702</v>
      </c>
      <c r="E2138">
        <v>0.92379777541479002</v>
      </c>
      <c r="F2138">
        <v>0.95171653757028996</v>
      </c>
      <c r="G2138">
        <v>0.90755874065813702</v>
      </c>
      <c r="H2138">
        <v>0.50632179231395802</v>
      </c>
      <c r="I2138">
        <v>0.35960478550523101</v>
      </c>
      <c r="J2138">
        <v>0.299666278799601</v>
      </c>
      <c r="K2138">
        <v>0.25058284078096998</v>
      </c>
      <c r="L2138">
        <v>2019.8772943240599</v>
      </c>
      <c r="M2138">
        <v>33.728467449784297</v>
      </c>
      <c r="N2138">
        <v>61.2664482590517</v>
      </c>
      <c r="O2138">
        <v>59.677080398646098</v>
      </c>
      <c r="P2138">
        <v>-0.103696417058431</v>
      </c>
      <c r="Q2138">
        <v>0.266106696421339</v>
      </c>
      <c r="R2138">
        <v>0.98641133050353202</v>
      </c>
      <c r="S2138" t="s">
        <v>5767</v>
      </c>
      <c r="T2138" t="s">
        <v>7256</v>
      </c>
      <c r="U2138" t="s">
        <v>7256</v>
      </c>
      <c r="V2138" t="s">
        <v>7256</v>
      </c>
      <c r="W2138">
        <v>7</v>
      </c>
      <c r="X2138" t="s">
        <v>9394</v>
      </c>
      <c r="Y2138">
        <v>0.75639262084316738</v>
      </c>
      <c r="Z2138" t="str">
        <f>HYPERLINK("Melting_Curves/meltCurve_sp_Q92688_2_AN32B_HUMAN_.pdf", "Melting_Curves/meltCurve_sp_Q92688_2_AN32B_HUMAN_.pdf")</f>
        <v>Melting_Curves/meltCurve_sp_Q92688_2_AN32B_HUMAN_.pdf</v>
      </c>
      <c r="AA2138" t="s">
        <v>12990</v>
      </c>
      <c r="AB2138" t="s">
        <v>16563</v>
      </c>
    </row>
    <row r="2139" spans="1:28" x14ac:dyDescent="0.25">
      <c r="A2139" t="s">
        <v>2143</v>
      </c>
      <c r="B2139">
        <v>0.98018197421672304</v>
      </c>
      <c r="C2139">
        <v>0.95825861263375001</v>
      </c>
      <c r="D2139">
        <v>0.89017159745533703</v>
      </c>
      <c r="E2139">
        <v>0.77234463948824195</v>
      </c>
      <c r="F2139">
        <v>0.53586042034720305</v>
      </c>
      <c r="G2139">
        <v>0.18586930728798401</v>
      </c>
      <c r="H2139">
        <v>9.2882840561716806E-2</v>
      </c>
      <c r="I2139">
        <v>7.27127170717142E-2</v>
      </c>
      <c r="J2139">
        <v>7.15801691245702E-2</v>
      </c>
      <c r="K2139">
        <v>7.1713814597471504E-2</v>
      </c>
      <c r="L2139">
        <v>1056.76128270921</v>
      </c>
      <c r="M2139">
        <v>20.020909351522398</v>
      </c>
      <c r="N2139">
        <v>53.041687571677599</v>
      </c>
      <c r="O2139">
        <v>52.264751500688298</v>
      </c>
      <c r="P2139">
        <v>-9.1313356487693301E-2</v>
      </c>
      <c r="Q2139">
        <v>4.65338011363646E-2</v>
      </c>
      <c r="R2139">
        <v>0.99425564881684003</v>
      </c>
      <c r="S2139" t="s">
        <v>5768</v>
      </c>
      <c r="T2139" t="s">
        <v>7256</v>
      </c>
      <c r="U2139" t="s">
        <v>7256</v>
      </c>
      <c r="V2139" t="s">
        <v>7256</v>
      </c>
      <c r="W2139">
        <v>12</v>
      </c>
      <c r="X2139" t="s">
        <v>9395</v>
      </c>
      <c r="Y2139">
        <v>0.465914820512836</v>
      </c>
      <c r="Z2139" t="str">
        <f>HYPERLINK("Melting_Curves/meltCurve_sp_Q92696_PGTA_HUMAN_.pdf", "Melting_Curves/meltCurve_sp_Q92696_PGTA_HUMAN_.pdf")</f>
        <v>Melting_Curves/meltCurve_sp_Q92696_PGTA_HUMAN_.pdf</v>
      </c>
      <c r="AA2139" t="s">
        <v>12991</v>
      </c>
      <c r="AB2139" t="s">
        <v>16564</v>
      </c>
    </row>
    <row r="2140" spans="1:28" x14ac:dyDescent="0.25">
      <c r="A2140" t="s">
        <v>2144</v>
      </c>
      <c r="B2140">
        <v>0.98018197421672304</v>
      </c>
      <c r="C2140">
        <v>1.00682847389749</v>
      </c>
      <c r="D2140">
        <v>0.94528744614980198</v>
      </c>
      <c r="E2140">
        <v>0.80685631278199899</v>
      </c>
      <c r="F2140">
        <v>0.63144029008569802</v>
      </c>
      <c r="G2140">
        <v>0.43911983977575803</v>
      </c>
      <c r="H2140">
        <v>0.37620086686411702</v>
      </c>
      <c r="I2140">
        <v>0.35802545999000901</v>
      </c>
      <c r="J2140">
        <v>0.31039497495546298</v>
      </c>
      <c r="K2140">
        <v>0.203138590197458</v>
      </c>
      <c r="L2140">
        <v>777.71709245055604</v>
      </c>
      <c r="M2140">
        <v>14.5549749599632</v>
      </c>
      <c r="N2140">
        <v>56.071873207137898</v>
      </c>
      <c r="O2140">
        <v>52.454812913212201</v>
      </c>
      <c r="P2140">
        <v>-5.2175128036322099E-2</v>
      </c>
      <c r="Q2140">
        <v>0.24794762552855801</v>
      </c>
      <c r="R2140">
        <v>0.98822788951353202</v>
      </c>
      <c r="S2140" t="s">
        <v>5769</v>
      </c>
      <c r="T2140" t="s">
        <v>7256</v>
      </c>
      <c r="U2140" t="s">
        <v>7256</v>
      </c>
      <c r="V2140" t="s">
        <v>7256</v>
      </c>
      <c r="W2140">
        <v>11</v>
      </c>
      <c r="X2140" t="s">
        <v>9396</v>
      </c>
      <c r="Y2140">
        <v>0.60120712645130348</v>
      </c>
      <c r="Z2140" t="str">
        <f>HYPERLINK("Melting_Curves/meltCurve_sp_Q92734_2_TFG_HUMAN_.pdf", "Melting_Curves/meltCurve_sp_Q92734_2_TFG_HUMAN_.pdf")</f>
        <v>Melting_Curves/meltCurve_sp_Q92734_2_TFG_HUMAN_.pdf</v>
      </c>
      <c r="AA2140" t="s">
        <v>12992</v>
      </c>
      <c r="AB2140" t="s">
        <v>16565</v>
      </c>
    </row>
    <row r="2141" spans="1:28" x14ac:dyDescent="0.25">
      <c r="A2141" t="s">
        <v>2145</v>
      </c>
      <c r="B2141">
        <v>0.98018197421672304</v>
      </c>
      <c r="C2141">
        <v>0.92515138806086905</v>
      </c>
      <c r="D2141">
        <v>0.90133854154314696</v>
      </c>
      <c r="E2141">
        <v>0.7980168951512</v>
      </c>
      <c r="F2141">
        <v>0.677392803976543</v>
      </c>
      <c r="G2141">
        <v>0.40860093295042399</v>
      </c>
      <c r="H2141">
        <v>0.14563555578807899</v>
      </c>
      <c r="I2141">
        <v>5.4890487005716401E-2</v>
      </c>
      <c r="J2141">
        <v>5.80976644770499E-2</v>
      </c>
      <c r="K2141">
        <v>4.9269372395561499E-2</v>
      </c>
      <c r="L2141">
        <v>846.39564185006202</v>
      </c>
      <c r="M2141">
        <v>15.3789369648837</v>
      </c>
      <c r="N2141">
        <v>55.036021676184298</v>
      </c>
      <c r="O2141">
        <v>54.130655950185698</v>
      </c>
      <c r="P2141">
        <v>-7.1033446595889102E-2</v>
      </c>
      <c r="Q2141">
        <v>0</v>
      </c>
      <c r="R2141">
        <v>0.990111621508455</v>
      </c>
      <c r="S2141" t="s">
        <v>5770</v>
      </c>
      <c r="T2141" t="s">
        <v>7256</v>
      </c>
      <c r="U2141" t="s">
        <v>7256</v>
      </c>
      <c r="V2141" t="s">
        <v>7256</v>
      </c>
      <c r="W2141">
        <v>9</v>
      </c>
      <c r="X2141" t="s">
        <v>9397</v>
      </c>
      <c r="Y2141">
        <v>0.51992420739033496</v>
      </c>
      <c r="Z2141" t="str">
        <f>HYPERLINK("Melting_Curves/meltCurve_sp_Q92747_ARC1A_HUMAN_.pdf", "Melting_Curves/meltCurve_sp_Q92747_ARC1A_HUMAN_.pdf")</f>
        <v>Melting_Curves/meltCurve_sp_Q92747_ARC1A_HUMAN_.pdf</v>
      </c>
      <c r="AA2141" t="s">
        <v>12993</v>
      </c>
      <c r="AB2141" t="s">
        <v>16566</v>
      </c>
    </row>
    <row r="2142" spans="1:28" x14ac:dyDescent="0.25">
      <c r="A2142" t="s">
        <v>2146</v>
      </c>
      <c r="B2142">
        <v>0.98018197421672304</v>
      </c>
      <c r="C2142">
        <v>0.85760927995321601</v>
      </c>
      <c r="D2142">
        <v>0.89891868669679498</v>
      </c>
      <c r="E2142">
        <v>0.73237648394608001</v>
      </c>
      <c r="F2142">
        <v>0.60782921600438</v>
      </c>
      <c r="G2142">
        <v>0.51092007108861504</v>
      </c>
      <c r="H2142">
        <v>0.47699738699844502</v>
      </c>
      <c r="I2142">
        <v>0.53295107639778805</v>
      </c>
      <c r="J2142">
        <v>0.604060969970585</v>
      </c>
      <c r="K2142">
        <v>0.63730837421280095</v>
      </c>
      <c r="L2142">
        <v>829.31921178611196</v>
      </c>
      <c r="M2142">
        <v>17.252061558019399</v>
      </c>
      <c r="O2142">
        <v>47.438798817204201</v>
      </c>
      <c r="P2142">
        <v>-4.1301474729623901E-2</v>
      </c>
      <c r="Q2142">
        <v>0.545752117114229</v>
      </c>
      <c r="R2142">
        <v>0.87941742782834997</v>
      </c>
      <c r="S2142" t="s">
        <v>5771</v>
      </c>
      <c r="T2142" t="s">
        <v>7256</v>
      </c>
      <c r="U2142" t="s">
        <v>7256</v>
      </c>
      <c r="V2142" t="s">
        <v>7256</v>
      </c>
      <c r="W2142">
        <v>1</v>
      </c>
      <c r="X2142" t="s">
        <v>9398</v>
      </c>
      <c r="Y2142">
        <v>0.67673783064129822</v>
      </c>
      <c r="Z2142" t="str">
        <f>HYPERLINK("Melting_Curves/meltCurve_sp_Q92766_3_RREB1_HUMAN_.pdf", "Melting_Curves/meltCurve_sp_Q92766_3_RREB1_HUMAN_.pdf")</f>
        <v>Melting_Curves/meltCurve_sp_Q92766_3_RREB1_HUMAN_.pdf</v>
      </c>
      <c r="AA2142" t="s">
        <v>12994</v>
      </c>
      <c r="AB2142" t="s">
        <v>16567</v>
      </c>
    </row>
    <row r="2143" spans="1:28" x14ac:dyDescent="0.25">
      <c r="A2143" t="s">
        <v>2147</v>
      </c>
      <c r="B2143">
        <v>0.98018197421672304</v>
      </c>
      <c r="C2143">
        <v>0.84023468632968201</v>
      </c>
      <c r="D2143">
        <v>0.852325230190494</v>
      </c>
      <c r="E2143">
        <v>0.74823808554540705</v>
      </c>
      <c r="F2143">
        <v>0.40428178931409298</v>
      </c>
      <c r="G2143">
        <v>0.27230476182806601</v>
      </c>
      <c r="H2143">
        <v>0.22906430333120101</v>
      </c>
      <c r="I2143">
        <v>0.18084483416746799</v>
      </c>
      <c r="J2143">
        <v>0.19041750744517899</v>
      </c>
      <c r="K2143">
        <v>0.15791057348441101</v>
      </c>
      <c r="L2143">
        <v>738.64645111385096</v>
      </c>
      <c r="M2143">
        <v>14.4220629824587</v>
      </c>
      <c r="N2143">
        <v>52.410824302178199</v>
      </c>
      <c r="O2143">
        <v>50.261922045208401</v>
      </c>
      <c r="P2143">
        <v>-6.1694899595851498E-2</v>
      </c>
      <c r="Q2143">
        <v>0.14005681399155301</v>
      </c>
      <c r="R2143">
        <v>0.97088207233324897</v>
      </c>
      <c r="S2143" t="s">
        <v>5772</v>
      </c>
      <c r="T2143" t="s">
        <v>7256</v>
      </c>
      <c r="U2143" t="s">
        <v>7256</v>
      </c>
      <c r="V2143" t="s">
        <v>7256</v>
      </c>
      <c r="W2143">
        <v>5</v>
      </c>
      <c r="X2143" t="s">
        <v>9399</v>
      </c>
      <c r="Y2143">
        <v>0.48259298685621999</v>
      </c>
      <c r="Z2143" t="str">
        <f>HYPERLINK("Melting_Curves/meltCurve_sp_Q92783_2_STAM1_HUMAN_.pdf", "Melting_Curves/meltCurve_sp_Q92783_2_STAM1_HUMAN_.pdf")</f>
        <v>Melting_Curves/meltCurve_sp_Q92783_2_STAM1_HUMAN_.pdf</v>
      </c>
      <c r="AA2143" t="s">
        <v>12995</v>
      </c>
      <c r="AB2143" t="s">
        <v>16568</v>
      </c>
    </row>
    <row r="2144" spans="1:28" x14ac:dyDescent="0.25">
      <c r="A2144" t="s">
        <v>2148</v>
      </c>
      <c r="B2144">
        <v>0.98018197421672304</v>
      </c>
      <c r="C2144">
        <v>0.89230224840429295</v>
      </c>
      <c r="D2144">
        <v>0.82473218537113202</v>
      </c>
      <c r="E2144">
        <v>0.74207839154327404</v>
      </c>
      <c r="F2144">
        <v>0.40095879578367699</v>
      </c>
      <c r="G2144">
        <v>6.1172117583803601E-2</v>
      </c>
      <c r="H2144">
        <v>2.7919677516522599E-2</v>
      </c>
      <c r="I2144">
        <v>1.6991210549469199E-2</v>
      </c>
      <c r="J2144">
        <v>1.54836501016279E-2</v>
      </c>
      <c r="K2144">
        <v>1.9285184352943501E-2</v>
      </c>
      <c r="L2144">
        <v>1098.1995346239901</v>
      </c>
      <c r="M2144">
        <v>21.183958057794499</v>
      </c>
      <c r="N2144">
        <v>51.841093257577498</v>
      </c>
      <c r="O2144">
        <v>51.385775824699898</v>
      </c>
      <c r="P2144">
        <v>-0.103066042543347</v>
      </c>
      <c r="Q2144">
        <v>0</v>
      </c>
      <c r="R2144">
        <v>0.98070330495809099</v>
      </c>
      <c r="S2144" t="s">
        <v>5773</v>
      </c>
      <c r="T2144" t="s">
        <v>7256</v>
      </c>
      <c r="U2144" t="s">
        <v>7256</v>
      </c>
      <c r="V2144" t="s">
        <v>7256</v>
      </c>
      <c r="W2144">
        <v>2</v>
      </c>
      <c r="X2144" t="s">
        <v>9400</v>
      </c>
      <c r="Y2144">
        <v>0.40717073229985118</v>
      </c>
      <c r="Z2144" t="str">
        <f>HYPERLINK("Melting_Curves/meltCurve_sp_Q92793_CBP_HUMAN_.pdf", "Melting_Curves/meltCurve_sp_Q92793_CBP_HUMAN_.pdf")</f>
        <v>Melting_Curves/meltCurve_sp_Q92793_CBP_HUMAN_.pdf</v>
      </c>
      <c r="AA2144" t="s">
        <v>12996</v>
      </c>
      <c r="AB2144" t="s">
        <v>16569</v>
      </c>
    </row>
    <row r="2145" spans="1:28" x14ac:dyDescent="0.25">
      <c r="A2145" t="s">
        <v>2149</v>
      </c>
      <c r="B2145">
        <v>0.98018197421672304</v>
      </c>
      <c r="C2145">
        <v>0.74222308933135905</v>
      </c>
      <c r="D2145">
        <v>0.67532071702825203</v>
      </c>
      <c r="E2145">
        <v>0.76236032578282797</v>
      </c>
      <c r="F2145">
        <v>0.62886993176833195</v>
      </c>
      <c r="G2145">
        <v>0.491846203350077</v>
      </c>
      <c r="H2145">
        <v>0.51836967519840604</v>
      </c>
      <c r="I2145">
        <v>0.44294319581202901</v>
      </c>
      <c r="J2145">
        <v>0.21749342393892901</v>
      </c>
      <c r="K2145">
        <v>0.115363412667399</v>
      </c>
      <c r="L2145">
        <v>315.04355317238799</v>
      </c>
      <c r="M2145">
        <v>5.5452539176438203</v>
      </c>
      <c r="N2145">
        <v>56.8131879699839</v>
      </c>
      <c r="O2145">
        <v>50.7086399273769</v>
      </c>
      <c r="P2145">
        <v>-2.7455815095044599E-2</v>
      </c>
      <c r="Q2145">
        <v>0</v>
      </c>
      <c r="R2145">
        <v>0.85508169142609902</v>
      </c>
      <c r="S2145" t="s">
        <v>5774</v>
      </c>
      <c r="T2145" t="s">
        <v>7256</v>
      </c>
      <c r="U2145" t="s">
        <v>7256</v>
      </c>
      <c r="V2145" t="s">
        <v>7256</v>
      </c>
      <c r="W2145">
        <v>2</v>
      </c>
      <c r="X2145" t="s">
        <v>9401</v>
      </c>
      <c r="Y2145">
        <v>0.5633769753164255</v>
      </c>
      <c r="Z2145" t="str">
        <f>HYPERLINK("Melting_Curves/meltCurve_sp_Q92797_SYMPK_HUMAN_.pdf", "Melting_Curves/meltCurve_sp_Q92797_SYMPK_HUMAN_.pdf")</f>
        <v>Melting_Curves/meltCurve_sp_Q92797_SYMPK_HUMAN_.pdf</v>
      </c>
      <c r="AA2145" t="s">
        <v>12997</v>
      </c>
      <c r="AB2145" t="s">
        <v>16570</v>
      </c>
    </row>
    <row r="2146" spans="1:28" x14ac:dyDescent="0.25">
      <c r="A2146" t="s">
        <v>2150</v>
      </c>
      <c r="B2146">
        <v>0.98018197421672304</v>
      </c>
      <c r="C2146">
        <v>0.96105356148046095</v>
      </c>
      <c r="D2146">
        <v>0.88986937986569803</v>
      </c>
      <c r="E2146">
        <v>0.72854004203854605</v>
      </c>
      <c r="F2146">
        <v>0.50975499689496495</v>
      </c>
      <c r="G2146">
        <v>0.30519983961056102</v>
      </c>
      <c r="H2146">
        <v>0.27961156934753401</v>
      </c>
      <c r="I2146">
        <v>0.22976340013133201</v>
      </c>
      <c r="J2146">
        <v>0.27700735879421401</v>
      </c>
      <c r="K2146">
        <v>0.23397831714943901</v>
      </c>
      <c r="L2146">
        <v>942.33209778006596</v>
      </c>
      <c r="M2146">
        <v>18.373069366057099</v>
      </c>
      <c r="N2146">
        <v>53.087116086851402</v>
      </c>
      <c r="O2146">
        <v>50.692762540098599</v>
      </c>
      <c r="P2146">
        <v>-6.9621353534649502E-2</v>
      </c>
      <c r="Q2146">
        <v>0.23167151284086401</v>
      </c>
      <c r="R2146">
        <v>0.99487437219415698</v>
      </c>
      <c r="S2146" t="s">
        <v>5775</v>
      </c>
      <c r="T2146" t="s">
        <v>7256</v>
      </c>
      <c r="U2146" t="s">
        <v>7256</v>
      </c>
      <c r="V2146" t="s">
        <v>7256</v>
      </c>
      <c r="W2146">
        <v>7</v>
      </c>
      <c r="X2146" t="s">
        <v>9402</v>
      </c>
      <c r="Y2146">
        <v>0.53322596683428647</v>
      </c>
      <c r="Z2146" t="str">
        <f>HYPERLINK("Melting_Curves/meltCurve_sp_Q92805_GOGA1_HUMAN_.pdf", "Melting_Curves/meltCurve_sp_Q92805_GOGA1_HUMAN_.pdf")</f>
        <v>Melting_Curves/meltCurve_sp_Q92805_GOGA1_HUMAN_.pdf</v>
      </c>
      <c r="AA2146" t="s">
        <v>12998</v>
      </c>
      <c r="AB2146" t="s">
        <v>16571</v>
      </c>
    </row>
    <row r="2147" spans="1:28" x14ac:dyDescent="0.25">
      <c r="A2147" t="s">
        <v>2151</v>
      </c>
      <c r="B2147">
        <v>0.98018197421672304</v>
      </c>
      <c r="C2147">
        <v>0.89060778469832602</v>
      </c>
      <c r="D2147">
        <v>0.91618676379735497</v>
      </c>
      <c r="E2147">
        <v>0.81259707713470197</v>
      </c>
      <c r="F2147">
        <v>0.74255927003736799</v>
      </c>
      <c r="G2147">
        <v>0.677545058607398</v>
      </c>
      <c r="H2147">
        <v>0.427861309384932</v>
      </c>
      <c r="I2147">
        <v>0.29045571776384099</v>
      </c>
      <c r="J2147">
        <v>0.13246993256692</v>
      </c>
      <c r="K2147">
        <v>6.6037930436884398E-2</v>
      </c>
      <c r="L2147">
        <v>667.19085622847899</v>
      </c>
      <c r="M2147">
        <v>11.3717436854706</v>
      </c>
      <c r="N2147">
        <v>58.670951718507801</v>
      </c>
      <c r="O2147">
        <v>56.944453150069698</v>
      </c>
      <c r="P2147">
        <v>-4.9939523948304497E-2</v>
      </c>
      <c r="Q2147">
        <v>0</v>
      </c>
      <c r="R2147">
        <v>0.96565224450758602</v>
      </c>
      <c r="S2147" t="s">
        <v>5776</v>
      </c>
      <c r="T2147" t="s">
        <v>7256</v>
      </c>
      <c r="U2147" t="s">
        <v>7256</v>
      </c>
      <c r="V2147" t="s">
        <v>7256</v>
      </c>
      <c r="W2147">
        <v>6</v>
      </c>
      <c r="X2147" t="s">
        <v>9403</v>
      </c>
      <c r="Y2147">
        <v>0.63099436143006193</v>
      </c>
      <c r="Z2147" t="str">
        <f>HYPERLINK("Melting_Curves/meltCurve_sp_Q92820_GGH_HUMAN_.pdf", "Melting_Curves/meltCurve_sp_Q92820_GGH_HUMAN_.pdf")</f>
        <v>Melting_Curves/meltCurve_sp_Q92820_GGH_HUMAN_.pdf</v>
      </c>
      <c r="AA2147" t="s">
        <v>12999</v>
      </c>
      <c r="AB2147" t="s">
        <v>16572</v>
      </c>
    </row>
    <row r="2148" spans="1:28" x14ac:dyDescent="0.25">
      <c r="A2148" t="s">
        <v>2152</v>
      </c>
      <c r="B2148">
        <v>0.98018197421672304</v>
      </c>
      <c r="C2148">
        <v>0.86324900984868502</v>
      </c>
      <c r="D2148">
        <v>0.87516798763579495</v>
      </c>
      <c r="E2148">
        <v>0.76146311252392096</v>
      </c>
      <c r="F2148">
        <v>0.51488204460744103</v>
      </c>
      <c r="G2148">
        <v>0.37872874940016998</v>
      </c>
      <c r="H2148">
        <v>0.105288786063982</v>
      </c>
      <c r="I2148">
        <v>6.6932351728981099E-2</v>
      </c>
      <c r="J2148">
        <v>9.9060988372324396E-2</v>
      </c>
      <c r="K2148">
        <v>7.9609517349360295E-2</v>
      </c>
      <c r="L2148">
        <v>679.70316241228704</v>
      </c>
      <c r="M2148">
        <v>12.679540231863299</v>
      </c>
      <c r="N2148">
        <v>53.606295617837198</v>
      </c>
      <c r="O2148">
        <v>52.3253543222486</v>
      </c>
      <c r="P2148">
        <v>-6.0592083001995201E-2</v>
      </c>
      <c r="Q2148">
        <v>0</v>
      </c>
      <c r="R2148">
        <v>0.98046450615911496</v>
      </c>
      <c r="S2148" t="s">
        <v>5777</v>
      </c>
      <c r="T2148" t="s">
        <v>7256</v>
      </c>
      <c r="U2148" t="s">
        <v>7256</v>
      </c>
      <c r="V2148" t="s">
        <v>7256</v>
      </c>
      <c r="W2148">
        <v>17</v>
      </c>
      <c r="X2148" t="s">
        <v>9404</v>
      </c>
      <c r="Y2148">
        <v>0.47911207705908959</v>
      </c>
      <c r="Z2148" t="str">
        <f>HYPERLINK("Melting_Curves/meltCurve_sp_Q92841_DDX17_HUMAN_.pdf", "Melting_Curves/meltCurve_sp_Q92841_DDX17_HUMAN_.pdf")</f>
        <v>Melting_Curves/meltCurve_sp_Q92841_DDX17_HUMAN_.pdf</v>
      </c>
      <c r="AA2148" t="s">
        <v>13000</v>
      </c>
      <c r="AB2148" t="s">
        <v>16573</v>
      </c>
    </row>
    <row r="2149" spans="1:28" x14ac:dyDescent="0.25">
      <c r="A2149" t="s">
        <v>2153</v>
      </c>
      <c r="B2149">
        <v>0.98018197421672304</v>
      </c>
      <c r="C2149">
        <v>0.86041538845599896</v>
      </c>
      <c r="D2149">
        <v>0.612788467818418</v>
      </c>
      <c r="E2149">
        <v>0.29255899703054999</v>
      </c>
      <c r="F2149">
        <v>0.15957986941077501</v>
      </c>
      <c r="G2149">
        <v>9.4941764821053501E-2</v>
      </c>
      <c r="H2149">
        <v>5.7680806285625698E-2</v>
      </c>
      <c r="I2149">
        <v>4.9617052633182702E-2</v>
      </c>
      <c r="J2149">
        <v>6.4556238794684903E-2</v>
      </c>
      <c r="K2149">
        <v>5.3011349450351401E-2</v>
      </c>
      <c r="L2149">
        <v>862.30536642515494</v>
      </c>
      <c r="M2149">
        <v>18.344603089028801</v>
      </c>
      <c r="N2149">
        <v>47.287171481020998</v>
      </c>
      <c r="O2149">
        <v>46.458042401017401</v>
      </c>
      <c r="P2149">
        <v>-9.3618987367887402E-2</v>
      </c>
      <c r="Q2149">
        <v>5.1676237421792802E-2</v>
      </c>
      <c r="R2149">
        <v>0.99946600259017704</v>
      </c>
      <c r="S2149" t="s">
        <v>5778</v>
      </c>
      <c r="T2149" t="s">
        <v>7256</v>
      </c>
      <c r="U2149" t="s">
        <v>7256</v>
      </c>
      <c r="V2149" t="s">
        <v>7256</v>
      </c>
      <c r="W2149">
        <v>10</v>
      </c>
      <c r="X2149" t="s">
        <v>9405</v>
      </c>
      <c r="Y2149">
        <v>0.28992233678536822</v>
      </c>
      <c r="Z2149" t="str">
        <f>HYPERLINK("Melting_Curves/meltCurve_sp_Q92878_RAD50_HUMAN_.pdf", "Melting_Curves/meltCurve_sp_Q92878_RAD50_HUMAN_.pdf")</f>
        <v>Melting_Curves/meltCurve_sp_Q92878_RAD50_HUMAN_.pdf</v>
      </c>
      <c r="AA2149" t="s">
        <v>13001</v>
      </c>
      <c r="AB2149" t="s">
        <v>16574</v>
      </c>
    </row>
    <row r="2150" spans="1:28" x14ac:dyDescent="0.25">
      <c r="A2150" t="s">
        <v>2154</v>
      </c>
      <c r="B2150">
        <v>0.98018197421672304</v>
      </c>
      <c r="C2150">
        <v>1.0314251171414699</v>
      </c>
      <c r="D2150">
        <v>0.89462746329119103</v>
      </c>
      <c r="E2150">
        <v>0.70159662367917897</v>
      </c>
      <c r="F2150">
        <v>0.41905049707425501</v>
      </c>
      <c r="G2150">
        <v>0.17259670938524799</v>
      </c>
      <c r="H2150">
        <v>0.113537669435763</v>
      </c>
      <c r="I2150">
        <v>8.7500774872589199E-2</v>
      </c>
      <c r="J2150">
        <v>9.4755734035470093E-2</v>
      </c>
      <c r="K2150">
        <v>8.45325930181164E-2</v>
      </c>
      <c r="L2150">
        <v>1085.54225656991</v>
      </c>
      <c r="M2150">
        <v>21.032397335748399</v>
      </c>
      <c r="N2150">
        <v>52.028686042613998</v>
      </c>
      <c r="O2150">
        <v>51.153074962549297</v>
      </c>
      <c r="P2150">
        <v>-9.4841907924559404E-2</v>
      </c>
      <c r="Q2150">
        <v>7.7361330688298605E-2</v>
      </c>
      <c r="R2150">
        <v>0.99699589399104804</v>
      </c>
      <c r="S2150" t="s">
        <v>5779</v>
      </c>
      <c r="T2150" t="s">
        <v>7256</v>
      </c>
      <c r="U2150" t="s">
        <v>7256</v>
      </c>
      <c r="V2150" t="s">
        <v>7256</v>
      </c>
      <c r="W2150">
        <v>7</v>
      </c>
      <c r="X2150" t="s">
        <v>9406</v>
      </c>
      <c r="Y2150">
        <v>0.44616583780473679</v>
      </c>
      <c r="Z2150" t="str">
        <f>HYPERLINK("Melting_Curves/meltCurve_sp_Q92879_5_CELF1_HUMAN_.pdf", "Melting_Curves/meltCurve_sp_Q92879_5_CELF1_HUMAN_.pdf")</f>
        <v>Melting_Curves/meltCurve_sp_Q92879_5_CELF1_HUMAN_.pdf</v>
      </c>
      <c r="AA2150" t="s">
        <v>13002</v>
      </c>
      <c r="AB2150" t="s">
        <v>16575</v>
      </c>
    </row>
    <row r="2151" spans="1:28" x14ac:dyDescent="0.25">
      <c r="A2151" t="s">
        <v>2155</v>
      </c>
      <c r="B2151">
        <v>0.98018197421672304</v>
      </c>
      <c r="C2151">
        <v>1.04138470553919</v>
      </c>
      <c r="D2151">
        <v>0.97153073043377502</v>
      </c>
      <c r="E2151">
        <v>0.77575251159367298</v>
      </c>
      <c r="F2151">
        <v>0.59885111000784796</v>
      </c>
      <c r="G2151">
        <v>0.31268407618456001</v>
      </c>
      <c r="H2151">
        <v>0.19710761115646</v>
      </c>
      <c r="I2151">
        <v>0.18571085609902899</v>
      </c>
      <c r="J2151">
        <v>0.21930513996312301</v>
      </c>
      <c r="K2151">
        <v>0.328586150477713</v>
      </c>
      <c r="L2151">
        <v>1249.2770666920201</v>
      </c>
      <c r="M2151">
        <v>23.844610583436001</v>
      </c>
      <c r="N2151">
        <v>53.731162858206197</v>
      </c>
      <c r="O2151">
        <v>52.028099643760299</v>
      </c>
      <c r="P2151">
        <v>-8.8915585316775403E-2</v>
      </c>
      <c r="Q2151">
        <v>0.223969902421917</v>
      </c>
      <c r="R2151">
        <v>0.98123757830387703</v>
      </c>
      <c r="S2151" t="s">
        <v>5780</v>
      </c>
      <c r="T2151" t="s">
        <v>7256</v>
      </c>
      <c r="U2151" t="s">
        <v>7256</v>
      </c>
      <c r="V2151" t="s">
        <v>7256</v>
      </c>
      <c r="W2151">
        <v>2</v>
      </c>
      <c r="X2151" t="s">
        <v>9407</v>
      </c>
      <c r="Y2151">
        <v>0.55231046970723574</v>
      </c>
      <c r="Z2151" t="str">
        <f>HYPERLINK("Melting_Curves/meltCurve_sp_Q92882_OSTF1_HUMAN_.pdf", "Melting_Curves/meltCurve_sp_Q92882_OSTF1_HUMAN_.pdf")</f>
        <v>Melting_Curves/meltCurve_sp_Q92882_OSTF1_HUMAN_.pdf</v>
      </c>
      <c r="AA2151" t="s">
        <v>13003</v>
      </c>
      <c r="AB2151" t="s">
        <v>16576</v>
      </c>
    </row>
    <row r="2152" spans="1:28" x14ac:dyDescent="0.25">
      <c r="A2152" t="s">
        <v>2156</v>
      </c>
      <c r="B2152">
        <v>0.98018197421672304</v>
      </c>
      <c r="C2152">
        <v>0.98804826379510702</v>
      </c>
      <c r="D2152">
        <v>0.82939708202253104</v>
      </c>
      <c r="E2152">
        <v>0.52395819571263502</v>
      </c>
      <c r="F2152">
        <v>0.35932191298827698</v>
      </c>
      <c r="G2152">
        <v>0.19189432463398301</v>
      </c>
      <c r="H2152">
        <v>0.16204729119283601</v>
      </c>
      <c r="I2152">
        <v>8.3102055976132794E-2</v>
      </c>
      <c r="J2152">
        <v>8.4408739217002302E-2</v>
      </c>
      <c r="K2152">
        <v>7.3234319720202404E-2</v>
      </c>
      <c r="L2152">
        <v>827.15463896289896</v>
      </c>
      <c r="M2152">
        <v>16.496627738030998</v>
      </c>
      <c r="N2152">
        <v>50.656708193584201</v>
      </c>
      <c r="O2152">
        <v>49.421402479435898</v>
      </c>
      <c r="P2152">
        <v>-7.70017216868846E-2</v>
      </c>
      <c r="Q2152">
        <v>7.7322117460852199E-2</v>
      </c>
      <c r="R2152">
        <v>0.99636588879079202</v>
      </c>
      <c r="S2152" t="s">
        <v>5781</v>
      </c>
      <c r="T2152" t="s">
        <v>7256</v>
      </c>
      <c r="U2152" t="s">
        <v>7256</v>
      </c>
      <c r="V2152" t="s">
        <v>7256</v>
      </c>
      <c r="W2152">
        <v>7</v>
      </c>
      <c r="X2152" t="s">
        <v>9408</v>
      </c>
      <c r="Y2152">
        <v>0.40768231824905099</v>
      </c>
      <c r="Z2152" t="str">
        <f>HYPERLINK("Melting_Curves/meltCurve_sp_Q92888_2_ARHG1_HUMAN_.pdf", "Melting_Curves/meltCurve_sp_Q92888_2_ARHG1_HUMAN_.pdf")</f>
        <v>Melting_Curves/meltCurve_sp_Q92888_2_ARHG1_HUMAN_.pdf</v>
      </c>
      <c r="AA2152" t="s">
        <v>13004</v>
      </c>
      <c r="AB2152" t="s">
        <v>16577</v>
      </c>
    </row>
    <row r="2153" spans="1:28" x14ac:dyDescent="0.25">
      <c r="A2153" t="s">
        <v>2157</v>
      </c>
      <c r="B2153">
        <v>0.98018197421672304</v>
      </c>
      <c r="C2153">
        <v>0.99932040819249701</v>
      </c>
      <c r="D2153">
        <v>0.91603702132950504</v>
      </c>
      <c r="E2153">
        <v>0.75753590515485603</v>
      </c>
      <c r="F2153">
        <v>0.53033670733985905</v>
      </c>
      <c r="G2153">
        <v>0.31074786715306502</v>
      </c>
      <c r="H2153">
        <v>0.26517358700568</v>
      </c>
      <c r="I2153">
        <v>0.2265376611138</v>
      </c>
      <c r="J2153">
        <v>0.150003108250196</v>
      </c>
      <c r="K2153">
        <v>0.19909833465837501</v>
      </c>
      <c r="L2153">
        <v>933.38453906551297</v>
      </c>
      <c r="M2153">
        <v>17.875379407976201</v>
      </c>
      <c r="N2153">
        <v>53.536632174113102</v>
      </c>
      <c r="O2153">
        <v>51.575862692011697</v>
      </c>
      <c r="P2153">
        <v>-7.1203781892542201E-2</v>
      </c>
      <c r="Q2153">
        <v>0.178264097431274</v>
      </c>
      <c r="R2153">
        <v>0.99581046188116495</v>
      </c>
      <c r="S2153" t="s">
        <v>5782</v>
      </c>
      <c r="T2153" t="s">
        <v>7256</v>
      </c>
      <c r="U2153" t="s">
        <v>7256</v>
      </c>
      <c r="V2153" t="s">
        <v>7256</v>
      </c>
      <c r="W2153">
        <v>7</v>
      </c>
      <c r="X2153" t="s">
        <v>9409</v>
      </c>
      <c r="Y2153">
        <v>0.52667322919182213</v>
      </c>
      <c r="Z2153" t="str">
        <f>HYPERLINK("Melting_Curves/meltCurve_sp_Q92890_3_UFD1_HUMAN_.pdf", "Melting_Curves/meltCurve_sp_Q92890_3_UFD1_HUMAN_.pdf")</f>
        <v>Melting_Curves/meltCurve_sp_Q92890_3_UFD1_HUMAN_.pdf</v>
      </c>
      <c r="AA2153" t="s">
        <v>13005</v>
      </c>
      <c r="AB2153" t="s">
        <v>16578</v>
      </c>
    </row>
    <row r="2154" spans="1:28" x14ac:dyDescent="0.25">
      <c r="A2154" t="s">
        <v>2158</v>
      </c>
      <c r="B2154">
        <v>0.98018197421672304</v>
      </c>
      <c r="C2154">
        <v>0.93980842804400699</v>
      </c>
      <c r="D2154">
        <v>0.79294277517293799</v>
      </c>
      <c r="E2154">
        <v>0.50759871853740302</v>
      </c>
      <c r="F2154">
        <v>0.26527832376669802</v>
      </c>
      <c r="G2154">
        <v>0.17164828728376599</v>
      </c>
      <c r="H2154">
        <v>0.13953686604031801</v>
      </c>
      <c r="I2154">
        <v>9.9414752621149696E-2</v>
      </c>
      <c r="J2154">
        <v>5.7234323953810499E-2</v>
      </c>
      <c r="K2154">
        <v>4.8762989562115298E-2</v>
      </c>
      <c r="L2154">
        <v>829.675616848446</v>
      </c>
      <c r="M2154">
        <v>16.764015945238398</v>
      </c>
      <c r="N2154">
        <v>49.910563975010497</v>
      </c>
      <c r="O2154">
        <v>48.8033023642746</v>
      </c>
      <c r="P2154">
        <v>-8.0242497902724003E-2</v>
      </c>
      <c r="Q2154">
        <v>6.5655100207530404E-2</v>
      </c>
      <c r="R2154">
        <v>0.99691515779826001</v>
      </c>
      <c r="S2154" t="s">
        <v>5783</v>
      </c>
      <c r="T2154" t="s">
        <v>7256</v>
      </c>
      <c r="U2154" t="s">
        <v>7256</v>
      </c>
      <c r="V2154" t="s">
        <v>7256</v>
      </c>
      <c r="W2154">
        <v>22</v>
      </c>
      <c r="X2154" t="s">
        <v>9410</v>
      </c>
      <c r="Y2154">
        <v>0.37967264425119929</v>
      </c>
      <c r="Z2154" t="str">
        <f>HYPERLINK("Melting_Curves/meltCurve_sp_Q92900_2_RENT1_HUMAN_.pdf", "Melting_Curves/meltCurve_sp_Q92900_2_RENT1_HUMAN_.pdf")</f>
        <v>Melting_Curves/meltCurve_sp_Q92900_2_RENT1_HUMAN_.pdf</v>
      </c>
      <c r="AA2154" t="s">
        <v>13006</v>
      </c>
      <c r="AB2154" t="s">
        <v>16579</v>
      </c>
    </row>
    <row r="2155" spans="1:28" x14ac:dyDescent="0.25">
      <c r="A2155" t="s">
        <v>2159</v>
      </c>
      <c r="B2155">
        <v>0.98018197421672304</v>
      </c>
      <c r="C2155">
        <v>0.92372050918177995</v>
      </c>
      <c r="D2155">
        <v>0.90622082919133695</v>
      </c>
      <c r="E2155">
        <v>0.74131155106320401</v>
      </c>
      <c r="F2155">
        <v>0.63346779282653998</v>
      </c>
      <c r="G2155">
        <v>0.24682697583864499</v>
      </c>
      <c r="H2155">
        <v>9.3742260206538697E-2</v>
      </c>
      <c r="I2155">
        <v>6.6110517143344594E-2</v>
      </c>
      <c r="J2155">
        <v>0.108495010077233</v>
      </c>
      <c r="K2155">
        <v>5.6105779244561997E-2</v>
      </c>
      <c r="L2155">
        <v>903.06898169355497</v>
      </c>
      <c r="M2155">
        <v>16.870014369264901</v>
      </c>
      <c r="N2155">
        <v>53.710737237014101</v>
      </c>
      <c r="O2155">
        <v>52.795803379456899</v>
      </c>
      <c r="P2155">
        <v>-7.7696127154696606E-2</v>
      </c>
      <c r="Q2155">
        <v>2.7441726337545401E-2</v>
      </c>
      <c r="R2155">
        <v>0.98672630589087496</v>
      </c>
      <c r="S2155" t="s">
        <v>5784</v>
      </c>
      <c r="T2155" t="s">
        <v>7256</v>
      </c>
      <c r="U2155" t="s">
        <v>7256</v>
      </c>
      <c r="V2155" t="s">
        <v>7256</v>
      </c>
      <c r="W2155">
        <v>4</v>
      </c>
      <c r="X2155" t="s">
        <v>9411</v>
      </c>
      <c r="Y2155">
        <v>0.48345676185249592</v>
      </c>
      <c r="Z2155" t="str">
        <f>HYPERLINK("Melting_Curves/meltCurve_sp_Q92905_CSN5_HUMAN_.pdf", "Melting_Curves/meltCurve_sp_Q92905_CSN5_HUMAN_.pdf")</f>
        <v>Melting_Curves/meltCurve_sp_Q92905_CSN5_HUMAN_.pdf</v>
      </c>
      <c r="AA2155" t="s">
        <v>13007</v>
      </c>
      <c r="AB2155" t="s">
        <v>16580</v>
      </c>
    </row>
    <row r="2156" spans="1:28" x14ac:dyDescent="0.25">
      <c r="A2156" t="s">
        <v>2160</v>
      </c>
      <c r="B2156">
        <v>0.98018197421672304</v>
      </c>
      <c r="C2156">
        <v>0.92604736014389299</v>
      </c>
      <c r="D2156">
        <v>0.85348669958006396</v>
      </c>
      <c r="E2156">
        <v>0.68563744147685901</v>
      </c>
      <c r="F2156">
        <v>0.42653225769444297</v>
      </c>
      <c r="G2156">
        <v>0.27053322443860001</v>
      </c>
      <c r="H2156">
        <v>0.237985123474796</v>
      </c>
      <c r="I2156">
        <v>0.22969410104705101</v>
      </c>
      <c r="J2156">
        <v>0.231297060111813</v>
      </c>
      <c r="K2156">
        <v>0.337455396913872</v>
      </c>
      <c r="L2156">
        <v>975.23773982053604</v>
      </c>
      <c r="M2156">
        <v>19.4350416103713</v>
      </c>
      <c r="N2156">
        <v>51.943579121639701</v>
      </c>
      <c r="O2156">
        <v>49.657162624216902</v>
      </c>
      <c r="P2156">
        <v>-7.4209238538346295E-2</v>
      </c>
      <c r="Q2156">
        <v>0.24159976976274999</v>
      </c>
      <c r="R2156">
        <v>0.97904060004386195</v>
      </c>
      <c r="S2156" t="s">
        <v>5785</v>
      </c>
      <c r="T2156" t="s">
        <v>7256</v>
      </c>
      <c r="U2156" t="s">
        <v>7256</v>
      </c>
      <c r="V2156" t="s">
        <v>7256</v>
      </c>
      <c r="W2156">
        <v>8</v>
      </c>
      <c r="X2156" t="s">
        <v>9412</v>
      </c>
      <c r="Y2156">
        <v>0.51008486935565189</v>
      </c>
      <c r="Z2156" t="str">
        <f>HYPERLINK("Melting_Curves/meltCurve_sp_Q92917_GPKOW_HUMAN_.pdf", "Melting_Curves/meltCurve_sp_Q92917_GPKOW_HUMAN_.pdf")</f>
        <v>Melting_Curves/meltCurve_sp_Q92917_GPKOW_HUMAN_.pdf</v>
      </c>
      <c r="AA2156" t="s">
        <v>13008</v>
      </c>
      <c r="AB2156" t="s">
        <v>16581</v>
      </c>
    </row>
    <row r="2157" spans="1:28" x14ac:dyDescent="0.25">
      <c r="A2157" t="s">
        <v>2161</v>
      </c>
      <c r="B2157">
        <v>0.98018197421672304</v>
      </c>
      <c r="C2157">
        <v>0.99509600637283502</v>
      </c>
      <c r="D2157">
        <v>0.91634428029821002</v>
      </c>
      <c r="E2157">
        <v>0.82178784657160098</v>
      </c>
      <c r="F2157">
        <v>0.73616160890832005</v>
      </c>
      <c r="G2157">
        <v>0.63945914951729799</v>
      </c>
      <c r="H2157">
        <v>0.65077632291896503</v>
      </c>
      <c r="I2157">
        <v>0.73844078397218804</v>
      </c>
      <c r="J2157">
        <v>0.73868064991573601</v>
      </c>
      <c r="K2157">
        <v>0.86757402029105202</v>
      </c>
      <c r="L2157">
        <v>1272.71079005142</v>
      </c>
      <c r="M2157">
        <v>26.5648744512484</v>
      </c>
      <c r="O2157">
        <v>47.640509750658602</v>
      </c>
      <c r="P2157">
        <v>-3.79923952116702E-2</v>
      </c>
      <c r="Q2157">
        <v>0.72746597120760803</v>
      </c>
      <c r="R2157">
        <v>0.75829483971908296</v>
      </c>
      <c r="S2157" t="s">
        <v>5786</v>
      </c>
      <c r="T2157" t="s">
        <v>7256</v>
      </c>
      <c r="U2157" t="s">
        <v>7256</v>
      </c>
      <c r="V2157" t="s">
        <v>7256</v>
      </c>
      <c r="W2157">
        <v>1</v>
      </c>
      <c r="X2157" t="s">
        <v>9413</v>
      </c>
      <c r="Y2157">
        <v>0.80143764665216166</v>
      </c>
      <c r="Z2157" t="str">
        <f>HYPERLINK("Melting_Curves/meltCurve_sp_Q92934_BAD_HUMAN_.pdf", "Melting_Curves/meltCurve_sp_Q92934_BAD_HUMAN_.pdf")</f>
        <v>Melting_Curves/meltCurve_sp_Q92934_BAD_HUMAN_.pdf</v>
      </c>
      <c r="AA2157" t="s">
        <v>13009</v>
      </c>
      <c r="AB2157" t="s">
        <v>16582</v>
      </c>
    </row>
    <row r="2158" spans="1:28" x14ac:dyDescent="0.25">
      <c r="A2158" t="s">
        <v>2162</v>
      </c>
      <c r="B2158">
        <v>0.98018197421672304</v>
      </c>
      <c r="C2158">
        <v>0.97906164384334704</v>
      </c>
      <c r="D2158">
        <v>0.95457477089506504</v>
      </c>
      <c r="E2158">
        <v>0.82581239831234499</v>
      </c>
      <c r="F2158">
        <v>0.689080665306669</v>
      </c>
      <c r="G2158">
        <v>0.46290905367924201</v>
      </c>
      <c r="H2158">
        <v>0.50572694189588596</v>
      </c>
      <c r="I2158">
        <v>0.55031654243126205</v>
      </c>
      <c r="J2158">
        <v>0.59391665102695002</v>
      </c>
      <c r="K2158">
        <v>0.713794427508045</v>
      </c>
      <c r="L2158">
        <v>1639.7780411487099</v>
      </c>
      <c r="M2158">
        <v>32.3530002932714</v>
      </c>
      <c r="O2158">
        <v>50.491513916794197</v>
      </c>
      <c r="P2158">
        <v>-6.9143604372431403E-2</v>
      </c>
      <c r="Q2158">
        <v>0.56836807017847801</v>
      </c>
      <c r="R2158">
        <v>0.87999524459468703</v>
      </c>
      <c r="S2158" t="s">
        <v>5787</v>
      </c>
      <c r="T2158" t="s">
        <v>7256</v>
      </c>
      <c r="U2158" t="s">
        <v>7256</v>
      </c>
      <c r="V2158" t="s">
        <v>7256</v>
      </c>
      <c r="W2158">
        <v>32</v>
      </c>
      <c r="X2158" t="s">
        <v>9414</v>
      </c>
      <c r="Y2158">
        <v>0.72440525288259849</v>
      </c>
      <c r="Z2158" t="str">
        <f>HYPERLINK("Melting_Curves/meltCurve_sp_Q92945_FUBP2_HUMAN_.pdf", "Melting_Curves/meltCurve_sp_Q92945_FUBP2_HUMAN_.pdf")</f>
        <v>Melting_Curves/meltCurve_sp_Q92945_FUBP2_HUMAN_.pdf</v>
      </c>
      <c r="AA2158" t="s">
        <v>13010</v>
      </c>
      <c r="AB2158" t="s">
        <v>16583</v>
      </c>
    </row>
    <row r="2159" spans="1:28" x14ac:dyDescent="0.25">
      <c r="A2159" t="s">
        <v>2163</v>
      </c>
      <c r="B2159">
        <v>0.98018197421672304</v>
      </c>
      <c r="C2159">
        <v>0.92910227300808601</v>
      </c>
      <c r="D2159">
        <v>0.61778148819927503</v>
      </c>
      <c r="E2159">
        <v>0.31761773270344101</v>
      </c>
      <c r="F2159">
        <v>0.183845979842197</v>
      </c>
      <c r="G2159">
        <v>0.120279661398263</v>
      </c>
      <c r="H2159">
        <v>6.9920995825068097E-2</v>
      </c>
      <c r="I2159">
        <v>4.8126392554519601E-2</v>
      </c>
      <c r="J2159">
        <v>4.0077923512425999E-2</v>
      </c>
      <c r="K2159">
        <v>2.1175473274483499E-2</v>
      </c>
      <c r="L2159">
        <v>861.29119690808398</v>
      </c>
      <c r="M2159">
        <v>18.147455807724501</v>
      </c>
      <c r="N2159">
        <v>47.710789770313802</v>
      </c>
      <c r="O2159">
        <v>46.895646804526002</v>
      </c>
      <c r="P2159">
        <v>-9.2359110448203205E-2</v>
      </c>
      <c r="Q2159">
        <v>4.5368108944764701E-2</v>
      </c>
      <c r="R2159">
        <v>0.995030625734869</v>
      </c>
      <c r="S2159" t="s">
        <v>5788</v>
      </c>
      <c r="T2159" t="s">
        <v>7256</v>
      </c>
      <c r="U2159" t="s">
        <v>7256</v>
      </c>
      <c r="V2159" t="s">
        <v>7256</v>
      </c>
      <c r="W2159">
        <v>11</v>
      </c>
      <c r="X2159" t="s">
        <v>9415</v>
      </c>
      <c r="Y2159">
        <v>0.2997351113201035</v>
      </c>
      <c r="Z2159" t="str">
        <f>HYPERLINK("Melting_Curves/meltCurve_sp_Q92947_GCDH_HUMAN_.pdf", "Melting_Curves/meltCurve_sp_Q92947_GCDH_HUMAN_.pdf")</f>
        <v>Melting_Curves/meltCurve_sp_Q92947_GCDH_HUMAN_.pdf</v>
      </c>
      <c r="AA2159" t="s">
        <v>13011</v>
      </c>
      <c r="AB2159" t="s">
        <v>16584</v>
      </c>
    </row>
    <row r="2160" spans="1:28" x14ac:dyDescent="0.25">
      <c r="A2160" t="s">
        <v>2164</v>
      </c>
      <c r="B2160">
        <v>0.98018197421672304</v>
      </c>
      <c r="C2160">
        <v>0.93765807886648</v>
      </c>
      <c r="D2160">
        <v>0.88364452572220797</v>
      </c>
      <c r="E2160">
        <v>0.77176164594376495</v>
      </c>
      <c r="F2160">
        <v>0.53155345150972499</v>
      </c>
      <c r="G2160">
        <v>0.21010910210172301</v>
      </c>
      <c r="H2160">
        <v>0.129572927317681</v>
      </c>
      <c r="I2160">
        <v>9.13987364406426E-2</v>
      </c>
      <c r="J2160">
        <v>7.8795578722459805E-2</v>
      </c>
      <c r="K2160">
        <v>7.6022206208418097E-2</v>
      </c>
      <c r="L2160">
        <v>954.707212353822</v>
      </c>
      <c r="M2160">
        <v>18.085794642631701</v>
      </c>
      <c r="N2160">
        <v>53.117072581710197</v>
      </c>
      <c r="O2160">
        <v>52.155008024876302</v>
      </c>
      <c r="P2160">
        <v>-8.2097958691635595E-2</v>
      </c>
      <c r="Q2160">
        <v>5.3044128299532298E-2</v>
      </c>
      <c r="R2160">
        <v>0.99384947078645602</v>
      </c>
      <c r="S2160" t="s">
        <v>5789</v>
      </c>
      <c r="T2160" t="s">
        <v>7256</v>
      </c>
      <c r="U2160" t="s">
        <v>7256</v>
      </c>
      <c r="V2160" t="s">
        <v>7256</v>
      </c>
      <c r="W2160">
        <v>13</v>
      </c>
      <c r="X2160" t="s">
        <v>9416</v>
      </c>
      <c r="Y2160">
        <v>0.47213595871947611</v>
      </c>
      <c r="Z2160" t="str">
        <f>HYPERLINK("Melting_Curves/meltCurve_sp_Q92973_2_TNPO1_HUMAN_.pdf", "Melting_Curves/meltCurve_sp_Q92973_2_TNPO1_HUMAN_.pdf")</f>
        <v>Melting_Curves/meltCurve_sp_Q92973_2_TNPO1_HUMAN_.pdf</v>
      </c>
      <c r="AA2160" t="s">
        <v>13012</v>
      </c>
      <c r="AB2160" t="s">
        <v>16585</v>
      </c>
    </row>
    <row r="2161" spans="1:28" x14ac:dyDescent="0.25">
      <c r="A2161" t="s">
        <v>2165</v>
      </c>
      <c r="B2161">
        <v>0.98018197421672304</v>
      </c>
      <c r="C2161">
        <v>0.94036806082056601</v>
      </c>
      <c r="D2161">
        <v>0.87797241176235397</v>
      </c>
      <c r="E2161">
        <v>0.64044704040558598</v>
      </c>
      <c r="F2161">
        <v>0.27033198697028499</v>
      </c>
      <c r="G2161">
        <v>0.13882173698070299</v>
      </c>
      <c r="H2161">
        <v>8.7556288927817597E-2</v>
      </c>
      <c r="I2161">
        <v>6.7757844923684099E-2</v>
      </c>
      <c r="J2161">
        <v>8.7937711709273905E-2</v>
      </c>
      <c r="K2161">
        <v>6.3807677956499997E-2</v>
      </c>
      <c r="L2161">
        <v>1152.61356531302</v>
      </c>
      <c r="M2161">
        <v>22.785064542153801</v>
      </c>
      <c r="N2161">
        <v>50.905454276985701</v>
      </c>
      <c r="O2161">
        <v>50.201539991892197</v>
      </c>
      <c r="P2161">
        <v>-0.105919325830188</v>
      </c>
      <c r="Q2161">
        <v>6.6544676180153903E-2</v>
      </c>
      <c r="R2161">
        <v>0.99466066097253003</v>
      </c>
      <c r="S2161" t="s">
        <v>5790</v>
      </c>
      <c r="T2161" t="s">
        <v>7256</v>
      </c>
      <c r="U2161" t="s">
        <v>7256</v>
      </c>
      <c r="V2161" t="s">
        <v>7256</v>
      </c>
      <c r="W2161">
        <v>38</v>
      </c>
      <c r="X2161" t="s">
        <v>9417</v>
      </c>
      <c r="Y2161">
        <v>0.40602217501242799</v>
      </c>
      <c r="Z2161" t="str">
        <f>HYPERLINK("Melting_Curves/meltCurve_sp_Q93008_1_USP9X_HUMAN_.pdf", "Melting_Curves/meltCurve_sp_Q93008_1_USP9X_HUMAN_.pdf")</f>
        <v>Melting_Curves/meltCurve_sp_Q93008_1_USP9X_HUMAN_.pdf</v>
      </c>
      <c r="AA2161" t="s">
        <v>13013</v>
      </c>
      <c r="AB2161" t="s">
        <v>16586</v>
      </c>
    </row>
    <row r="2162" spans="1:28" x14ac:dyDescent="0.25">
      <c r="A2162" t="s">
        <v>2166</v>
      </c>
      <c r="B2162">
        <v>0.98018197421672304</v>
      </c>
      <c r="C2162">
        <v>0.94370000655966801</v>
      </c>
      <c r="D2162">
        <v>0.88991940040815198</v>
      </c>
      <c r="E2162">
        <v>0.78012905080102102</v>
      </c>
      <c r="F2162">
        <v>0.57550788865066704</v>
      </c>
      <c r="G2162">
        <v>0.31731955037103698</v>
      </c>
      <c r="H2162">
        <v>7.5323425488887999E-2</v>
      </c>
      <c r="I2162">
        <v>6.1757248547189197E-2</v>
      </c>
      <c r="J2162">
        <v>6.0753313312207499E-2</v>
      </c>
      <c r="K2162">
        <v>3.9377065279227998E-2</v>
      </c>
      <c r="L2162">
        <v>849.61295394428703</v>
      </c>
      <c r="M2162">
        <v>15.7847601555784</v>
      </c>
      <c r="N2162">
        <v>53.824889169650397</v>
      </c>
      <c r="O2162">
        <v>52.983212822201502</v>
      </c>
      <c r="P2162">
        <v>-7.4486167282174803E-2</v>
      </c>
      <c r="Q2162">
        <v>0</v>
      </c>
      <c r="R2162">
        <v>0.99384649070282005</v>
      </c>
      <c r="S2162" t="s">
        <v>5791</v>
      </c>
      <c r="T2162" t="s">
        <v>7256</v>
      </c>
      <c r="U2162" t="s">
        <v>7256</v>
      </c>
      <c r="V2162" t="s">
        <v>7256</v>
      </c>
      <c r="W2162">
        <v>19</v>
      </c>
      <c r="X2162" t="s">
        <v>9418</v>
      </c>
      <c r="Y2162">
        <v>0.48020679502008001</v>
      </c>
      <c r="Z2162" t="str">
        <f>HYPERLINK("Melting_Curves/meltCurve_sp_Q93034_CUL5_HUMAN_.pdf", "Melting_Curves/meltCurve_sp_Q93034_CUL5_HUMAN_.pdf")</f>
        <v>Melting_Curves/meltCurve_sp_Q93034_CUL5_HUMAN_.pdf</v>
      </c>
      <c r="AA2162" t="s">
        <v>13014</v>
      </c>
      <c r="AB2162" t="s">
        <v>16587</v>
      </c>
    </row>
    <row r="2163" spans="1:28" x14ac:dyDescent="0.25">
      <c r="A2163" t="s">
        <v>2167</v>
      </c>
      <c r="B2163">
        <v>0.98018197421672304</v>
      </c>
      <c r="C2163">
        <v>0.96263492557776498</v>
      </c>
      <c r="D2163">
        <v>0.88314947194765303</v>
      </c>
      <c r="E2163">
        <v>0.75806549529282896</v>
      </c>
      <c r="F2163">
        <v>0.61079327090971802</v>
      </c>
      <c r="G2163">
        <v>0.43588747668447703</v>
      </c>
      <c r="H2163">
        <v>0.40548044696445101</v>
      </c>
      <c r="I2163">
        <v>0.46584122351889101</v>
      </c>
      <c r="J2163">
        <v>0.49304714944070199</v>
      </c>
      <c r="K2163">
        <v>0.567911046273193</v>
      </c>
      <c r="L2163">
        <v>1036.2920788145</v>
      </c>
      <c r="M2163">
        <v>20.775608966532001</v>
      </c>
      <c r="N2163">
        <v>57.528863707955999</v>
      </c>
      <c r="O2163">
        <v>49.424975014766503</v>
      </c>
      <c r="P2163">
        <v>-5.58631625451761E-2</v>
      </c>
      <c r="Q2163">
        <v>0.46842303716810302</v>
      </c>
      <c r="R2163">
        <v>0.94578710750238404</v>
      </c>
      <c r="S2163" t="s">
        <v>5792</v>
      </c>
      <c r="T2163" t="s">
        <v>7256</v>
      </c>
      <c r="U2163" t="s">
        <v>7256</v>
      </c>
      <c r="V2163" t="s">
        <v>7256</v>
      </c>
      <c r="W2163">
        <v>23</v>
      </c>
      <c r="X2163" t="s">
        <v>9419</v>
      </c>
      <c r="Y2163">
        <v>0.65036289241847589</v>
      </c>
      <c r="Z2163" t="str">
        <f>HYPERLINK("Melting_Curves/meltCurve_sp_Q93052_LPP_HUMAN_.pdf", "Melting_Curves/meltCurve_sp_Q93052_LPP_HUMAN_.pdf")</f>
        <v>Melting_Curves/meltCurve_sp_Q93052_LPP_HUMAN_.pdf</v>
      </c>
      <c r="AA2163" t="s">
        <v>13015</v>
      </c>
      <c r="AB2163" t="s">
        <v>16588</v>
      </c>
    </row>
    <row r="2164" spans="1:28" x14ac:dyDescent="0.25">
      <c r="A2164" t="s">
        <v>2168</v>
      </c>
      <c r="B2164">
        <v>0.98018197421672304</v>
      </c>
      <c r="C2164">
        <v>0.73576717819045101</v>
      </c>
      <c r="D2164">
        <v>0.72108767101298898</v>
      </c>
      <c r="E2164">
        <v>0.614550901363764</v>
      </c>
      <c r="F2164">
        <v>0.27681275433532099</v>
      </c>
      <c r="G2164">
        <v>0.20049999462222601</v>
      </c>
      <c r="H2164">
        <v>4.3453000463835302E-2</v>
      </c>
      <c r="I2164">
        <v>7.9804201344890302E-2</v>
      </c>
      <c r="J2164">
        <v>0</v>
      </c>
      <c r="K2164">
        <v>0</v>
      </c>
      <c r="L2164">
        <v>582.14661086434205</v>
      </c>
      <c r="M2164">
        <v>11.691883027224</v>
      </c>
      <c r="N2164">
        <v>49.790663262350797</v>
      </c>
      <c r="O2164">
        <v>48.401021022278698</v>
      </c>
      <c r="P2164">
        <v>-6.04067873970313E-2</v>
      </c>
      <c r="Q2164">
        <v>0</v>
      </c>
      <c r="R2164">
        <v>0.962390481055725</v>
      </c>
      <c r="S2164" t="s">
        <v>5793</v>
      </c>
      <c r="T2164" t="s">
        <v>7256</v>
      </c>
      <c r="U2164" t="s">
        <v>7256</v>
      </c>
      <c r="V2164" t="s">
        <v>7256</v>
      </c>
      <c r="W2164">
        <v>1</v>
      </c>
      <c r="X2164" t="s">
        <v>9420</v>
      </c>
      <c r="Y2164">
        <v>0.36286471073290649</v>
      </c>
      <c r="Z2164" t="str">
        <f>HYPERLINK("Melting_Curves/meltCurve_sp_Q93073_2_SBP2L_HUMAN_.pdf", "Melting_Curves/meltCurve_sp_Q93073_2_SBP2L_HUMAN_.pdf")</f>
        <v>Melting_Curves/meltCurve_sp_Q93073_2_SBP2L_HUMAN_.pdf</v>
      </c>
      <c r="AA2164" t="s">
        <v>13016</v>
      </c>
      <c r="AB2164" t="s">
        <v>16589</v>
      </c>
    </row>
    <row r="2165" spans="1:28" x14ac:dyDescent="0.25">
      <c r="A2165" t="s">
        <v>2169</v>
      </c>
      <c r="B2165">
        <v>0.98018197421672304</v>
      </c>
      <c r="C2165">
        <v>1.0639842983525001</v>
      </c>
      <c r="D2165">
        <v>0.84165103511145201</v>
      </c>
      <c r="E2165">
        <v>0.57206487551098195</v>
      </c>
      <c r="F2165">
        <v>0.29315596276906702</v>
      </c>
      <c r="G2165">
        <v>0.26416067228234802</v>
      </c>
      <c r="H2165">
        <v>0.16913626230543199</v>
      </c>
      <c r="I2165">
        <v>0.123523034621999</v>
      </c>
      <c r="J2165">
        <v>0.160000918422713</v>
      </c>
      <c r="K2165">
        <v>0.12518483025380001</v>
      </c>
      <c r="L2165">
        <v>1064.9619232815201</v>
      </c>
      <c r="M2165">
        <v>21.385098895689499</v>
      </c>
      <c r="N2165">
        <v>50.620298681208197</v>
      </c>
      <c r="O2165">
        <v>49.369924267936497</v>
      </c>
      <c r="P2165">
        <v>-9.2423093040495397E-2</v>
      </c>
      <c r="Q2165">
        <v>0.146544579473321</v>
      </c>
      <c r="R2165">
        <v>0.98655129844201095</v>
      </c>
      <c r="S2165" t="s">
        <v>5794</v>
      </c>
      <c r="T2165" t="s">
        <v>7256</v>
      </c>
      <c r="U2165" t="s">
        <v>7256</v>
      </c>
      <c r="V2165" t="s">
        <v>7256</v>
      </c>
      <c r="W2165">
        <v>4</v>
      </c>
      <c r="X2165" t="s">
        <v>9421</v>
      </c>
      <c r="Y2165">
        <v>0.4357343384031433</v>
      </c>
      <c r="Z2165" t="str">
        <f>HYPERLINK("Melting_Curves/meltCurve_sp_Q93077_H2A1C_HUMAN_.pdf", "Melting_Curves/meltCurve_sp_Q93077_H2A1C_HUMAN_.pdf")</f>
        <v>Melting_Curves/meltCurve_sp_Q93077_H2A1C_HUMAN_.pdf</v>
      </c>
      <c r="AA2165" t="s">
        <v>13017</v>
      </c>
      <c r="AB2165" t="s">
        <v>16590</v>
      </c>
    </row>
    <row r="2166" spans="1:28" x14ac:dyDescent="0.25">
      <c r="A2166" t="s">
        <v>2170</v>
      </c>
      <c r="B2166">
        <v>0.98018197421672304</v>
      </c>
      <c r="C2166">
        <v>0.90794322408571704</v>
      </c>
      <c r="D2166">
        <v>0.86296419930470103</v>
      </c>
      <c r="E2166">
        <v>0.79835754481346799</v>
      </c>
      <c r="F2166">
        <v>0.70499769274312496</v>
      </c>
      <c r="G2166">
        <v>0.59661508164513699</v>
      </c>
      <c r="H2166">
        <v>0.50396413867905299</v>
      </c>
      <c r="I2166">
        <v>0.59171857165953801</v>
      </c>
      <c r="J2166">
        <v>0.44519435558221199</v>
      </c>
      <c r="K2166">
        <v>0.424146261180472</v>
      </c>
      <c r="L2166">
        <v>407.43072374867199</v>
      </c>
      <c r="M2166">
        <v>7.4435859620243301</v>
      </c>
      <c r="N2166">
        <v>64.106446714177906</v>
      </c>
      <c r="O2166">
        <v>51.202285234666597</v>
      </c>
      <c r="P2166">
        <v>-2.4329574645035799E-2</v>
      </c>
      <c r="Q2166">
        <v>0.33156374483832801</v>
      </c>
      <c r="R2166">
        <v>0.96608058862834001</v>
      </c>
      <c r="S2166" t="s">
        <v>5795</v>
      </c>
      <c r="T2166" t="s">
        <v>7256</v>
      </c>
      <c r="U2166" t="s">
        <v>7256</v>
      </c>
      <c r="V2166" t="s">
        <v>7256</v>
      </c>
      <c r="W2166">
        <v>39</v>
      </c>
      <c r="X2166" t="s">
        <v>9422</v>
      </c>
      <c r="Y2166">
        <v>0.67947189686003384</v>
      </c>
      <c r="Z2166" t="str">
        <f>HYPERLINK("Melting_Curves/meltCurve_sp_Q93088_BHMT1_HUMAN_.pdf", "Melting_Curves/meltCurve_sp_Q93088_BHMT1_HUMAN_.pdf")</f>
        <v>Melting_Curves/meltCurve_sp_Q93088_BHMT1_HUMAN_.pdf</v>
      </c>
      <c r="AA2166" t="s">
        <v>13018</v>
      </c>
      <c r="AB2166" t="s">
        <v>16591</v>
      </c>
    </row>
    <row r="2167" spans="1:28" x14ac:dyDescent="0.25">
      <c r="A2167" t="s">
        <v>2171</v>
      </c>
      <c r="B2167">
        <v>0.98018197421672304</v>
      </c>
      <c r="C2167">
        <v>0.98816735814471601</v>
      </c>
      <c r="D2167">
        <v>0.94464038897088198</v>
      </c>
      <c r="E2167">
        <v>0.73661824453320202</v>
      </c>
      <c r="F2167">
        <v>0.60280009252459399</v>
      </c>
      <c r="G2167">
        <v>0.42925137631361099</v>
      </c>
      <c r="H2167">
        <v>0.24011632698794699</v>
      </c>
      <c r="I2167">
        <v>0.13886704254417301</v>
      </c>
      <c r="J2167">
        <v>0.107927792151882</v>
      </c>
      <c r="K2167">
        <v>9.2157563787645197E-2</v>
      </c>
      <c r="L2167">
        <v>664.98990498077899</v>
      </c>
      <c r="M2167">
        <v>12.1112116083922</v>
      </c>
      <c r="N2167">
        <v>55.019013162269999</v>
      </c>
      <c r="O2167">
        <v>53.474337340229098</v>
      </c>
      <c r="P2167">
        <v>-5.5944894449706503E-2</v>
      </c>
      <c r="Q2167">
        <v>1.2181317425843099E-2</v>
      </c>
      <c r="R2167">
        <v>0.99655627558258397</v>
      </c>
      <c r="S2167" t="s">
        <v>5796</v>
      </c>
      <c r="T2167" t="s">
        <v>7256</v>
      </c>
      <c r="U2167" t="s">
        <v>7256</v>
      </c>
      <c r="V2167" t="s">
        <v>7256</v>
      </c>
      <c r="W2167">
        <v>2</v>
      </c>
      <c r="X2167" t="s">
        <v>9423</v>
      </c>
      <c r="Y2167">
        <v>0.52629800285460493</v>
      </c>
      <c r="Z2167" t="str">
        <f>HYPERLINK("Melting_Curves/meltCurve_sp_Q93096_TP4A1_HUMAN_.pdf", "Melting_Curves/meltCurve_sp_Q93096_TP4A1_HUMAN_.pdf")</f>
        <v>Melting_Curves/meltCurve_sp_Q93096_TP4A1_HUMAN_.pdf</v>
      </c>
      <c r="AA2167" t="s">
        <v>13019</v>
      </c>
      <c r="AB2167" t="s">
        <v>16592</v>
      </c>
    </row>
    <row r="2168" spans="1:28" x14ac:dyDescent="0.25">
      <c r="A2168" t="s">
        <v>2172</v>
      </c>
      <c r="B2168">
        <v>0.98018197421672304</v>
      </c>
      <c r="C2168">
        <v>0.97023734068993495</v>
      </c>
      <c r="D2168">
        <v>0.894576568021066</v>
      </c>
      <c r="E2168">
        <v>0.86161488082023296</v>
      </c>
      <c r="F2168">
        <v>0.54891876903694303</v>
      </c>
      <c r="G2168">
        <v>0.375998952164869</v>
      </c>
      <c r="H2168">
        <v>0.31108094150715099</v>
      </c>
      <c r="I2168">
        <v>0.21297981167880201</v>
      </c>
      <c r="J2168">
        <v>9.6515848704289101E-2</v>
      </c>
      <c r="K2168">
        <v>4.65532692010883E-2</v>
      </c>
      <c r="L2168">
        <v>639.17127452664602</v>
      </c>
      <c r="M2168">
        <v>11.560608538703701</v>
      </c>
      <c r="N2168">
        <v>55.288722246531897</v>
      </c>
      <c r="O2168">
        <v>53.712036088607597</v>
      </c>
      <c r="P2168">
        <v>-5.3823263423418699E-2</v>
      </c>
      <c r="Q2168">
        <v>0</v>
      </c>
      <c r="R2168">
        <v>0.982315452637335</v>
      </c>
      <c r="S2168" t="s">
        <v>5797</v>
      </c>
      <c r="T2168" t="s">
        <v>7256</v>
      </c>
      <c r="U2168" t="s">
        <v>7256</v>
      </c>
      <c r="V2168" t="s">
        <v>7256</v>
      </c>
      <c r="W2168">
        <v>16</v>
      </c>
      <c r="X2168" t="s">
        <v>9424</v>
      </c>
      <c r="Y2168">
        <v>0.5327279790260262</v>
      </c>
      <c r="Z2168" t="str">
        <f>HYPERLINK("Melting_Curves/meltCurve_sp_Q93099_HGD_HUMAN_.pdf", "Melting_Curves/meltCurve_sp_Q93099_HGD_HUMAN_.pdf")</f>
        <v>Melting_Curves/meltCurve_sp_Q93099_HGD_HUMAN_.pdf</v>
      </c>
      <c r="AA2168" t="s">
        <v>13020</v>
      </c>
      <c r="AB2168" t="s">
        <v>16593</v>
      </c>
    </row>
    <row r="2169" spans="1:28" x14ac:dyDescent="0.25">
      <c r="A2169" t="s">
        <v>2173</v>
      </c>
      <c r="B2169">
        <v>0.98018197421672304</v>
      </c>
      <c r="C2169">
        <v>0.888422111969835</v>
      </c>
      <c r="D2169">
        <v>0.70825764832471305</v>
      </c>
      <c r="E2169">
        <v>0.31373851386387902</v>
      </c>
      <c r="F2169">
        <v>0.181643456463151</v>
      </c>
      <c r="G2169">
        <v>0.10339017353426</v>
      </c>
      <c r="H2169">
        <v>6.8373419772119096E-2</v>
      </c>
      <c r="I2169">
        <v>4.8346943445325502E-2</v>
      </c>
      <c r="J2169">
        <v>3.1608772428109E-2</v>
      </c>
      <c r="K2169">
        <v>2.6925089942300199E-2</v>
      </c>
      <c r="L2169">
        <v>893.267251948433</v>
      </c>
      <c r="M2169">
        <v>18.671340828004201</v>
      </c>
      <c r="N2169">
        <v>48.0514163645433</v>
      </c>
      <c r="O2169">
        <v>47.302966903368798</v>
      </c>
      <c r="P2169">
        <v>-9.4820941911363907E-2</v>
      </c>
      <c r="Q2169">
        <v>3.9143381537343799E-2</v>
      </c>
      <c r="R2169">
        <v>0.99854448424804598</v>
      </c>
      <c r="S2169" t="s">
        <v>5798</v>
      </c>
      <c r="T2169" t="s">
        <v>7256</v>
      </c>
      <c r="U2169" t="s">
        <v>7256</v>
      </c>
      <c r="V2169" t="s">
        <v>7256</v>
      </c>
      <c r="W2169">
        <v>7</v>
      </c>
      <c r="X2169" t="s">
        <v>9425</v>
      </c>
      <c r="Y2169">
        <v>0.30615866418022458</v>
      </c>
      <c r="Z2169" t="str">
        <f>HYPERLINK("Melting_Curves/meltCurve_sp_Q93100_4_KPBB_HUMAN_.pdf", "Melting_Curves/meltCurve_sp_Q93100_4_KPBB_HUMAN_.pdf")</f>
        <v>Melting_Curves/meltCurve_sp_Q93100_4_KPBB_HUMAN_.pdf</v>
      </c>
      <c r="AA2169" t="s">
        <v>13021</v>
      </c>
      <c r="AB2169" t="s">
        <v>16594</v>
      </c>
    </row>
    <row r="2170" spans="1:28" x14ac:dyDescent="0.25">
      <c r="A2170" t="s">
        <v>2174</v>
      </c>
      <c r="B2170">
        <v>0.98018197421672304</v>
      </c>
      <c r="C2170">
        <v>0.72818737295010305</v>
      </c>
      <c r="D2170">
        <v>0.98972759191249404</v>
      </c>
      <c r="E2170">
        <v>0.71009196102171002</v>
      </c>
      <c r="F2170">
        <v>0.56783056464006099</v>
      </c>
      <c r="G2170">
        <v>0.501742337647341</v>
      </c>
      <c r="H2170">
        <v>0.423398120073604</v>
      </c>
      <c r="I2170">
        <v>0.34505608939240001</v>
      </c>
      <c r="J2170">
        <v>0.42510445168767702</v>
      </c>
      <c r="K2170">
        <v>0.61232783658432</v>
      </c>
      <c r="L2170">
        <v>721.37611123423096</v>
      </c>
      <c r="M2170">
        <v>14.5821291465085</v>
      </c>
      <c r="N2170">
        <v>57.461875081675402</v>
      </c>
      <c r="O2170">
        <v>48.567444327245703</v>
      </c>
      <c r="P2170">
        <v>-4.2473718538782797E-2</v>
      </c>
      <c r="Q2170">
        <v>0.43420957728901499</v>
      </c>
      <c r="R2170">
        <v>0.76161045419380302</v>
      </c>
      <c r="S2170" t="s">
        <v>5799</v>
      </c>
      <c r="T2170" t="s">
        <v>7256</v>
      </c>
      <c r="U2170" t="s">
        <v>7256</v>
      </c>
      <c r="V2170" t="s">
        <v>7256</v>
      </c>
      <c r="W2170">
        <v>1</v>
      </c>
      <c r="X2170" t="s">
        <v>9426</v>
      </c>
      <c r="Y2170">
        <v>0.62726418216824875</v>
      </c>
      <c r="Z2170" t="str">
        <f>HYPERLINK("Melting_Curves/meltCurve_sp_Q969E4_TCAL3_HUMAN_.pdf", "Melting_Curves/meltCurve_sp_Q969E4_TCAL3_HUMAN_.pdf")</f>
        <v>Melting_Curves/meltCurve_sp_Q969E4_TCAL3_HUMAN_.pdf</v>
      </c>
      <c r="AA2170" t="s">
        <v>13022</v>
      </c>
      <c r="AB2170" t="s">
        <v>16595</v>
      </c>
    </row>
    <row r="2171" spans="1:28" x14ac:dyDescent="0.25">
      <c r="A2171" t="s">
        <v>2175</v>
      </c>
      <c r="B2171">
        <v>0.98018197421672304</v>
      </c>
      <c r="C2171">
        <v>0.87145560519542697</v>
      </c>
      <c r="D2171">
        <v>0.56184943589866998</v>
      </c>
      <c r="E2171">
        <v>0.16693511399441899</v>
      </c>
      <c r="F2171">
        <v>6.5243809254510204E-2</v>
      </c>
      <c r="G2171">
        <v>4.66886893916642E-2</v>
      </c>
      <c r="H2171">
        <v>5.19148116038258E-2</v>
      </c>
      <c r="I2171">
        <v>4.4928411503781303E-2</v>
      </c>
      <c r="J2171">
        <v>4.0420850401866402E-2</v>
      </c>
      <c r="K2171">
        <v>1.0879306266138601E-2</v>
      </c>
      <c r="L2171">
        <v>1136.3867700051501</v>
      </c>
      <c r="M2171">
        <v>24.543117224181501</v>
      </c>
      <c r="N2171">
        <v>46.435325658738002</v>
      </c>
      <c r="O2171">
        <v>45.997541982166801</v>
      </c>
      <c r="P2171">
        <v>-0.12884574939780399</v>
      </c>
      <c r="Q2171">
        <v>3.4107694435659197E-2</v>
      </c>
      <c r="R2171">
        <v>0.999108922506594</v>
      </c>
      <c r="S2171" t="s">
        <v>5800</v>
      </c>
      <c r="T2171" t="s">
        <v>7256</v>
      </c>
      <c r="U2171" t="s">
        <v>7256</v>
      </c>
      <c r="V2171" t="s">
        <v>7256</v>
      </c>
      <c r="W2171">
        <v>1</v>
      </c>
      <c r="X2171" t="s">
        <v>9427</v>
      </c>
      <c r="Y2171">
        <v>0.24617679934499251</v>
      </c>
      <c r="Z2171" t="str">
        <f>HYPERLINK("Melting_Curves/meltCurve_sp_Q969G6_RIFK_HUMAN_.pdf", "Melting_Curves/meltCurve_sp_Q969G6_RIFK_HUMAN_.pdf")</f>
        <v>Melting_Curves/meltCurve_sp_Q969G6_RIFK_HUMAN_.pdf</v>
      </c>
      <c r="AA2171" t="s">
        <v>13023</v>
      </c>
      <c r="AB2171" t="s">
        <v>16596</v>
      </c>
    </row>
    <row r="2172" spans="1:28" x14ac:dyDescent="0.25">
      <c r="A2172" t="s">
        <v>2176</v>
      </c>
      <c r="B2172">
        <v>0.98018197421672304</v>
      </c>
      <c r="C2172">
        <v>0.81599064074368399</v>
      </c>
      <c r="D2172">
        <v>0.93730077260747202</v>
      </c>
      <c r="E2172">
        <v>0.29155076620076198</v>
      </c>
      <c r="F2172">
        <v>0.82053920064508501</v>
      </c>
      <c r="G2172">
        <v>0.95769565018105896</v>
      </c>
      <c r="H2172">
        <v>0.60175941914960795</v>
      </c>
      <c r="I2172">
        <v>0.52311317364042897</v>
      </c>
      <c r="J2172">
        <v>0.22033945111883901</v>
      </c>
      <c r="K2172">
        <v>7.3799005721787395E-2</v>
      </c>
      <c r="L2172">
        <v>356.42475916477503</v>
      </c>
      <c r="M2172">
        <v>5.8824077734515896</v>
      </c>
      <c r="N2172">
        <v>60.591646435565302</v>
      </c>
      <c r="O2172">
        <v>54.694405856920802</v>
      </c>
      <c r="P2172">
        <v>-2.6981044068266801E-2</v>
      </c>
      <c r="Q2172">
        <v>0</v>
      </c>
      <c r="R2172">
        <v>0.49921771501402701</v>
      </c>
      <c r="S2172" t="s">
        <v>5801</v>
      </c>
      <c r="T2172" t="s">
        <v>7256</v>
      </c>
      <c r="U2172" t="s">
        <v>7256</v>
      </c>
      <c r="V2172" t="s">
        <v>7256</v>
      </c>
      <c r="W2172">
        <v>3</v>
      </c>
      <c r="X2172" t="s">
        <v>9428</v>
      </c>
      <c r="Y2172">
        <v>0.6430000092335203</v>
      </c>
      <c r="Z2172" t="str">
        <f>HYPERLINK("Melting_Curves/meltCurve_sp_Q969H8_CS010_HUMAN_.pdf", "Melting_Curves/meltCurve_sp_Q969H8_CS010_HUMAN_.pdf")</f>
        <v>Melting_Curves/meltCurve_sp_Q969H8_CS010_HUMAN_.pdf</v>
      </c>
      <c r="AA2172" t="s">
        <v>13024</v>
      </c>
      <c r="AB2172" t="s">
        <v>16597</v>
      </c>
    </row>
    <row r="2173" spans="1:28" x14ac:dyDescent="0.25">
      <c r="A2173" t="s">
        <v>2177</v>
      </c>
      <c r="B2173">
        <v>0.98018197421672304</v>
      </c>
      <c r="C2173">
        <v>0.95153224764270194</v>
      </c>
      <c r="D2173">
        <v>0.95768831122365905</v>
      </c>
      <c r="E2173">
        <v>0.80211012758788902</v>
      </c>
      <c r="F2173">
        <v>0.73098267626306901</v>
      </c>
      <c r="G2173">
        <v>0.37766881946063802</v>
      </c>
      <c r="H2173">
        <v>0.12553451343319499</v>
      </c>
      <c r="I2173">
        <v>6.18900814344574E-2</v>
      </c>
      <c r="J2173">
        <v>0.14315341773773901</v>
      </c>
      <c r="K2173">
        <v>4.8509180530618298E-2</v>
      </c>
      <c r="L2173">
        <v>998.36440537389001</v>
      </c>
      <c r="M2173">
        <v>18.153730065972699</v>
      </c>
      <c r="N2173">
        <v>55.212670865806501</v>
      </c>
      <c r="O2173">
        <v>54.340684588080698</v>
      </c>
      <c r="P2173">
        <v>-8.0637747491901696E-2</v>
      </c>
      <c r="Q2173">
        <v>3.4533994074388397E-2</v>
      </c>
      <c r="R2173">
        <v>0.987169013355777</v>
      </c>
      <c r="S2173" t="s">
        <v>5802</v>
      </c>
      <c r="T2173" t="s">
        <v>7256</v>
      </c>
      <c r="U2173" t="s">
        <v>7256</v>
      </c>
      <c r="V2173" t="s">
        <v>7256</v>
      </c>
      <c r="W2173">
        <v>11</v>
      </c>
      <c r="X2173" t="s">
        <v>9429</v>
      </c>
      <c r="Y2173">
        <v>0.53187372524740451</v>
      </c>
      <c r="Z2173" t="str">
        <f>HYPERLINK("Melting_Curves/meltCurve_sp_Q969I3_GLYL1_HUMAN_.pdf", "Melting_Curves/meltCurve_sp_Q969I3_GLYL1_HUMAN_.pdf")</f>
        <v>Melting_Curves/meltCurve_sp_Q969I3_GLYL1_HUMAN_.pdf</v>
      </c>
      <c r="AA2173" t="s">
        <v>13025</v>
      </c>
      <c r="AB2173" t="s">
        <v>16598</v>
      </c>
    </row>
    <row r="2174" spans="1:28" x14ac:dyDescent="0.25">
      <c r="A2174" t="s">
        <v>2178</v>
      </c>
      <c r="B2174">
        <v>0.98018197421672304</v>
      </c>
      <c r="C2174">
        <v>0.96047165510836197</v>
      </c>
      <c r="D2174">
        <v>0.74395166386689604</v>
      </c>
      <c r="E2174">
        <v>0.74586043448599704</v>
      </c>
      <c r="F2174">
        <v>0.60755170483258503</v>
      </c>
      <c r="G2174">
        <v>0.468800645929566</v>
      </c>
      <c r="H2174">
        <v>0.33250367597984098</v>
      </c>
      <c r="I2174">
        <v>0.30784061011744401</v>
      </c>
      <c r="J2174">
        <v>0.41906726090833502</v>
      </c>
      <c r="K2174">
        <v>0.34430248920997097</v>
      </c>
      <c r="L2174">
        <v>562.13468136908898</v>
      </c>
      <c r="M2174">
        <v>10.9973580013028</v>
      </c>
      <c r="N2174">
        <v>55.650891710641098</v>
      </c>
      <c r="O2174">
        <v>49.512504052725397</v>
      </c>
      <c r="P2174">
        <v>-3.91075453278871E-2</v>
      </c>
      <c r="Q2174">
        <v>0.29595503769050102</v>
      </c>
      <c r="R2174">
        <v>0.95276476792228304</v>
      </c>
      <c r="S2174" t="s">
        <v>5803</v>
      </c>
      <c r="T2174" t="s">
        <v>7256</v>
      </c>
      <c r="U2174" t="s">
        <v>7256</v>
      </c>
      <c r="V2174" t="s">
        <v>7256</v>
      </c>
      <c r="W2174">
        <v>1</v>
      </c>
      <c r="X2174" t="s">
        <v>9430</v>
      </c>
      <c r="Y2174">
        <v>0.5825054489972793</v>
      </c>
      <c r="Z2174" t="str">
        <f>HYPERLINK("Melting_Curves/meltCurve_sp_Q969Q0_RL36L_HUMAN_.pdf", "Melting_Curves/meltCurve_sp_Q969Q0_RL36L_HUMAN_.pdf")</f>
        <v>Melting_Curves/meltCurve_sp_Q969Q0_RL36L_HUMAN_.pdf</v>
      </c>
      <c r="AA2174" t="s">
        <v>13026</v>
      </c>
      <c r="AB2174" t="s">
        <v>16599</v>
      </c>
    </row>
    <row r="2175" spans="1:28" x14ac:dyDescent="0.25">
      <c r="A2175" t="s">
        <v>2179</v>
      </c>
      <c r="B2175">
        <v>0.98018197421672304</v>
      </c>
      <c r="C2175">
        <v>0.92658432253168999</v>
      </c>
      <c r="D2175">
        <v>0.801581163445797</v>
      </c>
      <c r="E2175">
        <v>0.45301443734602498</v>
      </c>
      <c r="F2175">
        <v>0.26160041020740499</v>
      </c>
      <c r="G2175">
        <v>0.15124634734725301</v>
      </c>
      <c r="H2175">
        <v>0.141288855395168</v>
      </c>
      <c r="I2175">
        <v>7.6843822945600604E-2</v>
      </c>
      <c r="J2175">
        <v>0.12191829977914299</v>
      </c>
      <c r="K2175">
        <v>9.6326213054120799E-2</v>
      </c>
      <c r="L2175">
        <v>934.02266871702</v>
      </c>
      <c r="M2175">
        <v>19.105700852363402</v>
      </c>
      <c r="N2175">
        <v>49.453876776296902</v>
      </c>
      <c r="O2175">
        <v>48.3610042976036</v>
      </c>
      <c r="P2175">
        <v>-8.9058658794828299E-2</v>
      </c>
      <c r="Q2175">
        <v>9.8322067194363705E-2</v>
      </c>
      <c r="R2175">
        <v>0.99810062144439304</v>
      </c>
      <c r="S2175" t="s">
        <v>5804</v>
      </c>
      <c r="T2175" t="s">
        <v>7256</v>
      </c>
      <c r="U2175" t="s">
        <v>7256</v>
      </c>
      <c r="V2175" t="s">
        <v>7256</v>
      </c>
      <c r="W2175">
        <v>2</v>
      </c>
      <c r="X2175" t="s">
        <v>9431</v>
      </c>
      <c r="Y2175">
        <v>0.37931125067711158</v>
      </c>
      <c r="Z2175" t="str">
        <f>HYPERLINK("Melting_Curves/meltCurve_sp_Q969S9_2_RRF2M_HUMAN_.pdf", "Melting_Curves/meltCurve_sp_Q969S9_2_RRF2M_HUMAN_.pdf")</f>
        <v>Melting_Curves/meltCurve_sp_Q969S9_2_RRF2M_HUMAN_.pdf</v>
      </c>
      <c r="AA2175" t="s">
        <v>13027</v>
      </c>
      <c r="AB2175" t="s">
        <v>16600</v>
      </c>
    </row>
    <row r="2176" spans="1:28" x14ac:dyDescent="0.25">
      <c r="A2176" t="s">
        <v>2180</v>
      </c>
      <c r="B2176">
        <v>0.98018197421672304</v>
      </c>
      <c r="C2176">
        <v>0.58337802632315205</v>
      </c>
      <c r="D2176">
        <v>0.381165342581189</v>
      </c>
      <c r="E2176">
        <v>0.100576740618192</v>
      </c>
      <c r="F2176">
        <v>5.0371006871441797E-2</v>
      </c>
      <c r="G2176">
        <v>2.2095863465447001E-2</v>
      </c>
      <c r="H2176">
        <v>1.6634993172750499E-2</v>
      </c>
      <c r="I2176">
        <v>1.54220655479638E-2</v>
      </c>
      <c r="J2176">
        <v>1.25355043026368E-2</v>
      </c>
      <c r="K2176">
        <v>1.0943597847620499E-2</v>
      </c>
      <c r="L2176">
        <v>874.50389003636099</v>
      </c>
      <c r="M2176">
        <v>19.734705099150201</v>
      </c>
      <c r="N2176">
        <v>44.3714361858422</v>
      </c>
      <c r="O2176">
        <v>43.865515535252698</v>
      </c>
      <c r="P2176">
        <v>-0.111033415932848</v>
      </c>
      <c r="Q2176">
        <v>1.2831374067263901E-2</v>
      </c>
      <c r="R2176">
        <v>0.98428113512683402</v>
      </c>
      <c r="S2176" t="s">
        <v>5805</v>
      </c>
      <c r="T2176" t="s">
        <v>7256</v>
      </c>
      <c r="U2176" t="s">
        <v>7256</v>
      </c>
      <c r="V2176" t="s">
        <v>7256</v>
      </c>
      <c r="W2176">
        <v>2</v>
      </c>
      <c r="X2176" t="s">
        <v>9432</v>
      </c>
      <c r="Y2176">
        <v>0.17360021644654641</v>
      </c>
      <c r="Z2176" t="str">
        <f>HYPERLINK("Melting_Curves/meltCurve_sp_Q969Z0_TBRG4_HUMAN_.pdf", "Melting_Curves/meltCurve_sp_Q969Z0_TBRG4_HUMAN_.pdf")</f>
        <v>Melting_Curves/meltCurve_sp_Q969Z0_TBRG4_HUMAN_.pdf</v>
      </c>
      <c r="AA2176" t="s">
        <v>13028</v>
      </c>
      <c r="AB2176" t="s">
        <v>16601</v>
      </c>
    </row>
    <row r="2177" spans="1:28" x14ac:dyDescent="0.25">
      <c r="A2177" t="s">
        <v>2181</v>
      </c>
      <c r="B2177">
        <v>0.98018197421672304</v>
      </c>
      <c r="C2177">
        <v>1.00717080012274</v>
      </c>
      <c r="D2177">
        <v>0.79242568297020999</v>
      </c>
      <c r="E2177">
        <v>0.39931764305605</v>
      </c>
      <c r="F2177">
        <v>0.22633812693902999</v>
      </c>
      <c r="G2177">
        <v>0.12902625236161</v>
      </c>
      <c r="H2177">
        <v>7.4112361958924594E-2</v>
      </c>
      <c r="I2177">
        <v>7.7451021238788401E-2</v>
      </c>
      <c r="J2177">
        <v>9.3587803277557197E-2</v>
      </c>
      <c r="K2177">
        <v>3.82978104260423E-2</v>
      </c>
      <c r="L2177">
        <v>1069.4575331609501</v>
      </c>
      <c r="M2177">
        <v>21.933035800634801</v>
      </c>
      <c r="N2177">
        <v>49.1090634718472</v>
      </c>
      <c r="O2177">
        <v>48.360218609942699</v>
      </c>
      <c r="P2177">
        <v>-0.10520505520038401</v>
      </c>
      <c r="Q2177">
        <v>7.2153257010671906E-2</v>
      </c>
      <c r="R2177">
        <v>0.996084196689902</v>
      </c>
      <c r="S2177" t="s">
        <v>5806</v>
      </c>
      <c r="T2177" t="s">
        <v>7256</v>
      </c>
      <c r="U2177" t="s">
        <v>7256</v>
      </c>
      <c r="V2177" t="s">
        <v>7256</v>
      </c>
      <c r="W2177">
        <v>3</v>
      </c>
      <c r="X2177" t="s">
        <v>9433</v>
      </c>
      <c r="Y2177">
        <v>0.35385960118508503</v>
      </c>
      <c r="Z2177" t="str">
        <f>HYPERLINK("Melting_Curves/meltCurve_sp_Q969Z3_MOSC2_HUMAN_.pdf", "Melting_Curves/meltCurve_sp_Q969Z3_MOSC2_HUMAN_.pdf")</f>
        <v>Melting_Curves/meltCurve_sp_Q969Z3_MOSC2_HUMAN_.pdf</v>
      </c>
      <c r="AA2177" t="s">
        <v>13029</v>
      </c>
      <c r="AB2177" t="s">
        <v>16602</v>
      </c>
    </row>
    <row r="2178" spans="1:28" x14ac:dyDescent="0.25">
      <c r="A2178" t="s">
        <v>2182</v>
      </c>
      <c r="B2178">
        <v>0.98018197421672304</v>
      </c>
      <c r="C2178">
        <v>0.92707497963271202</v>
      </c>
      <c r="D2178">
        <v>0.829609645361434</v>
      </c>
      <c r="E2178">
        <v>0.73701279806167996</v>
      </c>
      <c r="F2178">
        <v>0.53427313207295501</v>
      </c>
      <c r="G2178">
        <v>0.364642231659975</v>
      </c>
      <c r="H2178">
        <v>0.365613176272789</v>
      </c>
      <c r="I2178">
        <v>0.30276702932343802</v>
      </c>
      <c r="J2178">
        <v>0.26394029263937302</v>
      </c>
      <c r="K2178">
        <v>0.33710990080460101</v>
      </c>
      <c r="L2178">
        <v>696.16544468974405</v>
      </c>
      <c r="M2178">
        <v>13.671935312915799</v>
      </c>
      <c r="N2178">
        <v>54.028793043748401</v>
      </c>
      <c r="O2178">
        <v>49.867008476266797</v>
      </c>
      <c r="P2178">
        <v>-4.9880977802633397E-2</v>
      </c>
      <c r="Q2178">
        <v>0.27236237007483599</v>
      </c>
      <c r="R2178">
        <v>0.98433282279140299</v>
      </c>
      <c r="S2178" t="s">
        <v>5807</v>
      </c>
      <c r="T2178" t="s">
        <v>7256</v>
      </c>
      <c r="U2178" t="s">
        <v>7256</v>
      </c>
      <c r="V2178" t="s">
        <v>7256</v>
      </c>
      <c r="W2178">
        <v>3</v>
      </c>
      <c r="X2178" t="s">
        <v>9434</v>
      </c>
      <c r="Y2178">
        <v>0.5567916635832274</v>
      </c>
      <c r="Z2178" t="str">
        <f>HYPERLINK("Melting_Curves/meltCurve_sp_Q96A49_SYAP1_HUMAN_.pdf", "Melting_Curves/meltCurve_sp_Q96A49_SYAP1_HUMAN_.pdf")</f>
        <v>Melting_Curves/meltCurve_sp_Q96A49_SYAP1_HUMAN_.pdf</v>
      </c>
      <c r="AA2178" t="s">
        <v>13030</v>
      </c>
      <c r="AB2178" t="s">
        <v>16603</v>
      </c>
    </row>
    <row r="2179" spans="1:28" x14ac:dyDescent="0.25">
      <c r="A2179" t="s">
        <v>2183</v>
      </c>
      <c r="B2179">
        <v>0.98018197421672304</v>
      </c>
      <c r="C2179">
        <v>1.2292964872446801</v>
      </c>
      <c r="D2179">
        <v>1.1726163025556</v>
      </c>
      <c r="E2179">
        <v>0.50807661682937799</v>
      </c>
      <c r="F2179">
        <v>0.24161017341989099</v>
      </c>
      <c r="G2179">
        <v>0.18128995451148699</v>
      </c>
      <c r="H2179">
        <v>0.15315870367815301</v>
      </c>
      <c r="I2179">
        <v>0.15404527448835301</v>
      </c>
      <c r="J2179">
        <v>0.189042085506027</v>
      </c>
      <c r="K2179">
        <v>0.35978254449791902</v>
      </c>
      <c r="L2179">
        <v>5411.66438476032</v>
      </c>
      <c r="M2179">
        <v>108.742845030372</v>
      </c>
      <c r="N2179">
        <v>50.020999687925098</v>
      </c>
      <c r="O2179">
        <v>49.748880053759002</v>
      </c>
      <c r="P2179">
        <v>-0.43008807503271601</v>
      </c>
      <c r="Q2179">
        <v>0.21295421145879101</v>
      </c>
      <c r="R2179">
        <v>0.93450688468663101</v>
      </c>
      <c r="S2179" t="s">
        <v>5808</v>
      </c>
      <c r="T2179" t="s">
        <v>7256</v>
      </c>
      <c r="U2179" t="s">
        <v>7256</v>
      </c>
      <c r="V2179" t="s">
        <v>7256</v>
      </c>
      <c r="W2179">
        <v>9</v>
      </c>
      <c r="X2179" t="s">
        <v>9435</v>
      </c>
      <c r="Y2179">
        <v>0.46951977956484892</v>
      </c>
      <c r="Z2179" t="str">
        <f>HYPERLINK("Melting_Curves/meltCurve_sp_Q96A65_EXOC4_HUMAN_.pdf", "Melting_Curves/meltCurve_sp_Q96A65_EXOC4_HUMAN_.pdf")</f>
        <v>Melting_Curves/meltCurve_sp_Q96A65_EXOC4_HUMAN_.pdf</v>
      </c>
      <c r="AA2179" t="s">
        <v>13031</v>
      </c>
      <c r="AB2179" t="s">
        <v>16604</v>
      </c>
    </row>
    <row r="2180" spans="1:28" x14ac:dyDescent="0.25">
      <c r="A2180" t="s">
        <v>2184</v>
      </c>
      <c r="B2180">
        <v>0.98018197421672304</v>
      </c>
      <c r="C2180">
        <v>0.98521391322618301</v>
      </c>
      <c r="D2180">
        <v>0.86809674180204</v>
      </c>
      <c r="E2180">
        <v>0.68947077996622497</v>
      </c>
      <c r="F2180">
        <v>0.49602732492207902</v>
      </c>
      <c r="G2180">
        <v>0.32884272048816199</v>
      </c>
      <c r="H2180">
        <v>0.18282496988845601</v>
      </c>
      <c r="I2180">
        <v>0.13444612098490999</v>
      </c>
      <c r="J2180">
        <v>0.10557798999666999</v>
      </c>
      <c r="K2180">
        <v>6.39843454720945E-2</v>
      </c>
      <c r="L2180">
        <v>673.61796721756798</v>
      </c>
      <c r="M2180">
        <v>12.7322605262023</v>
      </c>
      <c r="N2180">
        <v>53.216059081825101</v>
      </c>
      <c r="O2180">
        <v>51.652215779911501</v>
      </c>
      <c r="P2180">
        <v>-5.9435821223939998E-2</v>
      </c>
      <c r="Q2180">
        <v>3.5708112995612003E-2</v>
      </c>
      <c r="R2180">
        <v>0.99844330734730702</v>
      </c>
      <c r="S2180" t="s">
        <v>5809</v>
      </c>
      <c r="T2180" t="s">
        <v>7256</v>
      </c>
      <c r="U2180" t="s">
        <v>7256</v>
      </c>
      <c r="V2180" t="s">
        <v>7256</v>
      </c>
      <c r="W2180">
        <v>5</v>
      </c>
      <c r="X2180" t="s">
        <v>9436</v>
      </c>
      <c r="Y2180">
        <v>0.47636270760286309</v>
      </c>
      <c r="Z2180" t="str">
        <f>HYPERLINK("Melting_Curves/meltCurve_sp_Q96AB3_ISOC2_HUMAN_.pdf", "Melting_Curves/meltCurve_sp_Q96AB3_ISOC2_HUMAN_.pdf")</f>
        <v>Melting_Curves/meltCurve_sp_Q96AB3_ISOC2_HUMAN_.pdf</v>
      </c>
      <c r="AA2180" t="s">
        <v>13032</v>
      </c>
      <c r="AB2180" t="s">
        <v>16605</v>
      </c>
    </row>
    <row r="2181" spans="1:28" x14ac:dyDescent="0.25">
      <c r="A2181" t="s">
        <v>2185</v>
      </c>
      <c r="B2181">
        <v>0.98018197421672304</v>
      </c>
      <c r="C2181">
        <v>0.93958668149551405</v>
      </c>
      <c r="D2181">
        <v>0.91775613591287297</v>
      </c>
      <c r="E2181">
        <v>0.81886184814933605</v>
      </c>
      <c r="F2181">
        <v>0.65655465267419699</v>
      </c>
      <c r="G2181">
        <v>0.36379411831312503</v>
      </c>
      <c r="H2181">
        <v>9.34771585249137E-2</v>
      </c>
      <c r="I2181">
        <v>5.8733197872189703E-2</v>
      </c>
      <c r="J2181">
        <v>5.5087838150377502E-2</v>
      </c>
      <c r="K2181">
        <v>3.60091990753586E-2</v>
      </c>
      <c r="L2181">
        <v>934.07959500983304</v>
      </c>
      <c r="M2181">
        <v>17.071245375092801</v>
      </c>
      <c r="N2181">
        <v>54.716558406593599</v>
      </c>
      <c r="O2181">
        <v>53.982271867368198</v>
      </c>
      <c r="P2181">
        <v>-7.9064304272529695E-2</v>
      </c>
      <c r="Q2181">
        <v>0</v>
      </c>
      <c r="R2181">
        <v>0.99341901377631303</v>
      </c>
      <c r="S2181" t="s">
        <v>5810</v>
      </c>
      <c r="T2181" t="s">
        <v>7256</v>
      </c>
      <c r="U2181" t="s">
        <v>7256</v>
      </c>
      <c r="V2181" t="s">
        <v>7256</v>
      </c>
      <c r="W2181">
        <v>22</v>
      </c>
      <c r="X2181" t="s">
        <v>9437</v>
      </c>
      <c r="Y2181">
        <v>0.50735143234266256</v>
      </c>
      <c r="Z2181" t="str">
        <f>HYPERLINK("Melting_Curves/meltCurve_sp_Q96AC1_FERM2_HUMAN_.pdf", "Melting_Curves/meltCurve_sp_Q96AC1_FERM2_HUMAN_.pdf")</f>
        <v>Melting_Curves/meltCurve_sp_Q96AC1_FERM2_HUMAN_.pdf</v>
      </c>
      <c r="AA2181" t="s">
        <v>13033</v>
      </c>
      <c r="AB2181" t="s">
        <v>16606</v>
      </c>
    </row>
    <row r="2182" spans="1:28" x14ac:dyDescent="0.25">
      <c r="A2182" t="s">
        <v>2186</v>
      </c>
      <c r="B2182">
        <v>0.98018197421672304</v>
      </c>
      <c r="C2182">
        <v>0.98364013899589797</v>
      </c>
      <c r="D2182">
        <v>0.94198185006236801</v>
      </c>
      <c r="E2182">
        <v>0.82405591236494302</v>
      </c>
      <c r="F2182">
        <v>0.69184048529748698</v>
      </c>
      <c r="G2182">
        <v>0.47231167290425602</v>
      </c>
      <c r="H2182">
        <v>0.49409909850137401</v>
      </c>
      <c r="I2182">
        <v>0.55536641247491902</v>
      </c>
      <c r="J2182">
        <v>0.58051710376466603</v>
      </c>
      <c r="K2182">
        <v>0.70467247225831497</v>
      </c>
      <c r="L2182">
        <v>1531.0547598227899</v>
      </c>
      <c r="M2182">
        <v>30.210993001614199</v>
      </c>
      <c r="O2182">
        <v>50.458239714556399</v>
      </c>
      <c r="P2182">
        <v>-6.5305113047246302E-2</v>
      </c>
      <c r="Q2182">
        <v>0.56371379424277701</v>
      </c>
      <c r="R2182">
        <v>0.88769621728893999</v>
      </c>
      <c r="S2182" t="s">
        <v>5811</v>
      </c>
      <c r="T2182" t="s">
        <v>7256</v>
      </c>
      <c r="U2182" t="s">
        <v>7256</v>
      </c>
      <c r="V2182" t="s">
        <v>7256</v>
      </c>
      <c r="W2182">
        <v>26</v>
      </c>
      <c r="X2182" t="s">
        <v>9438</v>
      </c>
      <c r="Y2182">
        <v>0.72170372082492074</v>
      </c>
      <c r="Z2182" t="str">
        <f>HYPERLINK("Melting_Curves/meltCurve_sp_Q96AE4_2_FUBP1_HUMAN_.pdf", "Melting_Curves/meltCurve_sp_Q96AE4_2_FUBP1_HUMAN_.pdf")</f>
        <v>Melting_Curves/meltCurve_sp_Q96AE4_2_FUBP1_HUMAN_.pdf</v>
      </c>
      <c r="AA2182" t="s">
        <v>13034</v>
      </c>
      <c r="AB2182" t="s">
        <v>16607</v>
      </c>
    </row>
    <row r="2183" spans="1:28" x14ac:dyDescent="0.25">
      <c r="A2183" t="s">
        <v>2187</v>
      </c>
      <c r="B2183">
        <v>0.98018197421672304</v>
      </c>
      <c r="C2183">
        <v>0.92663745012455601</v>
      </c>
      <c r="D2183">
        <v>0.94139399864485995</v>
      </c>
      <c r="E2183">
        <v>0.79786047014807404</v>
      </c>
      <c r="F2183">
        <v>0.69666934817371295</v>
      </c>
      <c r="G2183">
        <v>0.296762351847983</v>
      </c>
      <c r="H2183">
        <v>0.289453154993009</v>
      </c>
      <c r="I2183">
        <v>0.26716118207002698</v>
      </c>
      <c r="J2183">
        <v>0.41394704770345497</v>
      </c>
      <c r="K2183">
        <v>0.261741594856233</v>
      </c>
      <c r="L2183">
        <v>1299.07275110453</v>
      </c>
      <c r="M2183">
        <v>24.6718936138606</v>
      </c>
      <c r="N2183">
        <v>54.5531204171998</v>
      </c>
      <c r="O2183">
        <v>52.3116815311108</v>
      </c>
      <c r="P2183">
        <v>-8.3929674665723403E-2</v>
      </c>
      <c r="Q2183">
        <v>0.28818746561952602</v>
      </c>
      <c r="R2183">
        <v>0.95304885931918704</v>
      </c>
      <c r="S2183" t="s">
        <v>5812</v>
      </c>
      <c r="T2183" t="s">
        <v>7256</v>
      </c>
      <c r="U2183" t="s">
        <v>7256</v>
      </c>
      <c r="V2183" t="s">
        <v>7256</v>
      </c>
      <c r="W2183">
        <v>6</v>
      </c>
      <c r="X2183" t="s">
        <v>9439</v>
      </c>
      <c r="Y2183">
        <v>0.59513080073895341</v>
      </c>
      <c r="Z2183" t="str">
        <f>HYPERLINK("Melting_Curves/meltCurve_sp_Q96AG4_LRC59_HUMAN_.pdf", "Melting_Curves/meltCurve_sp_Q96AG4_LRC59_HUMAN_.pdf")</f>
        <v>Melting_Curves/meltCurve_sp_Q96AG4_LRC59_HUMAN_.pdf</v>
      </c>
      <c r="AA2183" t="s">
        <v>13035</v>
      </c>
      <c r="AB2183" t="s">
        <v>16608</v>
      </c>
    </row>
    <row r="2184" spans="1:28" x14ac:dyDescent="0.25">
      <c r="A2184" t="s">
        <v>2188</v>
      </c>
      <c r="B2184">
        <v>0.98018197421672304</v>
      </c>
      <c r="C2184">
        <v>0.89715734825920601</v>
      </c>
      <c r="D2184">
        <v>0.83777862713817497</v>
      </c>
      <c r="E2184">
        <v>0.705922533169273</v>
      </c>
      <c r="F2184">
        <v>0.53444535960214601</v>
      </c>
      <c r="G2184">
        <v>0.37214034209110097</v>
      </c>
      <c r="H2184">
        <v>0.33589639818401701</v>
      </c>
      <c r="I2184">
        <v>0.27691133360259701</v>
      </c>
      <c r="J2184">
        <v>0.36133026901792598</v>
      </c>
      <c r="K2184">
        <v>0.38901803634167997</v>
      </c>
      <c r="L2184">
        <v>733.56560927160695</v>
      </c>
      <c r="M2184">
        <v>14.6467004234381</v>
      </c>
      <c r="N2184">
        <v>53.688062546899197</v>
      </c>
      <c r="O2184">
        <v>49.1781839795675</v>
      </c>
      <c r="P2184">
        <v>-5.1161693265235501E-2</v>
      </c>
      <c r="Q2184">
        <v>0.31294830660817002</v>
      </c>
      <c r="R2184">
        <v>0.97397363576934903</v>
      </c>
      <c r="S2184" t="s">
        <v>5813</v>
      </c>
      <c r="T2184" t="s">
        <v>7256</v>
      </c>
      <c r="U2184" t="s">
        <v>7256</v>
      </c>
      <c r="V2184" t="s">
        <v>7256</v>
      </c>
      <c r="W2184">
        <v>1</v>
      </c>
      <c r="X2184" t="s">
        <v>9440</v>
      </c>
      <c r="Y2184">
        <v>0.5609257448466558</v>
      </c>
      <c r="Z2184" t="str">
        <f>HYPERLINK("Melting_Curves/meltCurve_sp_Q96AT1_K1143_HUMAN_.pdf", "Melting_Curves/meltCurve_sp_Q96AT1_K1143_HUMAN_.pdf")</f>
        <v>Melting_Curves/meltCurve_sp_Q96AT1_K1143_HUMAN_.pdf</v>
      </c>
      <c r="AA2184" t="s">
        <v>13036</v>
      </c>
      <c r="AB2184" t="s">
        <v>16609</v>
      </c>
    </row>
    <row r="2185" spans="1:28" x14ac:dyDescent="0.25">
      <c r="A2185" t="s">
        <v>2189</v>
      </c>
      <c r="B2185">
        <v>0.98018197421672304</v>
      </c>
      <c r="C2185">
        <v>1.1885920779421799</v>
      </c>
      <c r="D2185">
        <v>0.93316064649142705</v>
      </c>
      <c r="E2185">
        <v>0.80704948941489596</v>
      </c>
      <c r="F2185">
        <v>0.513669228078804</v>
      </c>
      <c r="G2185">
        <v>0.39088284683077501</v>
      </c>
      <c r="H2185">
        <v>0.213066887088073</v>
      </c>
      <c r="I2185">
        <v>0.30391650141528898</v>
      </c>
      <c r="J2185">
        <v>0.217733603135915</v>
      </c>
      <c r="K2185">
        <v>0.13257100962406501</v>
      </c>
      <c r="L2185">
        <v>1063.12910476046</v>
      </c>
      <c r="M2185">
        <v>20.254935944238799</v>
      </c>
      <c r="N2185">
        <v>53.873855964139899</v>
      </c>
      <c r="O2185">
        <v>51.983803251477397</v>
      </c>
      <c r="P2185">
        <v>-7.7626839838700695E-2</v>
      </c>
      <c r="Q2185">
        <v>0.203114675874802</v>
      </c>
      <c r="R2185">
        <v>0.95425922780419103</v>
      </c>
      <c r="S2185" t="s">
        <v>5814</v>
      </c>
      <c r="T2185" t="s">
        <v>7256</v>
      </c>
      <c r="U2185" t="s">
        <v>7256</v>
      </c>
      <c r="V2185" t="s">
        <v>7256</v>
      </c>
      <c r="W2185">
        <v>4</v>
      </c>
      <c r="X2185" t="s">
        <v>9441</v>
      </c>
      <c r="Y2185">
        <v>0.54557455811029743</v>
      </c>
      <c r="Z2185" t="str">
        <f>HYPERLINK("Melting_Curves/meltCurve_sp_Q96B36_AKTS1_HUMAN_.pdf", "Melting_Curves/meltCurve_sp_Q96B36_AKTS1_HUMAN_.pdf")</f>
        <v>Melting_Curves/meltCurve_sp_Q96B36_AKTS1_HUMAN_.pdf</v>
      </c>
      <c r="AA2185" t="s">
        <v>13037</v>
      </c>
      <c r="AB2185" t="s">
        <v>16610</v>
      </c>
    </row>
    <row r="2186" spans="1:28" x14ac:dyDescent="0.25">
      <c r="A2186" t="s">
        <v>2190</v>
      </c>
      <c r="B2186">
        <v>0.98018197421672304</v>
      </c>
      <c r="C2186">
        <v>0.994232303300561</v>
      </c>
      <c r="D2186">
        <v>0.95053078772324795</v>
      </c>
      <c r="E2186">
        <v>0.76735954925681504</v>
      </c>
      <c r="F2186">
        <v>0.50358717071680703</v>
      </c>
      <c r="G2186">
        <v>0.26225793182908902</v>
      </c>
      <c r="H2186">
        <v>0.28513398304189003</v>
      </c>
      <c r="I2186">
        <v>0.27521883783011503</v>
      </c>
      <c r="J2186">
        <v>0.33178460643691599</v>
      </c>
      <c r="K2186">
        <v>0.37010616381522599</v>
      </c>
      <c r="L2186">
        <v>1596.5698590078</v>
      </c>
      <c r="M2186">
        <v>31.203845763819199</v>
      </c>
      <c r="N2186">
        <v>52.729877277690299</v>
      </c>
      <c r="O2186">
        <v>50.957037370791703</v>
      </c>
      <c r="P2186">
        <v>-0.106880140104768</v>
      </c>
      <c r="Q2186">
        <v>0.30184697146807599</v>
      </c>
      <c r="R2186">
        <v>0.985339004029119</v>
      </c>
      <c r="S2186" t="s">
        <v>5815</v>
      </c>
      <c r="T2186" t="s">
        <v>7256</v>
      </c>
      <c r="U2186" t="s">
        <v>7256</v>
      </c>
      <c r="V2186" t="s">
        <v>7256</v>
      </c>
      <c r="W2186">
        <v>2</v>
      </c>
      <c r="X2186" t="s">
        <v>9442</v>
      </c>
      <c r="Y2186">
        <v>0.56576310329628965</v>
      </c>
      <c r="Z2186" t="str">
        <f>HYPERLINK("Melting_Curves/meltCurve_sp_Q96B45_CJ032_HUMAN_.pdf", "Melting_Curves/meltCurve_sp_Q96B45_CJ032_HUMAN_.pdf")</f>
        <v>Melting_Curves/meltCurve_sp_Q96B45_CJ032_HUMAN_.pdf</v>
      </c>
      <c r="AA2186" t="s">
        <v>13038</v>
      </c>
      <c r="AB2186" t="s">
        <v>16611</v>
      </c>
    </row>
    <row r="2187" spans="1:28" x14ac:dyDescent="0.25">
      <c r="A2187" t="s">
        <v>2191</v>
      </c>
      <c r="B2187">
        <v>0.98018197421672304</v>
      </c>
      <c r="C2187">
        <v>0.947426445224818</v>
      </c>
      <c r="D2187">
        <v>0.91562147746264599</v>
      </c>
      <c r="E2187">
        <v>0.73209005634244895</v>
      </c>
      <c r="F2187">
        <v>0.80788183457984697</v>
      </c>
      <c r="G2187">
        <v>0.71287944032642003</v>
      </c>
      <c r="H2187">
        <v>0.54874544884738696</v>
      </c>
      <c r="I2187">
        <v>0.59654686790315903</v>
      </c>
      <c r="J2187">
        <v>0.899531224189136</v>
      </c>
      <c r="K2187">
        <v>0.96857122138642204</v>
      </c>
      <c r="L2187">
        <v>1661.3375787261</v>
      </c>
      <c r="M2187">
        <v>35.722617055232199</v>
      </c>
      <c r="O2187">
        <v>46.361599452852403</v>
      </c>
      <c r="P2187">
        <v>-4.8143450636055699E-2</v>
      </c>
      <c r="Q2187">
        <v>0.75007437421917</v>
      </c>
      <c r="R2187">
        <v>0.35764117829903602</v>
      </c>
      <c r="S2187" t="s">
        <v>5816</v>
      </c>
      <c r="T2187" t="s">
        <v>7256</v>
      </c>
      <c r="U2187" t="s">
        <v>7256</v>
      </c>
      <c r="V2187" t="s">
        <v>7256</v>
      </c>
      <c r="W2187">
        <v>3</v>
      </c>
      <c r="X2187" t="s">
        <v>9443</v>
      </c>
      <c r="Y2187">
        <v>0.80531261638567586</v>
      </c>
      <c r="Z2187" t="str">
        <f>HYPERLINK("Melting_Curves/meltCurve_sp_Q96B54_ZN428_HUMAN_.pdf", "Melting_Curves/meltCurve_sp_Q96B54_ZN428_HUMAN_.pdf")</f>
        <v>Melting_Curves/meltCurve_sp_Q96B54_ZN428_HUMAN_.pdf</v>
      </c>
      <c r="AA2187" t="s">
        <v>13039</v>
      </c>
      <c r="AB2187" t="s">
        <v>16612</v>
      </c>
    </row>
    <row r="2188" spans="1:28" x14ac:dyDescent="0.25">
      <c r="A2188" t="s">
        <v>2192</v>
      </c>
      <c r="B2188">
        <v>0.98018197421672304</v>
      </c>
      <c r="C2188">
        <v>0.931173554400759</v>
      </c>
      <c r="D2188">
        <v>0.86625626358652796</v>
      </c>
      <c r="E2188">
        <v>0.64120757905449899</v>
      </c>
      <c r="F2188">
        <v>0.52332267813782196</v>
      </c>
      <c r="G2188">
        <v>0.38169488917767902</v>
      </c>
      <c r="H2188">
        <v>0.28052407144247798</v>
      </c>
      <c r="I2188">
        <v>0.28509187930322799</v>
      </c>
      <c r="J2188">
        <v>0.24100176721632699</v>
      </c>
      <c r="K2188">
        <v>0.32279540615743701</v>
      </c>
      <c r="L2188">
        <v>735.024793447653</v>
      </c>
      <c r="M2188">
        <v>14.556961005268599</v>
      </c>
      <c r="N2188">
        <v>53.1080153521591</v>
      </c>
      <c r="O2188">
        <v>49.568834086448497</v>
      </c>
      <c r="P2188">
        <v>-5.4641051294334199E-2</v>
      </c>
      <c r="Q2188">
        <v>0.25583778957201297</v>
      </c>
      <c r="R2188">
        <v>0.99189380885169898</v>
      </c>
      <c r="S2188" t="s">
        <v>5817</v>
      </c>
      <c r="T2188" t="s">
        <v>7256</v>
      </c>
      <c r="U2188" t="s">
        <v>7256</v>
      </c>
      <c r="V2188" t="s">
        <v>7256</v>
      </c>
      <c r="W2188">
        <v>1</v>
      </c>
      <c r="X2188" t="s">
        <v>9444</v>
      </c>
      <c r="Y2188">
        <v>0.53450508386809148</v>
      </c>
      <c r="Z2188" t="str">
        <f>HYPERLINK("Melting_Curves/meltCurve_sp_Q96B97_SH3K1_HUMAN_.pdf", "Melting_Curves/meltCurve_sp_Q96B97_SH3K1_HUMAN_.pdf")</f>
        <v>Melting_Curves/meltCurve_sp_Q96B97_SH3K1_HUMAN_.pdf</v>
      </c>
      <c r="AA2188" t="s">
        <v>13040</v>
      </c>
      <c r="AB2188" t="s">
        <v>16613</v>
      </c>
    </row>
    <row r="2189" spans="1:28" x14ac:dyDescent="0.25">
      <c r="A2189" t="s">
        <v>2193</v>
      </c>
      <c r="B2189">
        <v>0.98018197421672304</v>
      </c>
      <c r="C2189">
        <v>0.95619189518788394</v>
      </c>
      <c r="D2189">
        <v>0.89143681508077899</v>
      </c>
      <c r="E2189">
        <v>0.68487621672015297</v>
      </c>
      <c r="F2189">
        <v>0.443157437161527</v>
      </c>
      <c r="G2189">
        <v>0.153824118997442</v>
      </c>
      <c r="H2189">
        <v>0.101833625467234</v>
      </c>
      <c r="I2189">
        <v>9.3405242266751703E-2</v>
      </c>
      <c r="J2189">
        <v>0.11544734450706</v>
      </c>
      <c r="K2189">
        <v>0.101786888742599</v>
      </c>
      <c r="L2189">
        <v>1029.6534463318001</v>
      </c>
      <c r="M2189">
        <v>19.982788286252799</v>
      </c>
      <c r="N2189">
        <v>51.981206963804901</v>
      </c>
      <c r="O2189">
        <v>51.019311764423499</v>
      </c>
      <c r="P2189">
        <v>-9.0077240794973201E-2</v>
      </c>
      <c r="Q2189">
        <v>8.0102587757880497E-2</v>
      </c>
      <c r="R2189">
        <v>0.99544462196068795</v>
      </c>
      <c r="S2189" t="s">
        <v>5818</v>
      </c>
      <c r="T2189" t="s">
        <v>7256</v>
      </c>
      <c r="U2189" t="s">
        <v>7256</v>
      </c>
      <c r="V2189" t="s">
        <v>7256</v>
      </c>
      <c r="W2189">
        <v>4</v>
      </c>
      <c r="X2189" t="s">
        <v>9445</v>
      </c>
      <c r="Y2189">
        <v>0.44633004782881008</v>
      </c>
      <c r="Z2189" t="str">
        <f>HYPERLINK("Melting_Curves/meltCurve_sp_Q96BN8_F105B_HUMAN_.pdf", "Melting_Curves/meltCurve_sp_Q96BN8_F105B_HUMAN_.pdf")</f>
        <v>Melting_Curves/meltCurve_sp_Q96BN8_F105B_HUMAN_.pdf</v>
      </c>
      <c r="AA2189" t="s">
        <v>13041</v>
      </c>
      <c r="AB2189" t="s">
        <v>16614</v>
      </c>
    </row>
    <row r="2190" spans="1:28" x14ac:dyDescent="0.25">
      <c r="A2190" t="s">
        <v>2194</v>
      </c>
      <c r="B2190">
        <v>0.98018197421672304</v>
      </c>
      <c r="C2190">
        <v>1.0257072658902799</v>
      </c>
      <c r="D2190">
        <v>0.94098263881537203</v>
      </c>
      <c r="E2190">
        <v>0.74790362821489698</v>
      </c>
      <c r="F2190">
        <v>0.53992268621259898</v>
      </c>
      <c r="G2190">
        <v>0.34358056081850602</v>
      </c>
      <c r="H2190">
        <v>0.32785065471396901</v>
      </c>
      <c r="I2190">
        <v>0.36179680669574299</v>
      </c>
      <c r="J2190">
        <v>0.49791090810855698</v>
      </c>
      <c r="K2190">
        <v>0.57425514124439703</v>
      </c>
      <c r="L2190">
        <v>1662.1597255662</v>
      </c>
      <c r="M2190">
        <v>32.996722734592403</v>
      </c>
      <c r="N2190">
        <v>53.3862287532396</v>
      </c>
      <c r="O2190">
        <v>50.1895652067453</v>
      </c>
      <c r="P2190">
        <v>-9.4946998550660397E-2</v>
      </c>
      <c r="Q2190">
        <v>0.42232747518364899</v>
      </c>
      <c r="R2190">
        <v>0.92021194683442697</v>
      </c>
      <c r="S2190" t="s">
        <v>5819</v>
      </c>
      <c r="T2190" t="s">
        <v>7256</v>
      </c>
      <c r="U2190" t="s">
        <v>7256</v>
      </c>
      <c r="V2190" t="s">
        <v>7256</v>
      </c>
      <c r="W2190">
        <v>1</v>
      </c>
      <c r="X2190" t="s">
        <v>9446</v>
      </c>
      <c r="Y2190">
        <v>0.62504324095276531</v>
      </c>
      <c r="Z2190" t="str">
        <f>HYPERLINK("Melting_Curves/meltCurve_sp_Q96BP2_CHCH1_HUMAN_.pdf", "Melting_Curves/meltCurve_sp_Q96BP2_CHCH1_HUMAN_.pdf")</f>
        <v>Melting_Curves/meltCurve_sp_Q96BP2_CHCH1_HUMAN_.pdf</v>
      </c>
      <c r="AA2190" t="s">
        <v>13042</v>
      </c>
      <c r="AB2190" t="s">
        <v>16615</v>
      </c>
    </row>
    <row r="2191" spans="1:28" x14ac:dyDescent="0.25">
      <c r="A2191" t="s">
        <v>2195</v>
      </c>
      <c r="B2191">
        <v>0.98018197421672304</v>
      </c>
      <c r="C2191">
        <v>0.941654880203878</v>
      </c>
      <c r="D2191">
        <v>0.83881392545478295</v>
      </c>
      <c r="E2191">
        <v>0.70857794443388</v>
      </c>
      <c r="F2191">
        <v>0.30910869905705102</v>
      </c>
      <c r="G2191">
        <v>0.14420191086398701</v>
      </c>
      <c r="H2191">
        <v>0.102382173420921</v>
      </c>
      <c r="I2191">
        <v>9.4205927853520402E-2</v>
      </c>
      <c r="J2191">
        <v>8.3227027916084398E-2</v>
      </c>
      <c r="K2191">
        <v>9.8144532209764906E-2</v>
      </c>
      <c r="L2191">
        <v>1109.71220935461</v>
      </c>
      <c r="M2191">
        <v>21.7798258384164</v>
      </c>
      <c r="N2191">
        <v>51.348244349319501</v>
      </c>
      <c r="O2191">
        <v>50.527680375448597</v>
      </c>
      <c r="P2191">
        <v>-9.9416512644648E-2</v>
      </c>
      <c r="Q2191">
        <v>7.7463856383891597E-2</v>
      </c>
      <c r="R2191">
        <v>0.98737073894740401</v>
      </c>
      <c r="S2191" t="s">
        <v>5820</v>
      </c>
      <c r="T2191" t="s">
        <v>7256</v>
      </c>
      <c r="U2191" t="s">
        <v>7256</v>
      </c>
      <c r="V2191" t="s">
        <v>7256</v>
      </c>
      <c r="W2191">
        <v>2</v>
      </c>
      <c r="X2191" t="s">
        <v>9447</v>
      </c>
      <c r="Y2191">
        <v>0.42512613424945611</v>
      </c>
      <c r="Z2191" t="str">
        <f>HYPERLINK("Melting_Curves/meltCurve_sp_Q96BP3_PPWD1_HUMAN_.pdf", "Melting_Curves/meltCurve_sp_Q96BP3_PPWD1_HUMAN_.pdf")</f>
        <v>Melting_Curves/meltCurve_sp_Q96BP3_PPWD1_HUMAN_.pdf</v>
      </c>
      <c r="AA2191" t="s">
        <v>13043</v>
      </c>
      <c r="AB2191" t="s">
        <v>16616</v>
      </c>
    </row>
    <row r="2192" spans="1:28" x14ac:dyDescent="0.25">
      <c r="A2192" t="s">
        <v>2196</v>
      </c>
      <c r="B2192">
        <v>0.98018197421672304</v>
      </c>
      <c r="C2192">
        <v>0.96716093003530501</v>
      </c>
      <c r="D2192">
        <v>0.90148871120343599</v>
      </c>
      <c r="E2192">
        <v>0.67907373300361396</v>
      </c>
      <c r="F2192">
        <v>0.58331414177235197</v>
      </c>
      <c r="G2192">
        <v>0.34814716004829399</v>
      </c>
      <c r="H2192">
        <v>0.31102559425473802</v>
      </c>
      <c r="I2192">
        <v>0.36376063414002202</v>
      </c>
      <c r="J2192">
        <v>0.37910063308069197</v>
      </c>
      <c r="K2192">
        <v>0.41336536602939999</v>
      </c>
      <c r="L2192">
        <v>991.998542513345</v>
      </c>
      <c r="M2192">
        <v>19.735583271109199</v>
      </c>
      <c r="N2192">
        <v>53.584497317154799</v>
      </c>
      <c r="O2192">
        <v>49.756949126810703</v>
      </c>
      <c r="P2192">
        <v>-6.4178869817015996E-2</v>
      </c>
      <c r="Q2192">
        <v>0.35279668000634301</v>
      </c>
      <c r="R2192">
        <v>0.976517119081179</v>
      </c>
      <c r="S2192" t="s">
        <v>5821</v>
      </c>
      <c r="T2192" t="s">
        <v>7256</v>
      </c>
      <c r="U2192" t="s">
        <v>7256</v>
      </c>
      <c r="V2192" t="s">
        <v>7256</v>
      </c>
      <c r="W2192">
        <v>3</v>
      </c>
      <c r="X2192" t="s">
        <v>9448</v>
      </c>
      <c r="Y2192">
        <v>0.58347202144267574</v>
      </c>
      <c r="Z2192" t="str">
        <f>HYPERLINK("Melting_Curves/meltCurve_sp_Q96BR5_SELR1_HUMAN_.pdf", "Melting_Curves/meltCurve_sp_Q96BR5_SELR1_HUMAN_.pdf")</f>
        <v>Melting_Curves/meltCurve_sp_Q96BR5_SELR1_HUMAN_.pdf</v>
      </c>
      <c r="AA2192" t="s">
        <v>13044</v>
      </c>
      <c r="AB2192" t="s">
        <v>16617</v>
      </c>
    </row>
    <row r="2193" spans="1:28" x14ac:dyDescent="0.25">
      <c r="A2193" t="s">
        <v>2197</v>
      </c>
      <c r="B2193">
        <v>0.98018197421672304</v>
      </c>
      <c r="C2193">
        <v>0.96760476759512004</v>
      </c>
      <c r="D2193">
        <v>0.92863510330185595</v>
      </c>
      <c r="E2193">
        <v>0.80820811193783404</v>
      </c>
      <c r="F2193">
        <v>0.70496636541393398</v>
      </c>
      <c r="G2193">
        <v>0.62535430055684404</v>
      </c>
      <c r="H2193">
        <v>0.40676691711323099</v>
      </c>
      <c r="I2193">
        <v>0.221071289177252</v>
      </c>
      <c r="J2193">
        <v>9.85845544920914E-2</v>
      </c>
      <c r="K2193">
        <v>6.8844617915571005E-2</v>
      </c>
      <c r="L2193">
        <v>680.43345399152804</v>
      </c>
      <c r="M2193">
        <v>11.7689727545532</v>
      </c>
      <c r="N2193">
        <v>57.815859186007302</v>
      </c>
      <c r="O2193">
        <v>56.2223641052407</v>
      </c>
      <c r="P2193">
        <v>-5.2345858531537899E-2</v>
      </c>
      <c r="Q2193">
        <v>0</v>
      </c>
      <c r="R2193">
        <v>0.980246947186591</v>
      </c>
      <c r="S2193" t="s">
        <v>5822</v>
      </c>
      <c r="T2193" t="s">
        <v>7256</v>
      </c>
      <c r="U2193" t="s">
        <v>7256</v>
      </c>
      <c r="V2193" t="s">
        <v>7256</v>
      </c>
      <c r="W2193">
        <v>12</v>
      </c>
      <c r="X2193" t="s">
        <v>9449</v>
      </c>
      <c r="Y2193">
        <v>0.60720855676038632</v>
      </c>
      <c r="Z2193" t="str">
        <f>HYPERLINK("Melting_Curves/meltCurve_sp_Q96BW5_2_PTER_HUMAN_.pdf", "Melting_Curves/meltCurve_sp_Q96BW5_2_PTER_HUMAN_.pdf")</f>
        <v>Melting_Curves/meltCurve_sp_Q96BW5_2_PTER_HUMAN_.pdf</v>
      </c>
      <c r="AA2193" t="s">
        <v>13045</v>
      </c>
      <c r="AB2193" t="s">
        <v>16618</v>
      </c>
    </row>
    <row r="2194" spans="1:28" x14ac:dyDescent="0.25">
      <c r="A2194" t="s">
        <v>2198</v>
      </c>
      <c r="B2194">
        <v>0.98018197421672304</v>
      </c>
      <c r="C2194">
        <v>1.0156601229733999</v>
      </c>
      <c r="D2194">
        <v>0.934494647368174</v>
      </c>
      <c r="E2194">
        <v>0.79937888613931396</v>
      </c>
      <c r="F2194">
        <v>0.52505606399369897</v>
      </c>
      <c r="G2194">
        <v>0.29077437490517299</v>
      </c>
      <c r="H2194">
        <v>0.20137949171802999</v>
      </c>
      <c r="I2194">
        <v>0.11882582234894</v>
      </c>
      <c r="J2194">
        <v>0.107327373581928</v>
      </c>
      <c r="K2194">
        <v>0.13827689827460701</v>
      </c>
      <c r="L2194">
        <v>1028.29713230265</v>
      </c>
      <c r="M2194">
        <v>19.459448766127899</v>
      </c>
      <c r="N2194">
        <v>53.547455724499201</v>
      </c>
      <c r="O2194">
        <v>52.294512810257302</v>
      </c>
      <c r="P2194">
        <v>-8.2526487318396499E-2</v>
      </c>
      <c r="Q2194">
        <v>0.112919201095208</v>
      </c>
      <c r="R2194">
        <v>0.99694861614194996</v>
      </c>
      <c r="S2194" t="s">
        <v>5823</v>
      </c>
      <c r="T2194" t="s">
        <v>7256</v>
      </c>
      <c r="U2194" t="s">
        <v>7256</v>
      </c>
      <c r="V2194" t="s">
        <v>7256</v>
      </c>
      <c r="W2194">
        <v>1</v>
      </c>
      <c r="X2194" t="s">
        <v>9450</v>
      </c>
      <c r="Y2194">
        <v>0.50548239994998678</v>
      </c>
      <c r="Z2194" t="str">
        <f>HYPERLINK("Melting_Curves/meltCurve_sp_Q96BY7_ATG2B_HUMAN_.pdf", "Melting_Curves/meltCurve_sp_Q96BY7_ATG2B_HUMAN_.pdf")</f>
        <v>Melting_Curves/meltCurve_sp_Q96BY7_ATG2B_HUMAN_.pdf</v>
      </c>
      <c r="AA2194" t="s">
        <v>13046</v>
      </c>
      <c r="AB2194" t="s">
        <v>16619</v>
      </c>
    </row>
    <row r="2195" spans="1:28" x14ac:dyDescent="0.25">
      <c r="A2195" t="s">
        <v>2199</v>
      </c>
      <c r="B2195">
        <v>0.98018197421672304</v>
      </c>
      <c r="C2195">
        <v>0.97724754228272603</v>
      </c>
      <c r="D2195">
        <v>0.88411627390814995</v>
      </c>
      <c r="E2195">
        <v>0.74990562468015698</v>
      </c>
      <c r="F2195">
        <v>0.58089573991187304</v>
      </c>
      <c r="G2195">
        <v>0.44918595671495898</v>
      </c>
      <c r="H2195">
        <v>0.43770980940190402</v>
      </c>
      <c r="I2195">
        <v>0.48437119109479898</v>
      </c>
      <c r="J2195">
        <v>0.59554370546248803</v>
      </c>
      <c r="K2195">
        <v>0.65282294645620897</v>
      </c>
      <c r="L2195">
        <v>1199.9795590287499</v>
      </c>
      <c r="M2195">
        <v>24.454681994974699</v>
      </c>
      <c r="O2195">
        <v>48.7449202233094</v>
      </c>
      <c r="P2195">
        <v>-5.9877180293403102E-2</v>
      </c>
      <c r="Q2195">
        <v>0.522600051777807</v>
      </c>
      <c r="R2195">
        <v>0.89023737419472004</v>
      </c>
      <c r="S2195" t="s">
        <v>5824</v>
      </c>
      <c r="T2195" t="s">
        <v>7256</v>
      </c>
      <c r="U2195" t="s">
        <v>7256</v>
      </c>
      <c r="V2195" t="s">
        <v>7256</v>
      </c>
      <c r="W2195">
        <v>10</v>
      </c>
      <c r="X2195" t="s">
        <v>9451</v>
      </c>
      <c r="Y2195">
        <v>0.67135513626811816</v>
      </c>
      <c r="Z2195" t="str">
        <f>HYPERLINK("Melting_Curves/meltCurve_sp_Q96C01_F136A_HUMAN_.pdf", "Melting_Curves/meltCurve_sp_Q96C01_F136A_HUMAN_.pdf")</f>
        <v>Melting_Curves/meltCurve_sp_Q96C01_F136A_HUMAN_.pdf</v>
      </c>
      <c r="AA2195" t="s">
        <v>13047</v>
      </c>
      <c r="AB2195" t="s">
        <v>16620</v>
      </c>
    </row>
    <row r="2196" spans="1:28" x14ac:dyDescent="0.25">
      <c r="A2196" t="s">
        <v>2200</v>
      </c>
      <c r="B2196">
        <v>0.98018197421672304</v>
      </c>
      <c r="C2196">
        <v>0.96744148148843701</v>
      </c>
      <c r="D2196">
        <v>0.92952993817345697</v>
      </c>
      <c r="E2196">
        <v>0.82924301498632702</v>
      </c>
      <c r="F2196">
        <v>0.72784347874587696</v>
      </c>
      <c r="G2196">
        <v>0.56294876985093001</v>
      </c>
      <c r="H2196">
        <v>0.23504195910405301</v>
      </c>
      <c r="I2196">
        <v>0.1032747511363</v>
      </c>
      <c r="J2196">
        <v>9.6258588872196002E-2</v>
      </c>
      <c r="K2196">
        <v>9.2725732516350801E-2</v>
      </c>
      <c r="L2196">
        <v>808.53706501772103</v>
      </c>
      <c r="M2196">
        <v>14.258102320716</v>
      </c>
      <c r="N2196">
        <v>56.707179903405702</v>
      </c>
      <c r="O2196">
        <v>55.626691314013897</v>
      </c>
      <c r="P2196">
        <v>-6.4087305873157599E-2</v>
      </c>
      <c r="Q2196">
        <v>0</v>
      </c>
      <c r="R2196">
        <v>0.98776334962544599</v>
      </c>
      <c r="S2196" t="s">
        <v>5825</v>
      </c>
      <c r="T2196" t="s">
        <v>7256</v>
      </c>
      <c r="U2196" t="s">
        <v>7256</v>
      </c>
      <c r="V2196" t="s">
        <v>7256</v>
      </c>
      <c r="W2196">
        <v>14</v>
      </c>
      <c r="X2196" t="s">
        <v>9452</v>
      </c>
      <c r="Y2196">
        <v>0.5738429013147347</v>
      </c>
      <c r="Z2196" t="str">
        <f>HYPERLINK("Melting_Curves/meltCurve_sp_Q96C11_FGGY_HUMAN_.pdf", "Melting_Curves/meltCurve_sp_Q96C11_FGGY_HUMAN_.pdf")</f>
        <v>Melting_Curves/meltCurve_sp_Q96C11_FGGY_HUMAN_.pdf</v>
      </c>
      <c r="AA2196" t="s">
        <v>13048</v>
      </c>
      <c r="AB2196" t="s">
        <v>16621</v>
      </c>
    </row>
    <row r="2197" spans="1:28" x14ac:dyDescent="0.25">
      <c r="A2197" t="s">
        <v>2201</v>
      </c>
      <c r="B2197">
        <v>0.98018197421672304</v>
      </c>
      <c r="C2197">
        <v>0.90296204822438098</v>
      </c>
      <c r="D2197">
        <v>0.89036173652213302</v>
      </c>
      <c r="E2197">
        <v>0.69333546474780705</v>
      </c>
      <c r="F2197">
        <v>0.54435675880843204</v>
      </c>
      <c r="G2197">
        <v>0.41227121775331199</v>
      </c>
      <c r="H2197">
        <v>0.35279939608906402</v>
      </c>
      <c r="I2197">
        <v>0.343218943874951</v>
      </c>
      <c r="J2197">
        <v>0.34499484869113101</v>
      </c>
      <c r="K2197">
        <v>0.34680841499269499</v>
      </c>
      <c r="L2197">
        <v>750.97435952041099</v>
      </c>
      <c r="M2197">
        <v>14.881195838582601</v>
      </c>
      <c r="N2197">
        <v>54.183827331586798</v>
      </c>
      <c r="O2197">
        <v>49.579643625275999</v>
      </c>
      <c r="P2197">
        <v>-5.1033160810970098E-2</v>
      </c>
      <c r="Q2197">
        <v>0.31996265115408401</v>
      </c>
      <c r="R2197">
        <v>0.99371987133738104</v>
      </c>
      <c r="S2197" t="s">
        <v>5826</v>
      </c>
      <c r="T2197" t="s">
        <v>7256</v>
      </c>
      <c r="U2197" t="s">
        <v>7256</v>
      </c>
      <c r="V2197" t="s">
        <v>7256</v>
      </c>
      <c r="W2197">
        <v>12</v>
      </c>
      <c r="X2197" t="s">
        <v>9453</v>
      </c>
      <c r="Y2197">
        <v>0.57337240140636725</v>
      </c>
      <c r="Z2197" t="str">
        <f>HYPERLINK("Melting_Curves/meltCurve_sp_Q96C19_EFHD2_HUMAN_.pdf", "Melting_Curves/meltCurve_sp_Q96C19_EFHD2_HUMAN_.pdf")</f>
        <v>Melting_Curves/meltCurve_sp_Q96C19_EFHD2_HUMAN_.pdf</v>
      </c>
      <c r="AA2197" t="s">
        <v>13049</v>
      </c>
      <c r="AB2197" t="s">
        <v>16622</v>
      </c>
    </row>
    <row r="2198" spans="1:28" x14ac:dyDescent="0.25">
      <c r="A2198" t="s">
        <v>2202</v>
      </c>
      <c r="B2198">
        <v>0.98018197421672304</v>
      </c>
      <c r="C2198">
        <v>0.99297983193066597</v>
      </c>
      <c r="D2198">
        <v>0.92573723126170504</v>
      </c>
      <c r="E2198">
        <v>0.707424996356395</v>
      </c>
      <c r="F2198">
        <v>0.498811931702691</v>
      </c>
      <c r="G2198">
        <v>0.20409363399494401</v>
      </c>
      <c r="H2198">
        <v>0.130777970536337</v>
      </c>
      <c r="I2198">
        <v>9.1085305057941199E-2</v>
      </c>
      <c r="J2198">
        <v>7.7250223881008898E-2</v>
      </c>
      <c r="K2198">
        <v>4.7183750453785797E-2</v>
      </c>
      <c r="L2198">
        <v>942.62928334882702</v>
      </c>
      <c r="M2198">
        <v>17.987132780282401</v>
      </c>
      <c r="N2198">
        <v>52.712582895259501</v>
      </c>
      <c r="O2198">
        <v>51.770886001733999</v>
      </c>
      <c r="P2198">
        <v>-8.2546296926378104E-2</v>
      </c>
      <c r="Q2198">
        <v>4.9702123760129599E-2</v>
      </c>
      <c r="R2198">
        <v>0.99858587615084005</v>
      </c>
      <c r="S2198" t="s">
        <v>5827</v>
      </c>
      <c r="T2198" t="s">
        <v>7256</v>
      </c>
      <c r="U2198" t="s">
        <v>7256</v>
      </c>
      <c r="V2198" t="s">
        <v>7256</v>
      </c>
      <c r="W2198">
        <v>12</v>
      </c>
      <c r="X2198" t="s">
        <v>9454</v>
      </c>
      <c r="Y2198">
        <v>0.45841316163976609</v>
      </c>
      <c r="Z2198" t="str">
        <f>HYPERLINK("Melting_Curves/meltCurve_sp_Q96C23_GALM_HUMAN_.pdf", "Melting_Curves/meltCurve_sp_Q96C23_GALM_HUMAN_.pdf")</f>
        <v>Melting_Curves/meltCurve_sp_Q96C23_GALM_HUMAN_.pdf</v>
      </c>
      <c r="AA2198" t="s">
        <v>13050</v>
      </c>
      <c r="AB2198" t="s">
        <v>16623</v>
      </c>
    </row>
    <row r="2199" spans="1:28" x14ac:dyDescent="0.25">
      <c r="A2199" t="s">
        <v>2203</v>
      </c>
      <c r="B2199">
        <v>0.98018197421672304</v>
      </c>
      <c r="C2199">
        <v>1.0076642110518901</v>
      </c>
      <c r="D2199">
        <v>0.89447085454887898</v>
      </c>
      <c r="E2199">
        <v>0.58826773428191204</v>
      </c>
      <c r="F2199">
        <v>0.47570002951217599</v>
      </c>
      <c r="G2199">
        <v>0.30895077382790298</v>
      </c>
      <c r="H2199">
        <v>0.24228079900771399</v>
      </c>
      <c r="I2199">
        <v>0.22736009937525001</v>
      </c>
      <c r="J2199">
        <v>0.21618188793261001</v>
      </c>
      <c r="K2199">
        <v>0.235202322148618</v>
      </c>
      <c r="L2199">
        <v>917.92985971155201</v>
      </c>
      <c r="M2199">
        <v>18.248973625189802</v>
      </c>
      <c r="N2199">
        <v>51.946721549928803</v>
      </c>
      <c r="O2199">
        <v>49.708024088543702</v>
      </c>
      <c r="P2199">
        <v>-7.1629623295622905E-2</v>
      </c>
      <c r="Q2199">
        <v>0.21959447692906001</v>
      </c>
      <c r="R2199">
        <v>0.99440265465496702</v>
      </c>
      <c r="S2199" t="s">
        <v>5828</v>
      </c>
      <c r="T2199" t="s">
        <v>7256</v>
      </c>
      <c r="U2199" t="s">
        <v>7256</v>
      </c>
      <c r="V2199" t="s">
        <v>7256</v>
      </c>
      <c r="W2199">
        <v>1</v>
      </c>
      <c r="X2199" t="s">
        <v>9455</v>
      </c>
      <c r="Y2199">
        <v>0.50046423421275876</v>
      </c>
      <c r="Z2199" t="str">
        <f>HYPERLINK("Melting_Curves/meltCurve_sp_Q96C24_SYTL4_HUMAN_.pdf", "Melting_Curves/meltCurve_sp_Q96C24_SYTL4_HUMAN_.pdf")</f>
        <v>Melting_Curves/meltCurve_sp_Q96C24_SYTL4_HUMAN_.pdf</v>
      </c>
      <c r="AA2199" t="s">
        <v>13051</v>
      </c>
      <c r="AB2199" t="s">
        <v>16624</v>
      </c>
    </row>
    <row r="2200" spans="1:28" x14ac:dyDescent="0.25">
      <c r="A2200" t="s">
        <v>2204</v>
      </c>
      <c r="B2200">
        <v>0.98018197421672304</v>
      </c>
      <c r="C2200">
        <v>0.96850660474823802</v>
      </c>
      <c r="D2200">
        <v>0.94561709623653001</v>
      </c>
      <c r="E2200">
        <v>0.85711898853657398</v>
      </c>
      <c r="F2200">
        <v>0.72836309597687898</v>
      </c>
      <c r="G2200">
        <v>0.45635261469363803</v>
      </c>
      <c r="H2200">
        <v>0.12973830309720899</v>
      </c>
      <c r="I2200">
        <v>8.9885521110961306E-2</v>
      </c>
      <c r="J2200">
        <v>0.105318646524898</v>
      </c>
      <c r="K2200">
        <v>4.8562559547288199E-2</v>
      </c>
      <c r="L2200">
        <v>984.11882159553602</v>
      </c>
      <c r="M2200">
        <v>17.658170877749399</v>
      </c>
      <c r="N2200">
        <v>55.841064979084003</v>
      </c>
      <c r="O2200">
        <v>55.031616544523899</v>
      </c>
      <c r="P2200">
        <v>-7.8858390018673605E-2</v>
      </c>
      <c r="Q2200">
        <v>1.70049040167581E-2</v>
      </c>
      <c r="R2200">
        <v>0.99275039172405999</v>
      </c>
      <c r="S2200" t="s">
        <v>5829</v>
      </c>
      <c r="T2200" t="s">
        <v>7256</v>
      </c>
      <c r="U2200" t="s">
        <v>7256</v>
      </c>
      <c r="V2200" t="s">
        <v>7256</v>
      </c>
      <c r="W2200">
        <v>7</v>
      </c>
      <c r="X2200" t="s">
        <v>9456</v>
      </c>
      <c r="Y2200">
        <v>0.54752168526995626</v>
      </c>
      <c r="Z2200" t="str">
        <f>HYPERLINK("Melting_Curves/meltCurve_sp_Q96C86_DCPS_HUMAN_.pdf", "Melting_Curves/meltCurve_sp_Q96C86_DCPS_HUMAN_.pdf")</f>
        <v>Melting_Curves/meltCurve_sp_Q96C86_DCPS_HUMAN_.pdf</v>
      </c>
      <c r="AA2200" t="s">
        <v>13052</v>
      </c>
      <c r="AB2200" t="s">
        <v>16625</v>
      </c>
    </row>
    <row r="2201" spans="1:28" x14ac:dyDescent="0.25">
      <c r="A2201" t="s">
        <v>2205</v>
      </c>
      <c r="B2201">
        <v>0.98018197421672304</v>
      </c>
      <c r="C2201">
        <v>0.90123871769879504</v>
      </c>
      <c r="D2201">
        <v>0.86897284615051795</v>
      </c>
      <c r="E2201">
        <v>0.73163529655562598</v>
      </c>
      <c r="F2201">
        <v>0.54107300986146201</v>
      </c>
      <c r="G2201">
        <v>0.33473278911654097</v>
      </c>
      <c r="H2201">
        <v>0.31551539906965298</v>
      </c>
      <c r="I2201">
        <v>0.24829650858910701</v>
      </c>
      <c r="J2201">
        <v>0.34662198524306198</v>
      </c>
      <c r="K2201">
        <v>0.32131965316578598</v>
      </c>
      <c r="L2201">
        <v>824.98264395676199</v>
      </c>
      <c r="M2201">
        <v>16.2145917075743</v>
      </c>
      <c r="N2201">
        <v>53.5763634093069</v>
      </c>
      <c r="O2201">
        <v>50.124017556181002</v>
      </c>
      <c r="P2201">
        <v>-5.8315313323416301E-2</v>
      </c>
      <c r="Q2201">
        <v>0.27897531347711202</v>
      </c>
      <c r="R2201">
        <v>0.97722119817252695</v>
      </c>
      <c r="S2201" t="s">
        <v>5830</v>
      </c>
      <c r="T2201" t="s">
        <v>7256</v>
      </c>
      <c r="U2201" t="s">
        <v>7256</v>
      </c>
      <c r="V2201" t="s">
        <v>7256</v>
      </c>
      <c r="W2201">
        <v>3</v>
      </c>
      <c r="X2201" t="s">
        <v>9457</v>
      </c>
      <c r="Y2201">
        <v>0.55509025354826835</v>
      </c>
      <c r="Z2201" t="str">
        <f>HYPERLINK("Melting_Curves/meltCurve_sp_Q96CF2_CHM4C_HUMAN_.pdf", "Melting_Curves/meltCurve_sp_Q96CF2_CHM4C_HUMAN_.pdf")</f>
        <v>Melting_Curves/meltCurve_sp_Q96CF2_CHM4C_HUMAN_.pdf</v>
      </c>
      <c r="AA2201" t="s">
        <v>13053</v>
      </c>
      <c r="AB2201" t="s">
        <v>16626</v>
      </c>
    </row>
    <row r="2202" spans="1:28" x14ac:dyDescent="0.25">
      <c r="A2202" t="s">
        <v>2206</v>
      </c>
      <c r="B2202">
        <v>0.98018197421672304</v>
      </c>
      <c r="C2202">
        <v>1.0437379245346401</v>
      </c>
      <c r="D2202">
        <v>0.95250951057973998</v>
      </c>
      <c r="E2202">
        <v>0.86431981319862305</v>
      </c>
      <c r="F2202">
        <v>0.77190679574141796</v>
      </c>
      <c r="G2202">
        <v>0.54368815925689895</v>
      </c>
      <c r="H2202">
        <v>0.14019758311649999</v>
      </c>
      <c r="I2202">
        <v>7.9785137406603396E-2</v>
      </c>
      <c r="J2202">
        <v>5.9100930634025398E-2</v>
      </c>
      <c r="K2202">
        <v>3.4251109388473797E-2</v>
      </c>
      <c r="L2202">
        <v>1069.4193620620299</v>
      </c>
      <c r="M2202">
        <v>18.886422691928601</v>
      </c>
      <c r="N2202">
        <v>56.623712061695102</v>
      </c>
      <c r="O2202">
        <v>56.000351750395303</v>
      </c>
      <c r="P2202">
        <v>-8.43172988912438E-2</v>
      </c>
      <c r="Q2202">
        <v>0</v>
      </c>
      <c r="R2202">
        <v>0.98905543268068397</v>
      </c>
      <c r="S2202" t="s">
        <v>5831</v>
      </c>
      <c r="T2202" t="s">
        <v>7256</v>
      </c>
      <c r="U2202" t="s">
        <v>7256</v>
      </c>
      <c r="V2202" t="s">
        <v>7256</v>
      </c>
      <c r="W2202">
        <v>9</v>
      </c>
      <c r="X2202" t="s">
        <v>9458</v>
      </c>
      <c r="Y2202">
        <v>0.56752798694463891</v>
      </c>
      <c r="Z2202" t="str">
        <f>HYPERLINK("Melting_Curves/meltCurve_sp_Q96CN7_ISOC1_HUMAN_.pdf", "Melting_Curves/meltCurve_sp_Q96CN7_ISOC1_HUMAN_.pdf")</f>
        <v>Melting_Curves/meltCurve_sp_Q96CN7_ISOC1_HUMAN_.pdf</v>
      </c>
      <c r="AA2202" t="s">
        <v>13054</v>
      </c>
      <c r="AB2202" t="s">
        <v>16627</v>
      </c>
    </row>
    <row r="2203" spans="1:28" x14ac:dyDescent="0.25">
      <c r="A2203" t="s">
        <v>2207</v>
      </c>
      <c r="B2203">
        <v>0.98018197421672304</v>
      </c>
      <c r="C2203">
        <v>0.90563845508549601</v>
      </c>
      <c r="D2203">
        <v>0.94132079788291401</v>
      </c>
      <c r="E2203">
        <v>0.715661526886744</v>
      </c>
      <c r="F2203">
        <v>0.73759443007141301</v>
      </c>
      <c r="G2203">
        <v>0.455743375462557</v>
      </c>
      <c r="H2203">
        <v>0.45906980456864699</v>
      </c>
      <c r="I2203">
        <v>0.39573361272169499</v>
      </c>
      <c r="J2203">
        <v>0.486484283059818</v>
      </c>
      <c r="K2203">
        <v>0.66993227650101095</v>
      </c>
      <c r="L2203">
        <v>914.50996786266603</v>
      </c>
      <c r="M2203">
        <v>18.198207583061802</v>
      </c>
      <c r="N2203">
        <v>63.529999714774398</v>
      </c>
      <c r="O2203">
        <v>49.657746280395102</v>
      </c>
      <c r="P2203">
        <v>-4.6832748494719301E-2</v>
      </c>
      <c r="Q2203">
        <v>0.48885120054034198</v>
      </c>
      <c r="R2203">
        <v>0.83513322674457302</v>
      </c>
      <c r="S2203" t="s">
        <v>5832</v>
      </c>
      <c r="T2203" t="s">
        <v>7256</v>
      </c>
      <c r="U2203" t="s">
        <v>7256</v>
      </c>
      <c r="V2203" t="s">
        <v>7256</v>
      </c>
      <c r="W2203">
        <v>3</v>
      </c>
      <c r="X2203" t="s">
        <v>9459</v>
      </c>
      <c r="Y2203">
        <v>0.67205266257446961</v>
      </c>
      <c r="Z2203" t="str">
        <f>HYPERLINK("Melting_Curves/meltCurve_sp_Q96CP2_FWCH2_HUMAN_.pdf", "Melting_Curves/meltCurve_sp_Q96CP2_FWCH2_HUMAN_.pdf")</f>
        <v>Melting_Curves/meltCurve_sp_Q96CP2_FWCH2_HUMAN_.pdf</v>
      </c>
      <c r="AA2203" t="s">
        <v>13055</v>
      </c>
      <c r="AB2203" t="s">
        <v>16628</v>
      </c>
    </row>
    <row r="2204" spans="1:28" x14ac:dyDescent="0.25">
      <c r="A2204" t="s">
        <v>2208</v>
      </c>
      <c r="B2204">
        <v>0.98018197421672304</v>
      </c>
      <c r="C2204">
        <v>0.99282501675589196</v>
      </c>
      <c r="D2204">
        <v>0.852654843244253</v>
      </c>
      <c r="E2204">
        <v>0.65499733778894798</v>
      </c>
      <c r="F2204">
        <v>0.47325652646416999</v>
      </c>
      <c r="G2204">
        <v>0.32895855173370903</v>
      </c>
      <c r="H2204">
        <v>0.23838245424768401</v>
      </c>
      <c r="I2204">
        <v>0.22267051401670099</v>
      </c>
      <c r="J2204">
        <v>0.35325869665628401</v>
      </c>
      <c r="K2204">
        <v>0.228914692689834</v>
      </c>
      <c r="L2204">
        <v>893.707607684555</v>
      </c>
      <c r="M2204">
        <v>17.763483007763401</v>
      </c>
      <c r="N2204">
        <v>52.320284651377001</v>
      </c>
      <c r="O2204">
        <v>49.686896922298203</v>
      </c>
      <c r="P2204">
        <v>-6.7286620880141396E-2</v>
      </c>
      <c r="Q2204">
        <v>0.247199744056642</v>
      </c>
      <c r="R2204">
        <v>0.98284544947654695</v>
      </c>
      <c r="S2204" t="s">
        <v>5833</v>
      </c>
      <c r="T2204" t="s">
        <v>7256</v>
      </c>
      <c r="U2204" t="s">
        <v>7256</v>
      </c>
      <c r="V2204" t="s">
        <v>7256</v>
      </c>
      <c r="W2204">
        <v>2</v>
      </c>
      <c r="X2204" t="s">
        <v>9460</v>
      </c>
      <c r="Y2204">
        <v>0.51905691781747287</v>
      </c>
      <c r="Z2204" t="str">
        <f>HYPERLINK("Melting_Curves/meltCurve_sp_Q96CS3_FAF2_HUMAN_.pdf", "Melting_Curves/meltCurve_sp_Q96CS3_FAF2_HUMAN_.pdf")</f>
        <v>Melting_Curves/meltCurve_sp_Q96CS3_FAF2_HUMAN_.pdf</v>
      </c>
      <c r="AA2204" t="s">
        <v>13056</v>
      </c>
      <c r="AB2204" t="s">
        <v>16629</v>
      </c>
    </row>
    <row r="2205" spans="1:28" x14ac:dyDescent="0.25">
      <c r="A2205" t="s">
        <v>2209</v>
      </c>
      <c r="B2205">
        <v>0.98018197421672304</v>
      </c>
      <c r="C2205">
        <v>0.76374551718269201</v>
      </c>
      <c r="D2205">
        <v>0.82843662061433099</v>
      </c>
      <c r="E2205">
        <v>0.87131972765050902</v>
      </c>
      <c r="F2205">
        <v>0.83243338291949798</v>
      </c>
      <c r="G2205">
        <v>0.71103451216575597</v>
      </c>
      <c r="H2205">
        <v>0.73043743564831498</v>
      </c>
      <c r="I2205">
        <v>0.71678941260495099</v>
      </c>
      <c r="J2205">
        <v>0.95759550012005101</v>
      </c>
      <c r="K2205">
        <v>0.64505515960283399</v>
      </c>
      <c r="L2205">
        <v>425.75445887938099</v>
      </c>
      <c r="M2205">
        <v>10.1061997728523</v>
      </c>
      <c r="O2205">
        <v>40.578364758796397</v>
      </c>
      <c r="P2205">
        <v>-1.50588795070319E-2</v>
      </c>
      <c r="Q2205">
        <v>0.75825564353474795</v>
      </c>
      <c r="R2205">
        <v>0.24534372092721701</v>
      </c>
      <c r="S2205" t="s">
        <v>5834</v>
      </c>
      <c r="T2205" t="s">
        <v>7256</v>
      </c>
      <c r="U2205" t="s">
        <v>7256</v>
      </c>
      <c r="V2205" t="s">
        <v>7256</v>
      </c>
      <c r="W2205">
        <v>2</v>
      </c>
      <c r="X2205" t="s">
        <v>9461</v>
      </c>
      <c r="Y2205">
        <v>0.79744850857881056</v>
      </c>
      <c r="Z2205" t="str">
        <f>HYPERLINK("Melting_Curves/meltCurve_sp_Q96CT7_CC124_HUMAN_.pdf", "Melting_Curves/meltCurve_sp_Q96CT7_CC124_HUMAN_.pdf")</f>
        <v>Melting_Curves/meltCurve_sp_Q96CT7_CC124_HUMAN_.pdf</v>
      </c>
      <c r="AA2205" t="s">
        <v>13057</v>
      </c>
      <c r="AB2205" t="s">
        <v>16630</v>
      </c>
    </row>
    <row r="2206" spans="1:28" x14ac:dyDescent="0.25">
      <c r="A2206" t="s">
        <v>2210</v>
      </c>
      <c r="B2206">
        <v>0.98018197421672304</v>
      </c>
      <c r="C2206">
        <v>0.94243812034992602</v>
      </c>
      <c r="D2206">
        <v>0.90110123169732204</v>
      </c>
      <c r="E2206">
        <v>0.78041915471231504</v>
      </c>
      <c r="F2206">
        <v>0.66584229884743495</v>
      </c>
      <c r="G2206">
        <v>0.53462952230664496</v>
      </c>
      <c r="H2206">
        <v>0.51567427170518099</v>
      </c>
      <c r="I2206">
        <v>0.54682334350227402</v>
      </c>
      <c r="J2206">
        <v>0.664458474476744</v>
      </c>
      <c r="K2206">
        <v>0.63648586573165</v>
      </c>
      <c r="L2206">
        <v>995.290755428122</v>
      </c>
      <c r="M2206">
        <v>20.264026052879899</v>
      </c>
      <c r="O2206">
        <v>48.645321843090699</v>
      </c>
      <c r="P2206">
        <v>-4.4044572937783098E-2</v>
      </c>
      <c r="Q2206">
        <v>0.57708381755743798</v>
      </c>
      <c r="R2206">
        <v>0.91251232297160201</v>
      </c>
      <c r="S2206" t="s">
        <v>5835</v>
      </c>
      <c r="T2206" t="s">
        <v>7256</v>
      </c>
      <c r="U2206" t="s">
        <v>7256</v>
      </c>
      <c r="V2206" t="s">
        <v>7256</v>
      </c>
      <c r="W2206">
        <v>9</v>
      </c>
      <c r="X2206" t="s">
        <v>9462</v>
      </c>
      <c r="Y2206">
        <v>0.71135881636990106</v>
      </c>
      <c r="Z2206" t="str">
        <f>HYPERLINK("Melting_Curves/meltCurve_sp_Q96CV9_OPTN_HUMAN_.pdf", "Melting_Curves/meltCurve_sp_Q96CV9_OPTN_HUMAN_.pdf")</f>
        <v>Melting_Curves/meltCurve_sp_Q96CV9_OPTN_HUMAN_.pdf</v>
      </c>
      <c r="AA2206" t="s">
        <v>13058</v>
      </c>
      <c r="AB2206" t="s">
        <v>16631</v>
      </c>
    </row>
    <row r="2207" spans="1:28" x14ac:dyDescent="0.25">
      <c r="A2207" t="s">
        <v>2211</v>
      </c>
      <c r="B2207">
        <v>0.98018197421672304</v>
      </c>
      <c r="C2207">
        <v>0.99946188987763795</v>
      </c>
      <c r="D2207">
        <v>0.89163508561200799</v>
      </c>
      <c r="E2207">
        <v>0.74984049412153897</v>
      </c>
      <c r="F2207">
        <v>0.419750485219963</v>
      </c>
      <c r="G2207">
        <v>0.17558092593760299</v>
      </c>
      <c r="H2207">
        <v>0.108938494384997</v>
      </c>
      <c r="I2207">
        <v>5.9489970332893299E-2</v>
      </c>
      <c r="J2207">
        <v>0.163362890708803</v>
      </c>
      <c r="K2207">
        <v>4.7987896120246801E-2</v>
      </c>
      <c r="L2207">
        <v>1170.8519643014599</v>
      </c>
      <c r="M2207">
        <v>22.5866674356954</v>
      </c>
      <c r="N2207">
        <v>52.242661840700897</v>
      </c>
      <c r="O2207">
        <v>51.436969223959203</v>
      </c>
      <c r="P2207">
        <v>-0.10097452247531701</v>
      </c>
      <c r="Q2207">
        <v>8.0215000178806797E-2</v>
      </c>
      <c r="R2207">
        <v>0.99091033586128796</v>
      </c>
      <c r="S2207" t="s">
        <v>5836</v>
      </c>
      <c r="T2207" t="s">
        <v>7256</v>
      </c>
      <c r="U2207" t="s">
        <v>7256</v>
      </c>
      <c r="V2207" t="s">
        <v>7256</v>
      </c>
      <c r="W2207">
        <v>15</v>
      </c>
      <c r="X2207" t="s">
        <v>9463</v>
      </c>
      <c r="Y2207">
        <v>0.45334359484059328</v>
      </c>
      <c r="Z2207" t="str">
        <f>HYPERLINK("Melting_Curves/meltCurve_sp_Q96CW1_2_AP2M1_HUMAN_.pdf", "Melting_Curves/meltCurve_sp_Q96CW1_2_AP2M1_HUMAN_.pdf")</f>
        <v>Melting_Curves/meltCurve_sp_Q96CW1_2_AP2M1_HUMAN_.pdf</v>
      </c>
      <c r="AA2207" t="s">
        <v>13059</v>
      </c>
      <c r="AB2207" t="s">
        <v>16632</v>
      </c>
    </row>
    <row r="2208" spans="1:28" x14ac:dyDescent="0.25">
      <c r="A2208" t="s">
        <v>2212</v>
      </c>
      <c r="B2208">
        <v>0.98018197421672304</v>
      </c>
      <c r="C2208">
        <v>1.04485208004709</v>
      </c>
      <c r="D2208">
        <v>0.94418451121213698</v>
      </c>
      <c r="E2208">
        <v>0.65087296912012105</v>
      </c>
      <c r="F2208">
        <v>0.48136569852234601</v>
      </c>
      <c r="G2208">
        <v>0.44677169819209001</v>
      </c>
      <c r="H2208">
        <v>0.26928810125017</v>
      </c>
      <c r="I2208">
        <v>0.181978749717217</v>
      </c>
      <c r="J2208">
        <v>0.185807702193584</v>
      </c>
      <c r="K2208">
        <v>8.6547851638418993E-2</v>
      </c>
      <c r="L2208">
        <v>667.10695358018199</v>
      </c>
      <c r="M2208">
        <v>12.597656516629799</v>
      </c>
      <c r="N2208">
        <v>53.926279505443198</v>
      </c>
      <c r="O2208">
        <v>51.673625705069099</v>
      </c>
      <c r="P2208">
        <v>-5.4772035886298198E-2</v>
      </c>
      <c r="Q2208">
        <v>0.101513918688139</v>
      </c>
      <c r="R2208">
        <v>0.97324956848945499</v>
      </c>
      <c r="S2208" t="s">
        <v>5837</v>
      </c>
      <c r="T2208" t="s">
        <v>7256</v>
      </c>
      <c r="U2208" t="s">
        <v>7256</v>
      </c>
      <c r="V2208" t="s">
        <v>7256</v>
      </c>
      <c r="W2208">
        <v>1</v>
      </c>
      <c r="X2208" t="s">
        <v>9464</v>
      </c>
      <c r="Y2208">
        <v>0.51377553225592376</v>
      </c>
      <c r="Z2208" t="str">
        <f>HYPERLINK("Melting_Curves/meltCurve_sp_Q96CW5_3_GCP3_HUMAN_.pdf", "Melting_Curves/meltCurve_sp_Q96CW5_3_GCP3_HUMAN_.pdf")</f>
        <v>Melting_Curves/meltCurve_sp_Q96CW5_3_GCP3_HUMAN_.pdf</v>
      </c>
      <c r="AA2208" t="s">
        <v>13060</v>
      </c>
      <c r="AB2208" t="s">
        <v>16633</v>
      </c>
    </row>
    <row r="2209" spans="1:28" x14ac:dyDescent="0.25">
      <c r="A2209" t="s">
        <v>2213</v>
      </c>
      <c r="B2209">
        <v>0.98018197421672304</v>
      </c>
      <c r="C2209">
        <v>0.95084917786713896</v>
      </c>
      <c r="D2209">
        <v>0.84274805350890702</v>
      </c>
      <c r="E2209">
        <v>0.72549236482020796</v>
      </c>
      <c r="F2209">
        <v>0.50556632967069004</v>
      </c>
      <c r="G2209">
        <v>0.35894499706050598</v>
      </c>
      <c r="H2209">
        <v>0.132312355953733</v>
      </c>
      <c r="I2209">
        <v>0.20018239894598899</v>
      </c>
      <c r="J2209">
        <v>0.21180135809278999</v>
      </c>
      <c r="K2209">
        <v>0</v>
      </c>
      <c r="L2209">
        <v>615.96370727826604</v>
      </c>
      <c r="M2209">
        <v>11.558990104923</v>
      </c>
      <c r="N2209">
        <v>53.5572263450292</v>
      </c>
      <c r="O2209">
        <v>51.768655917254499</v>
      </c>
      <c r="P2209">
        <v>-5.4264029324384698E-2</v>
      </c>
      <c r="Q2209">
        <v>2.8152713472627201E-2</v>
      </c>
      <c r="R2209">
        <v>0.97553755939957099</v>
      </c>
      <c r="S2209" t="s">
        <v>5838</v>
      </c>
      <c r="T2209" t="s">
        <v>7256</v>
      </c>
      <c r="U2209" t="s">
        <v>7256</v>
      </c>
      <c r="V2209" t="s">
        <v>7256</v>
      </c>
      <c r="W2209">
        <v>3</v>
      </c>
      <c r="X2209" t="s">
        <v>9465</v>
      </c>
      <c r="Y2209">
        <v>0.48674849935745917</v>
      </c>
      <c r="Z2209" t="str">
        <f>HYPERLINK("Melting_Curves/meltCurve_sp_Q96CX2_KCD12_HUMAN_.pdf", "Melting_Curves/meltCurve_sp_Q96CX2_KCD12_HUMAN_.pdf")</f>
        <v>Melting_Curves/meltCurve_sp_Q96CX2_KCD12_HUMAN_.pdf</v>
      </c>
      <c r="AA2209" t="s">
        <v>13061</v>
      </c>
      <c r="AB2209" t="s">
        <v>16634</v>
      </c>
    </row>
    <row r="2210" spans="1:28" x14ac:dyDescent="0.25">
      <c r="A2210" t="s">
        <v>2214</v>
      </c>
      <c r="B2210">
        <v>0.98018197421672304</v>
      </c>
      <c r="C2210">
        <v>0.97473429349184004</v>
      </c>
      <c r="D2210">
        <v>0.86260382478750197</v>
      </c>
      <c r="E2210">
        <v>0.64376320071224902</v>
      </c>
      <c r="F2210">
        <v>0.29921598218576201</v>
      </c>
      <c r="G2210">
        <v>0.16608054392421401</v>
      </c>
      <c r="H2210">
        <v>0.104968667973597</v>
      </c>
      <c r="I2210">
        <v>0.102029906477176</v>
      </c>
      <c r="J2210">
        <v>9.9632419159321597E-2</v>
      </c>
      <c r="K2210">
        <v>9.5611588736971398E-2</v>
      </c>
      <c r="L2210">
        <v>1090.76959263244</v>
      </c>
      <c r="M2210">
        <v>21.573821110719201</v>
      </c>
      <c r="N2210">
        <v>51.023419303403898</v>
      </c>
      <c r="O2210">
        <v>50.131471351775303</v>
      </c>
      <c r="P2210">
        <v>-9.8014138905310993E-2</v>
      </c>
      <c r="Q2210">
        <v>8.89931971955671E-2</v>
      </c>
      <c r="R2210">
        <v>0.99598717093621303</v>
      </c>
      <c r="S2210" t="s">
        <v>5839</v>
      </c>
      <c r="T2210" t="s">
        <v>7256</v>
      </c>
      <c r="U2210" t="s">
        <v>7256</v>
      </c>
      <c r="V2210" t="s">
        <v>7256</v>
      </c>
      <c r="W2210">
        <v>4</v>
      </c>
      <c r="X2210" t="s">
        <v>9466</v>
      </c>
      <c r="Y2210">
        <v>0.42060670242163112</v>
      </c>
      <c r="Z2210" t="str">
        <f>HYPERLINK("Melting_Curves/meltCurve_sp_Q96D46_NMD3_HUMAN_.pdf", "Melting_Curves/meltCurve_sp_Q96D46_NMD3_HUMAN_.pdf")</f>
        <v>Melting_Curves/meltCurve_sp_Q96D46_NMD3_HUMAN_.pdf</v>
      </c>
      <c r="AA2210" t="s">
        <v>13062</v>
      </c>
      <c r="AB2210" t="s">
        <v>16635</v>
      </c>
    </row>
    <row r="2211" spans="1:28" x14ac:dyDescent="0.25">
      <c r="A2211" t="s">
        <v>2215</v>
      </c>
      <c r="B2211">
        <v>0.98018197421672304</v>
      </c>
      <c r="C2211">
        <v>0.87772034724154402</v>
      </c>
      <c r="D2211">
        <v>0.87308879766633696</v>
      </c>
      <c r="E2211">
        <v>0.56273015634857804</v>
      </c>
      <c r="F2211">
        <v>0.35254434355797198</v>
      </c>
      <c r="G2211">
        <v>0.22036800446882099</v>
      </c>
      <c r="H2211">
        <v>0.30785301740871002</v>
      </c>
      <c r="I2211">
        <v>0.32912848727718003</v>
      </c>
      <c r="J2211">
        <v>0.412276995487869</v>
      </c>
      <c r="K2211">
        <v>0.42558694215416099</v>
      </c>
      <c r="L2211">
        <v>1301.4201533235801</v>
      </c>
      <c r="M2211">
        <v>26.915076825073101</v>
      </c>
      <c r="N2211">
        <v>50.417078673211698</v>
      </c>
      <c r="O2211">
        <v>48.088274178676997</v>
      </c>
      <c r="P2211">
        <v>-9.3205762509043E-2</v>
      </c>
      <c r="Q2211">
        <v>0.33389610874289999</v>
      </c>
      <c r="R2211">
        <v>0.93549526610341804</v>
      </c>
      <c r="S2211" t="s">
        <v>5840</v>
      </c>
      <c r="T2211" t="s">
        <v>7256</v>
      </c>
      <c r="U2211" t="s">
        <v>7256</v>
      </c>
      <c r="V2211" t="s">
        <v>7256</v>
      </c>
      <c r="W2211">
        <v>9</v>
      </c>
      <c r="X2211" t="s">
        <v>9467</v>
      </c>
      <c r="Y2211">
        <v>0.52440107584585294</v>
      </c>
      <c r="Z2211" t="str">
        <f>HYPERLINK("Melting_Curves/meltCurve_sp_Q96D71_2_REPS1_HUMAN_.pdf", "Melting_Curves/meltCurve_sp_Q96D71_2_REPS1_HUMAN_.pdf")</f>
        <v>Melting_Curves/meltCurve_sp_Q96D71_2_REPS1_HUMAN_.pdf</v>
      </c>
      <c r="AA2211" t="s">
        <v>13063</v>
      </c>
      <c r="AB2211" t="s">
        <v>16636</v>
      </c>
    </row>
    <row r="2212" spans="1:28" x14ac:dyDescent="0.25">
      <c r="A2212" t="s">
        <v>2216</v>
      </c>
      <c r="B2212">
        <v>0.98018197421672304</v>
      </c>
      <c r="C2212">
        <v>1.0356512068869601</v>
      </c>
      <c r="D2212">
        <v>0.91446746138659096</v>
      </c>
      <c r="E2212">
        <v>0.82259537887537604</v>
      </c>
      <c r="F2212">
        <v>0.70531258520759998</v>
      </c>
      <c r="G2212">
        <v>0.43071861361112601</v>
      </c>
      <c r="H2212">
        <v>0.181548963062621</v>
      </c>
      <c r="I2212">
        <v>9.0831420738766003E-2</v>
      </c>
      <c r="J2212">
        <v>5.9332294013862703E-2</v>
      </c>
      <c r="K2212">
        <v>6.6611795337087998E-2</v>
      </c>
      <c r="L2212">
        <v>860.65719449064204</v>
      </c>
      <c r="M2212">
        <v>15.4736949732581</v>
      </c>
      <c r="N2212">
        <v>55.620685354635</v>
      </c>
      <c r="O2212">
        <v>54.716514264562498</v>
      </c>
      <c r="P2212">
        <v>-7.0705676617298305E-2</v>
      </c>
      <c r="Q2212">
        <v>0</v>
      </c>
      <c r="R2212">
        <v>0.99431284907099404</v>
      </c>
      <c r="S2212" t="s">
        <v>5841</v>
      </c>
      <c r="T2212" t="s">
        <v>7256</v>
      </c>
      <c r="U2212" t="s">
        <v>7256</v>
      </c>
      <c r="V2212" t="s">
        <v>7256</v>
      </c>
      <c r="W2212">
        <v>15</v>
      </c>
      <c r="X2212" t="s">
        <v>9468</v>
      </c>
      <c r="Y2212">
        <v>0.53851395469122565</v>
      </c>
      <c r="Z2212" t="str">
        <f>HYPERLINK("Melting_Curves/meltCurve_sp_Q96DC8_ECHD3_HUMAN_.pdf", "Melting_Curves/meltCurve_sp_Q96DC8_ECHD3_HUMAN_.pdf")</f>
        <v>Melting_Curves/meltCurve_sp_Q96DC8_ECHD3_HUMAN_.pdf</v>
      </c>
      <c r="AA2212" t="s">
        <v>13064</v>
      </c>
      <c r="AB2212" t="s">
        <v>16637</v>
      </c>
    </row>
    <row r="2213" spans="1:28" x14ac:dyDescent="0.25">
      <c r="A2213" t="s">
        <v>2217</v>
      </c>
      <c r="B2213">
        <v>0.98018197421672304</v>
      </c>
      <c r="C2213">
        <v>0.947983038636391</v>
      </c>
      <c r="D2213">
        <v>0.78903131136208704</v>
      </c>
      <c r="E2213">
        <v>0.59068387397530298</v>
      </c>
      <c r="F2213">
        <v>0.34405917703252498</v>
      </c>
      <c r="G2213">
        <v>0.151716603219576</v>
      </c>
      <c r="H2213">
        <v>9.6274086212152596E-2</v>
      </c>
      <c r="I2213">
        <v>6.1981012920531001E-2</v>
      </c>
      <c r="J2213">
        <v>4.8453976216370598E-2</v>
      </c>
      <c r="K2213">
        <v>3.24155804971481E-2</v>
      </c>
      <c r="L2213">
        <v>755.173787300659</v>
      </c>
      <c r="M2213">
        <v>14.907838969783199</v>
      </c>
      <c r="N2213">
        <v>50.774857413402898</v>
      </c>
      <c r="O2213">
        <v>49.770868869895601</v>
      </c>
      <c r="P2213">
        <v>-7.3607397046032502E-2</v>
      </c>
      <c r="Q2213">
        <v>1.7127838404272702E-2</v>
      </c>
      <c r="R2213">
        <v>0.99776648453500405</v>
      </c>
      <c r="S2213" t="s">
        <v>5842</v>
      </c>
      <c r="T2213" t="s">
        <v>7256</v>
      </c>
      <c r="U2213" t="s">
        <v>7256</v>
      </c>
      <c r="V2213" t="s">
        <v>7256</v>
      </c>
      <c r="W2213">
        <v>5</v>
      </c>
      <c r="X2213" t="s">
        <v>9469</v>
      </c>
      <c r="Y2213">
        <v>0.38944564511926721</v>
      </c>
      <c r="Z2213" t="str">
        <f>HYPERLINK("Melting_Curves/meltCurve_sp_Q96DE0_NUD16_HUMAN_.pdf", "Melting_Curves/meltCurve_sp_Q96DE0_NUD16_HUMAN_.pdf")</f>
        <v>Melting_Curves/meltCurve_sp_Q96DE0_NUD16_HUMAN_.pdf</v>
      </c>
      <c r="AA2213" t="s">
        <v>13065</v>
      </c>
      <c r="AB2213" t="s">
        <v>16638</v>
      </c>
    </row>
    <row r="2214" spans="1:28" x14ac:dyDescent="0.25">
      <c r="A2214" t="s">
        <v>2218</v>
      </c>
      <c r="B2214">
        <v>0.98018197421672304</v>
      </c>
      <c r="C2214">
        <v>0.94698566893133196</v>
      </c>
      <c r="D2214">
        <v>0.95872372752448298</v>
      </c>
      <c r="E2214">
        <v>0.83379047225467595</v>
      </c>
      <c r="F2214">
        <v>0.84085201867272497</v>
      </c>
      <c r="G2214">
        <v>0.403216630221441</v>
      </c>
      <c r="H2214">
        <v>0.16311995273646099</v>
      </c>
      <c r="I2214">
        <v>0.130144765211647</v>
      </c>
      <c r="J2214">
        <v>9.8532896544326801E-2</v>
      </c>
      <c r="K2214">
        <v>9.9636862753395894E-2</v>
      </c>
      <c r="L2214">
        <v>1266.49348464881</v>
      </c>
      <c r="M2214">
        <v>22.764763831145</v>
      </c>
      <c r="N2214">
        <v>56.051785567496999</v>
      </c>
      <c r="O2214">
        <v>55.209993609644201</v>
      </c>
      <c r="P2214">
        <v>-9.5039995461536894E-2</v>
      </c>
      <c r="Q2214">
        <v>7.8039526228650902E-2</v>
      </c>
      <c r="R2214">
        <v>0.98627933804933099</v>
      </c>
      <c r="S2214" t="s">
        <v>5843</v>
      </c>
      <c r="T2214" t="s">
        <v>7256</v>
      </c>
      <c r="U2214" t="s">
        <v>7256</v>
      </c>
      <c r="V2214" t="s">
        <v>7256</v>
      </c>
      <c r="W2214">
        <v>17</v>
      </c>
      <c r="X2214" t="s">
        <v>9470</v>
      </c>
      <c r="Y2214">
        <v>0.56841355462743515</v>
      </c>
      <c r="Z2214" t="str">
        <f>HYPERLINK("Melting_Curves/meltCurve_sp_Q96DG6_CMBL_HUMAN_.pdf", "Melting_Curves/meltCurve_sp_Q96DG6_CMBL_HUMAN_.pdf")</f>
        <v>Melting_Curves/meltCurve_sp_Q96DG6_CMBL_HUMAN_.pdf</v>
      </c>
      <c r="AA2214" t="s">
        <v>13066</v>
      </c>
      <c r="AB2214" t="s">
        <v>16639</v>
      </c>
    </row>
    <row r="2215" spans="1:28" x14ac:dyDescent="0.25">
      <c r="A2215" t="s">
        <v>2219</v>
      </c>
      <c r="B2215">
        <v>0.98018197421672304</v>
      </c>
      <c r="C2215">
        <v>0.97718466599450704</v>
      </c>
      <c r="D2215">
        <v>0.88512990768060595</v>
      </c>
      <c r="E2215">
        <v>0.78336894658589395</v>
      </c>
      <c r="F2215">
        <v>0.68973743716513003</v>
      </c>
      <c r="G2215">
        <v>0.50182778184462895</v>
      </c>
      <c r="H2215">
        <v>0.45248530121643099</v>
      </c>
      <c r="I2215">
        <v>0.435675400464825</v>
      </c>
      <c r="J2215">
        <v>0.60830854094781195</v>
      </c>
      <c r="K2215">
        <v>0.69131679557187298</v>
      </c>
      <c r="L2215">
        <v>1009.5813829459</v>
      </c>
      <c r="M2215">
        <v>20.239135557789499</v>
      </c>
      <c r="O2215">
        <v>49.403284013909001</v>
      </c>
      <c r="P2215">
        <v>-4.7505342354060398E-2</v>
      </c>
      <c r="Q2215">
        <v>0.53617620880077699</v>
      </c>
      <c r="R2215">
        <v>0.84521499328579297</v>
      </c>
      <c r="S2215" t="s">
        <v>5844</v>
      </c>
      <c r="T2215" t="s">
        <v>7256</v>
      </c>
      <c r="U2215" t="s">
        <v>7256</v>
      </c>
      <c r="V2215" t="s">
        <v>7256</v>
      </c>
      <c r="W2215">
        <v>1</v>
      </c>
      <c r="X2215" t="s">
        <v>9471</v>
      </c>
      <c r="Y2215">
        <v>0.69528072117647</v>
      </c>
      <c r="Z2215" t="str">
        <f>HYPERLINK("Melting_Curves/meltCurve_sp_Q96DR7_ARHGQ_HUMAN_.pdf", "Melting_Curves/meltCurve_sp_Q96DR7_ARHGQ_HUMAN_.pdf")</f>
        <v>Melting_Curves/meltCurve_sp_Q96DR7_ARHGQ_HUMAN_.pdf</v>
      </c>
      <c r="AA2215" t="s">
        <v>13067</v>
      </c>
      <c r="AB2215" t="s">
        <v>16640</v>
      </c>
    </row>
    <row r="2216" spans="1:28" x14ac:dyDescent="0.25">
      <c r="A2216" t="s">
        <v>2220</v>
      </c>
      <c r="B2216">
        <v>0.98018197421672304</v>
      </c>
      <c r="C2216">
        <v>1.0063942124851</v>
      </c>
      <c r="D2216">
        <v>0.79680421838776205</v>
      </c>
      <c r="E2216">
        <v>0.31818515546597598</v>
      </c>
      <c r="F2216">
        <v>0.25249467068415599</v>
      </c>
      <c r="G2216">
        <v>0.235995058172245</v>
      </c>
      <c r="H2216">
        <v>0.111489509839986</v>
      </c>
      <c r="I2216">
        <v>0.106273793407601</v>
      </c>
      <c r="J2216">
        <v>3.5382986855001103E-2</v>
      </c>
      <c r="K2216">
        <v>7.0572427402531696E-2</v>
      </c>
      <c r="L2216">
        <v>1151.58673984597</v>
      </c>
      <c r="M2216">
        <v>23.886349352467001</v>
      </c>
      <c r="N2216">
        <v>48.705597716392802</v>
      </c>
      <c r="O2216">
        <v>47.876986696931198</v>
      </c>
      <c r="P2216">
        <v>-0.111299233895735</v>
      </c>
      <c r="Q2216">
        <v>0.107676788076512</v>
      </c>
      <c r="R2216">
        <v>0.97975541390146204</v>
      </c>
      <c r="S2216" t="s">
        <v>5845</v>
      </c>
      <c r="T2216" t="s">
        <v>7256</v>
      </c>
      <c r="U2216" t="s">
        <v>7256</v>
      </c>
      <c r="V2216" t="s">
        <v>7256</v>
      </c>
      <c r="W2216">
        <v>1</v>
      </c>
      <c r="X2216" t="s">
        <v>9472</v>
      </c>
      <c r="Y2216">
        <v>0.36058935807737552</v>
      </c>
      <c r="Z2216" t="str">
        <f>HYPERLINK("Melting_Curves/meltCurve_sp_Q96DV4_RM38_HUMAN_.pdf", "Melting_Curves/meltCurve_sp_Q96DV4_RM38_HUMAN_.pdf")</f>
        <v>Melting_Curves/meltCurve_sp_Q96DV4_RM38_HUMAN_.pdf</v>
      </c>
      <c r="AA2216" t="s">
        <v>13068</v>
      </c>
      <c r="AB2216" t="s">
        <v>16641</v>
      </c>
    </row>
    <row r="2217" spans="1:28" x14ac:dyDescent="0.25">
      <c r="A2217" t="s">
        <v>2221</v>
      </c>
      <c r="B2217">
        <v>0.98018197421672304</v>
      </c>
      <c r="C2217">
        <v>0.89937312611285403</v>
      </c>
      <c r="D2217">
        <v>0.91987107378656896</v>
      </c>
      <c r="E2217">
        <v>0.74015721048276095</v>
      </c>
      <c r="F2217">
        <v>0.59670690753289901</v>
      </c>
      <c r="G2217">
        <v>0.350233115006716</v>
      </c>
      <c r="H2217">
        <v>0.251215915903996</v>
      </c>
      <c r="I2217">
        <v>0.223424707490566</v>
      </c>
      <c r="J2217">
        <v>0.308700409276363</v>
      </c>
      <c r="K2217">
        <v>0.25105309407596399</v>
      </c>
      <c r="L2217">
        <v>862.85790973305905</v>
      </c>
      <c r="M2217">
        <v>16.5718975039028</v>
      </c>
      <c r="N2217">
        <v>54.046931212766602</v>
      </c>
      <c r="O2217">
        <v>51.327068907079799</v>
      </c>
      <c r="P2217">
        <v>-6.2359279215622301E-2</v>
      </c>
      <c r="Q2217">
        <v>0.22748718835641199</v>
      </c>
      <c r="R2217">
        <v>0.98194985450987304</v>
      </c>
      <c r="S2217" t="s">
        <v>5846</v>
      </c>
      <c r="T2217" t="s">
        <v>7256</v>
      </c>
      <c r="U2217" t="s">
        <v>7256</v>
      </c>
      <c r="V2217" t="s">
        <v>7256</v>
      </c>
      <c r="W2217">
        <v>3</v>
      </c>
      <c r="X2217" t="s">
        <v>9473</v>
      </c>
      <c r="Y2217">
        <v>0.55296449132524705</v>
      </c>
      <c r="Z2217" t="str">
        <f>HYPERLINK("Melting_Curves/meltCurve_sp_Q96E11_3_RRFM_HUMAN_.pdf", "Melting_Curves/meltCurve_sp_Q96E11_3_RRFM_HUMAN_.pdf")</f>
        <v>Melting_Curves/meltCurve_sp_Q96E11_3_RRFM_HUMAN_.pdf</v>
      </c>
      <c r="AA2217" t="s">
        <v>13069</v>
      </c>
      <c r="AB2217" t="s">
        <v>16642</v>
      </c>
    </row>
    <row r="2218" spans="1:28" x14ac:dyDescent="0.25">
      <c r="A2218" t="s">
        <v>2222</v>
      </c>
      <c r="B2218">
        <v>0.98018197421672304</v>
      </c>
      <c r="C2218">
        <v>0.98576988035517299</v>
      </c>
      <c r="D2218">
        <v>0.88096861996093001</v>
      </c>
      <c r="E2218">
        <v>0.77995487392236296</v>
      </c>
      <c r="F2218">
        <v>0.71412755419398999</v>
      </c>
      <c r="G2218">
        <v>0.32735636355300501</v>
      </c>
      <c r="H2218">
        <v>0.386765941007921</v>
      </c>
      <c r="I2218">
        <v>0.35601192513446001</v>
      </c>
      <c r="J2218">
        <v>0.42461246431916599</v>
      </c>
      <c r="K2218">
        <v>0.453802591996329</v>
      </c>
      <c r="L2218">
        <v>1100.3534429050801</v>
      </c>
      <c r="M2218">
        <v>21.267346782900699</v>
      </c>
      <c r="N2218">
        <v>55.455237292645698</v>
      </c>
      <c r="O2218">
        <v>51.288170480990203</v>
      </c>
      <c r="P2218">
        <v>-6.42989486293047E-2</v>
      </c>
      <c r="Q2218">
        <v>0.37976442985196601</v>
      </c>
      <c r="R2218">
        <v>0.934657810898332</v>
      </c>
      <c r="S2218" t="s">
        <v>5847</v>
      </c>
      <c r="T2218" t="s">
        <v>7256</v>
      </c>
      <c r="U2218" t="s">
        <v>7256</v>
      </c>
      <c r="V2218" t="s">
        <v>7256</v>
      </c>
      <c r="W2218">
        <v>7</v>
      </c>
      <c r="X2218" t="s">
        <v>9474</v>
      </c>
      <c r="Y2218">
        <v>0.63014093562825368</v>
      </c>
      <c r="Z2218" t="str">
        <f>HYPERLINK("Melting_Curves/meltCurve_sp_Q96E39_RMXL1_HUMAN_.pdf", "Melting_Curves/meltCurve_sp_Q96E39_RMXL1_HUMAN_.pdf")</f>
        <v>Melting_Curves/meltCurve_sp_Q96E39_RMXL1_HUMAN_.pdf</v>
      </c>
      <c r="AA2218" t="s">
        <v>13070</v>
      </c>
      <c r="AB2218" t="s">
        <v>16643</v>
      </c>
    </row>
    <row r="2219" spans="1:28" x14ac:dyDescent="0.25">
      <c r="A2219" t="s">
        <v>2223</v>
      </c>
      <c r="B2219">
        <v>0.98018197421672304</v>
      </c>
      <c r="C2219">
        <v>1.10845818954564</v>
      </c>
      <c r="D2219">
        <v>0.88579354145143896</v>
      </c>
      <c r="E2219">
        <v>0.66092782540865902</v>
      </c>
      <c r="F2219">
        <v>0.453409076073647</v>
      </c>
      <c r="G2219">
        <v>0.272255449137905</v>
      </c>
      <c r="H2219">
        <v>0.21643209275595399</v>
      </c>
      <c r="I2219">
        <v>0.13949210999130601</v>
      </c>
      <c r="J2219">
        <v>0.19727219283356001</v>
      </c>
      <c r="K2219">
        <v>7.8082705700000102E-2</v>
      </c>
      <c r="L2219">
        <v>926.94564280422901</v>
      </c>
      <c r="M2219">
        <v>18.023597048024701</v>
      </c>
      <c r="N2219">
        <v>52.344121012084997</v>
      </c>
      <c r="O2219">
        <v>50.8089837380438</v>
      </c>
      <c r="P2219">
        <v>-7.6708206404417306E-2</v>
      </c>
      <c r="Q2219">
        <v>0.135072825678765</v>
      </c>
      <c r="R2219">
        <v>0.97977822691093297</v>
      </c>
      <c r="S2219" t="s">
        <v>5848</v>
      </c>
      <c r="T2219" t="s">
        <v>7256</v>
      </c>
      <c r="U2219" t="s">
        <v>7256</v>
      </c>
      <c r="V2219" t="s">
        <v>7256</v>
      </c>
      <c r="W2219">
        <v>1</v>
      </c>
      <c r="X2219" t="s">
        <v>9475</v>
      </c>
      <c r="Y2219">
        <v>0.47906329345062559</v>
      </c>
      <c r="Z2219" t="str">
        <f>HYPERLINK("Melting_Curves/meltCurve_sp_Q96EB1_ELP4_HUMAN_.pdf", "Melting_Curves/meltCurve_sp_Q96EB1_ELP4_HUMAN_.pdf")</f>
        <v>Melting_Curves/meltCurve_sp_Q96EB1_ELP4_HUMAN_.pdf</v>
      </c>
      <c r="AA2219" t="s">
        <v>13071</v>
      </c>
      <c r="AB2219" t="s">
        <v>16644</v>
      </c>
    </row>
    <row r="2220" spans="1:28" x14ac:dyDescent="0.25">
      <c r="A2220" t="s">
        <v>2224</v>
      </c>
      <c r="B2220">
        <v>0.98018197421672304</v>
      </c>
      <c r="C2220">
        <v>0.99810939508736496</v>
      </c>
      <c r="D2220">
        <v>0.87139863338706103</v>
      </c>
      <c r="E2220">
        <v>0.73132826495723202</v>
      </c>
      <c r="F2220">
        <v>0.61351460103667999</v>
      </c>
      <c r="G2220">
        <v>0.38045727240100102</v>
      </c>
      <c r="H2220">
        <v>0.26852075777259099</v>
      </c>
      <c r="I2220">
        <v>0.19182222690488401</v>
      </c>
      <c r="J2220">
        <v>0.213450296525665</v>
      </c>
      <c r="K2220">
        <v>0.21600462367895501</v>
      </c>
      <c r="L2220">
        <v>729.08543627580195</v>
      </c>
      <c r="M2220">
        <v>13.76731766128</v>
      </c>
      <c r="N2220">
        <v>54.4730530825708</v>
      </c>
      <c r="O2220">
        <v>51.877869720335198</v>
      </c>
      <c r="P2220">
        <v>-5.5798056681199401E-2</v>
      </c>
      <c r="Q2220">
        <v>0.15908807421146701</v>
      </c>
      <c r="R2220">
        <v>0.99366252698667501</v>
      </c>
      <c r="S2220" t="s">
        <v>5849</v>
      </c>
      <c r="T2220" t="s">
        <v>7256</v>
      </c>
      <c r="U2220" t="s">
        <v>7256</v>
      </c>
      <c r="V2220" t="s">
        <v>7256</v>
      </c>
      <c r="W2220">
        <v>7</v>
      </c>
      <c r="X2220" t="s">
        <v>9476</v>
      </c>
      <c r="Y2220">
        <v>0.54264258504342655</v>
      </c>
      <c r="Z2220" t="str">
        <f>HYPERLINK("Melting_Curves/meltCurve_sp_Q96ED9_2_HOOK2_HUMAN_.pdf", "Melting_Curves/meltCurve_sp_Q96ED9_2_HOOK2_HUMAN_.pdf")</f>
        <v>Melting_Curves/meltCurve_sp_Q96ED9_2_HOOK2_HUMAN_.pdf</v>
      </c>
      <c r="AA2220" t="s">
        <v>13072</v>
      </c>
      <c r="AB2220" t="s">
        <v>16645</v>
      </c>
    </row>
    <row r="2221" spans="1:28" x14ac:dyDescent="0.25">
      <c r="A2221" t="s">
        <v>2225</v>
      </c>
      <c r="B2221">
        <v>0.98018197421672304</v>
      </c>
      <c r="C2221">
        <v>0.95821611142039198</v>
      </c>
      <c r="D2221">
        <v>0.936919272202552</v>
      </c>
      <c r="E2221">
        <v>0.84140593499808902</v>
      </c>
      <c r="F2221">
        <v>0.70152107208719805</v>
      </c>
      <c r="G2221">
        <v>0.457352049858951</v>
      </c>
      <c r="H2221">
        <v>0.50364041731965903</v>
      </c>
      <c r="I2221">
        <v>0.56772565220540605</v>
      </c>
      <c r="J2221">
        <v>0.59123497278931103</v>
      </c>
      <c r="K2221">
        <v>0.86206878888511296</v>
      </c>
      <c r="L2221">
        <v>1757.4660948926701</v>
      </c>
      <c r="M2221">
        <v>34.735872471600103</v>
      </c>
      <c r="O2221">
        <v>50.428331141370101</v>
      </c>
      <c r="P2221">
        <v>-6.8826404978101496E-2</v>
      </c>
      <c r="Q2221">
        <v>0.60032239247258201</v>
      </c>
      <c r="R2221">
        <v>0.699352901888602</v>
      </c>
      <c r="S2221" t="s">
        <v>5850</v>
      </c>
      <c r="T2221" t="s">
        <v>7256</v>
      </c>
      <c r="U2221" t="s">
        <v>7256</v>
      </c>
      <c r="V2221" t="s">
        <v>7256</v>
      </c>
      <c r="W2221">
        <v>2</v>
      </c>
      <c r="X2221" t="s">
        <v>9477</v>
      </c>
      <c r="Y2221">
        <v>0.74333499069799069</v>
      </c>
      <c r="Z2221" t="str">
        <f>HYPERLINK("Melting_Curves/meltCurve_sp_Q96EI5_TCAL4_HUMAN_.pdf", "Melting_Curves/meltCurve_sp_Q96EI5_TCAL4_HUMAN_.pdf")</f>
        <v>Melting_Curves/meltCurve_sp_Q96EI5_TCAL4_HUMAN_.pdf</v>
      </c>
      <c r="AA2221" t="s">
        <v>13073</v>
      </c>
      <c r="AB2221" t="s">
        <v>16646</v>
      </c>
    </row>
    <row r="2222" spans="1:28" x14ac:dyDescent="0.25">
      <c r="A2222" t="s">
        <v>2226</v>
      </c>
      <c r="B2222">
        <v>0.98018197421672304</v>
      </c>
      <c r="C2222">
        <v>0.94599084571416803</v>
      </c>
      <c r="D2222">
        <v>0.93627889635279604</v>
      </c>
      <c r="E2222">
        <v>0.79361634283173199</v>
      </c>
      <c r="F2222">
        <v>0.75987147236508701</v>
      </c>
      <c r="G2222">
        <v>0.57609456557038297</v>
      </c>
      <c r="H2222">
        <v>0.16700293931766899</v>
      </c>
      <c r="I2222">
        <v>6.4812199115031097E-2</v>
      </c>
      <c r="J2222">
        <v>6.3229515673694003E-2</v>
      </c>
      <c r="K2222">
        <v>4.00920229979259E-2</v>
      </c>
      <c r="L2222">
        <v>937.34420213897397</v>
      </c>
      <c r="M2222">
        <v>16.579539411541401</v>
      </c>
      <c r="N2222">
        <v>56.5362028064241</v>
      </c>
      <c r="O2222">
        <v>55.732913996793698</v>
      </c>
      <c r="P2222">
        <v>-7.4375575078392001E-2</v>
      </c>
      <c r="Q2222">
        <v>0</v>
      </c>
      <c r="R2222">
        <v>0.97617836627212595</v>
      </c>
      <c r="S2222" t="s">
        <v>5851</v>
      </c>
      <c r="T2222" t="s">
        <v>7256</v>
      </c>
      <c r="U2222" t="s">
        <v>7256</v>
      </c>
      <c r="V2222" t="s">
        <v>7256</v>
      </c>
      <c r="W2222">
        <v>11</v>
      </c>
      <c r="X2222" t="s">
        <v>9478</v>
      </c>
      <c r="Y2222">
        <v>0.56665582832288663</v>
      </c>
      <c r="Z2222" t="str">
        <f>HYPERLINK("Melting_Curves/meltCurve_sp_Q96EK6_GNA1_HUMAN_.pdf", "Melting_Curves/meltCurve_sp_Q96EK6_GNA1_HUMAN_.pdf")</f>
        <v>Melting_Curves/meltCurve_sp_Q96EK6_GNA1_HUMAN_.pdf</v>
      </c>
      <c r="AA2222" t="s">
        <v>13074</v>
      </c>
      <c r="AB2222" t="s">
        <v>16647</v>
      </c>
    </row>
    <row r="2223" spans="1:28" x14ac:dyDescent="0.25">
      <c r="A2223" t="s">
        <v>2227</v>
      </c>
      <c r="B2223">
        <v>0.98018197421672304</v>
      </c>
      <c r="C2223">
        <v>0.87982412585050396</v>
      </c>
      <c r="D2223">
        <v>0.82001523077759697</v>
      </c>
      <c r="E2223">
        <v>0.61904814599268498</v>
      </c>
      <c r="F2223">
        <v>0.320046266708642</v>
      </c>
      <c r="G2223">
        <v>8.8434947875204506E-2</v>
      </c>
      <c r="H2223">
        <v>3.3072054079250998E-2</v>
      </c>
      <c r="I2223">
        <v>2.4015218580007099E-2</v>
      </c>
      <c r="J2223">
        <v>5.0526580481417997E-2</v>
      </c>
      <c r="K2223">
        <v>2.6749924593163901E-2</v>
      </c>
      <c r="L2223">
        <v>846.81016737561902</v>
      </c>
      <c r="M2223">
        <v>16.698805990126001</v>
      </c>
      <c r="N2223">
        <v>50.710813866381002</v>
      </c>
      <c r="O2223">
        <v>50.000319556514498</v>
      </c>
      <c r="P2223">
        <v>-8.3499032163301096E-2</v>
      </c>
      <c r="Q2223">
        <v>0</v>
      </c>
      <c r="R2223">
        <v>0.98998002909480798</v>
      </c>
      <c r="S2223" t="s">
        <v>5852</v>
      </c>
      <c r="T2223" t="s">
        <v>7256</v>
      </c>
      <c r="U2223" t="s">
        <v>7256</v>
      </c>
      <c r="V2223" t="s">
        <v>7256</v>
      </c>
      <c r="W2223">
        <v>2</v>
      </c>
      <c r="X2223" t="s">
        <v>9479</v>
      </c>
      <c r="Y2223">
        <v>0.37638544898955067</v>
      </c>
      <c r="Z2223" t="str">
        <f>HYPERLINK("Melting_Curves/meltCurve_sp_Q96EM0_T3HPD_HUMAN_.pdf", "Melting_Curves/meltCurve_sp_Q96EM0_T3HPD_HUMAN_.pdf")</f>
        <v>Melting_Curves/meltCurve_sp_Q96EM0_T3HPD_HUMAN_.pdf</v>
      </c>
      <c r="AA2223" t="s">
        <v>13075</v>
      </c>
      <c r="AB2223" t="s">
        <v>16648</v>
      </c>
    </row>
    <row r="2224" spans="1:28" x14ac:dyDescent="0.25">
      <c r="A2224" t="s">
        <v>2228</v>
      </c>
      <c r="B2224">
        <v>0.98018197421672304</v>
      </c>
      <c r="C2224">
        <v>0.91008454564289498</v>
      </c>
      <c r="D2224">
        <v>0.853992610229237</v>
      </c>
      <c r="E2224">
        <v>0.76247605574189803</v>
      </c>
      <c r="F2224">
        <v>0.625436695166113</v>
      </c>
      <c r="G2224">
        <v>0.41100381108128903</v>
      </c>
      <c r="H2224">
        <v>0.218940978081864</v>
      </c>
      <c r="I2224">
        <v>0.13205981174242101</v>
      </c>
      <c r="J2224">
        <v>8.2689001718648195E-2</v>
      </c>
      <c r="K2224">
        <v>9.0505883079597005E-2</v>
      </c>
      <c r="L2224">
        <v>631.00393846071699</v>
      </c>
      <c r="M2224">
        <v>11.518630519437099</v>
      </c>
      <c r="N2224">
        <v>54.781159714612301</v>
      </c>
      <c r="O2224">
        <v>53.2080786226539</v>
      </c>
      <c r="P2224">
        <v>-5.4135970765627102E-2</v>
      </c>
      <c r="Q2224">
        <v>0</v>
      </c>
      <c r="R2224">
        <v>0.993029297898673</v>
      </c>
      <c r="S2224" t="s">
        <v>5853</v>
      </c>
      <c r="T2224" t="s">
        <v>7256</v>
      </c>
      <c r="U2224" t="s">
        <v>7256</v>
      </c>
      <c r="V2224" t="s">
        <v>7256</v>
      </c>
      <c r="W2224">
        <v>13</v>
      </c>
      <c r="X2224" t="s">
        <v>9480</v>
      </c>
      <c r="Y2224">
        <v>0.5174838876646064</v>
      </c>
      <c r="Z2224" t="str">
        <f>HYPERLINK("Melting_Curves/meltCurve_sp_Q96EN8_MOCOS_HUMAN_.pdf", "Melting_Curves/meltCurve_sp_Q96EN8_MOCOS_HUMAN_.pdf")</f>
        <v>Melting_Curves/meltCurve_sp_Q96EN8_MOCOS_HUMAN_.pdf</v>
      </c>
      <c r="AA2224" t="s">
        <v>13076</v>
      </c>
      <c r="AB2224" t="s">
        <v>16649</v>
      </c>
    </row>
    <row r="2225" spans="1:28" x14ac:dyDescent="0.25">
      <c r="A2225" t="s">
        <v>2229</v>
      </c>
      <c r="B2225">
        <v>0.98018197421672304</v>
      </c>
      <c r="C2225">
        <v>0.95353784032401201</v>
      </c>
      <c r="D2225">
        <v>0.93655056957472205</v>
      </c>
      <c r="E2225">
        <v>0.78419522182925405</v>
      </c>
      <c r="F2225">
        <v>0.67089942912290901</v>
      </c>
      <c r="G2225">
        <v>0.52611402706402399</v>
      </c>
      <c r="H2225">
        <v>0.40062411220984401</v>
      </c>
      <c r="I2225">
        <v>0.32745633867219398</v>
      </c>
      <c r="J2225">
        <v>0.27797994929945702</v>
      </c>
      <c r="K2225">
        <v>0.23988705483004799</v>
      </c>
      <c r="L2225">
        <v>570.56800628945598</v>
      </c>
      <c r="M2225">
        <v>10.269074007524299</v>
      </c>
      <c r="N2225">
        <v>57.608708913488996</v>
      </c>
      <c r="O2225">
        <v>53.578485627671</v>
      </c>
      <c r="P2225">
        <v>-4.0609475702235998E-2</v>
      </c>
      <c r="Q2225">
        <v>0.15285900887702999</v>
      </c>
      <c r="R2225">
        <v>0.998685607539605</v>
      </c>
      <c r="S2225" t="s">
        <v>5854</v>
      </c>
      <c r="T2225" t="s">
        <v>7256</v>
      </c>
      <c r="U2225" t="s">
        <v>7256</v>
      </c>
      <c r="V2225" t="s">
        <v>7256</v>
      </c>
      <c r="W2225">
        <v>6</v>
      </c>
      <c r="X2225" t="s">
        <v>9481</v>
      </c>
      <c r="Y2225">
        <v>0.61188005241738885</v>
      </c>
      <c r="Z2225" t="str">
        <f>HYPERLINK("Melting_Curves/meltCurve_sp_Q96EP5_2_DAZP1_HUMAN_.pdf", "Melting_Curves/meltCurve_sp_Q96EP5_2_DAZP1_HUMAN_.pdf")</f>
        <v>Melting_Curves/meltCurve_sp_Q96EP5_2_DAZP1_HUMAN_.pdf</v>
      </c>
      <c r="AA2225" t="s">
        <v>13077</v>
      </c>
      <c r="AB2225" t="s">
        <v>16650</v>
      </c>
    </row>
    <row r="2226" spans="1:28" x14ac:dyDescent="0.25">
      <c r="A2226" t="s">
        <v>2230</v>
      </c>
      <c r="B2226">
        <v>0.98018197421672304</v>
      </c>
      <c r="C2226">
        <v>0.98253333872785797</v>
      </c>
      <c r="D2226">
        <v>0.94162410493313098</v>
      </c>
      <c r="E2226">
        <v>0.90067954486032198</v>
      </c>
      <c r="F2226">
        <v>0.74677286013236699</v>
      </c>
      <c r="G2226">
        <v>0.53821744277725603</v>
      </c>
      <c r="H2226">
        <v>0.51476461422180897</v>
      </c>
      <c r="I2226">
        <v>0.55187894194514298</v>
      </c>
      <c r="J2226">
        <v>0.73494043743555204</v>
      </c>
      <c r="K2226">
        <v>0.91682186912227104</v>
      </c>
      <c r="L2226">
        <v>2108.1177660685598</v>
      </c>
      <c r="M2226">
        <v>41.160401322430403</v>
      </c>
      <c r="O2226">
        <v>51.096706004814799</v>
      </c>
      <c r="P2226">
        <v>-6.9701409077276094E-2</v>
      </c>
      <c r="Q2226">
        <v>0.65389023927564704</v>
      </c>
      <c r="R2226">
        <v>0.61612073848436999</v>
      </c>
      <c r="S2226" t="s">
        <v>5855</v>
      </c>
      <c r="T2226" t="s">
        <v>7256</v>
      </c>
      <c r="U2226" t="s">
        <v>7256</v>
      </c>
      <c r="V2226" t="s">
        <v>7256</v>
      </c>
      <c r="W2226">
        <v>4</v>
      </c>
      <c r="X2226" t="s">
        <v>9482</v>
      </c>
      <c r="Y2226">
        <v>0.78445880919054267</v>
      </c>
      <c r="Z2226" t="str">
        <f>HYPERLINK("Melting_Curves/meltCurve_sp_Q96EV2_RBM33_HUMAN_.pdf", "Melting_Curves/meltCurve_sp_Q96EV2_RBM33_HUMAN_.pdf")</f>
        <v>Melting_Curves/meltCurve_sp_Q96EV2_RBM33_HUMAN_.pdf</v>
      </c>
      <c r="AA2226" t="s">
        <v>13078</v>
      </c>
      <c r="AB2226" t="s">
        <v>16651</v>
      </c>
    </row>
    <row r="2227" spans="1:28" x14ac:dyDescent="0.25">
      <c r="A2227" t="s">
        <v>2231</v>
      </c>
      <c r="B2227">
        <v>0.98018197421672304</v>
      </c>
      <c r="C2227">
        <v>0.99696443066192997</v>
      </c>
      <c r="D2227">
        <v>0.90274847708834804</v>
      </c>
      <c r="E2227">
        <v>0.75863334685842998</v>
      </c>
      <c r="F2227">
        <v>0.55958112351060696</v>
      </c>
      <c r="G2227">
        <v>0.36066146631677998</v>
      </c>
      <c r="H2227">
        <v>0.259936594399586</v>
      </c>
      <c r="I2227">
        <v>0.25012736663627999</v>
      </c>
      <c r="J2227">
        <v>0.200975789791945</v>
      </c>
      <c r="K2227">
        <v>0.235153537880637</v>
      </c>
      <c r="L2227">
        <v>874.53358091467101</v>
      </c>
      <c r="M2227">
        <v>16.7203340256223</v>
      </c>
      <c r="N2227">
        <v>53.986718790514097</v>
      </c>
      <c r="O2227">
        <v>51.572619404898496</v>
      </c>
      <c r="P2227">
        <v>-6.4593196335046996E-2</v>
      </c>
      <c r="Q2227">
        <v>0.2031210410249</v>
      </c>
      <c r="R2227">
        <v>0.99759915715779501</v>
      </c>
      <c r="S2227" t="s">
        <v>5856</v>
      </c>
      <c r="T2227" t="s">
        <v>7256</v>
      </c>
      <c r="U2227" t="s">
        <v>7256</v>
      </c>
      <c r="V2227" t="s">
        <v>7256</v>
      </c>
      <c r="W2227">
        <v>1</v>
      </c>
      <c r="X2227" t="s">
        <v>9483</v>
      </c>
      <c r="Y2227">
        <v>0.54483649556385771</v>
      </c>
      <c r="Z2227" t="str">
        <f>HYPERLINK("Melting_Curves/meltCurve_sp_Q96EV8_DTBP1_HUMAN_.pdf", "Melting_Curves/meltCurve_sp_Q96EV8_DTBP1_HUMAN_.pdf")</f>
        <v>Melting_Curves/meltCurve_sp_Q96EV8_DTBP1_HUMAN_.pdf</v>
      </c>
      <c r="AA2227" t="s">
        <v>13079</v>
      </c>
      <c r="AB2227" t="s">
        <v>16652</v>
      </c>
    </row>
    <row r="2228" spans="1:28" x14ac:dyDescent="0.25">
      <c r="A2228" t="s">
        <v>2232</v>
      </c>
      <c r="B2228">
        <v>0.98018197421672304</v>
      </c>
      <c r="C2228">
        <v>0.89354019397571205</v>
      </c>
      <c r="D2228">
        <v>0.76028463831010595</v>
      </c>
      <c r="E2228">
        <v>0.33357209689998102</v>
      </c>
      <c r="F2228">
        <v>0.15640534869709999</v>
      </c>
      <c r="G2228">
        <v>9.1084232102346202E-2</v>
      </c>
      <c r="H2228">
        <v>6.53709270662403E-2</v>
      </c>
      <c r="I2228">
        <v>5.73057332855961E-2</v>
      </c>
      <c r="J2228">
        <v>7.7975483443155594E-2</v>
      </c>
      <c r="K2228">
        <v>5.7024665513075903E-2</v>
      </c>
      <c r="L2228">
        <v>1040.63818639142</v>
      </c>
      <c r="M2228">
        <v>21.675141510116401</v>
      </c>
      <c r="N2228">
        <v>48.288812354036502</v>
      </c>
      <c r="O2228">
        <v>47.607617795253297</v>
      </c>
      <c r="P2228">
        <v>-0.107144601181834</v>
      </c>
      <c r="Q2228">
        <v>5.8686022544398503E-2</v>
      </c>
      <c r="R2228">
        <v>0.99790550632094499</v>
      </c>
      <c r="S2228" t="s">
        <v>5857</v>
      </c>
      <c r="T2228" t="s">
        <v>7256</v>
      </c>
      <c r="U2228" t="s">
        <v>7256</v>
      </c>
      <c r="V2228" t="s">
        <v>7256</v>
      </c>
      <c r="W2228">
        <v>6</v>
      </c>
      <c r="X2228" t="s">
        <v>9484</v>
      </c>
      <c r="Y2228">
        <v>0.32131070307986592</v>
      </c>
      <c r="Z2228" t="str">
        <f>HYPERLINK("Melting_Curves/meltCurve_sp_Q96EY7_PTCD3_HUMAN_.pdf", "Melting_Curves/meltCurve_sp_Q96EY7_PTCD3_HUMAN_.pdf")</f>
        <v>Melting_Curves/meltCurve_sp_Q96EY7_PTCD3_HUMAN_.pdf</v>
      </c>
      <c r="AA2228" t="s">
        <v>13080</v>
      </c>
      <c r="AB2228" t="s">
        <v>16653</v>
      </c>
    </row>
    <row r="2229" spans="1:28" x14ac:dyDescent="0.25">
      <c r="A2229" t="s">
        <v>2233</v>
      </c>
      <c r="B2229">
        <v>0.98018197421672304</v>
      </c>
      <c r="C2229">
        <v>0.93676818861571998</v>
      </c>
      <c r="D2229">
        <v>0.90933705116096597</v>
      </c>
      <c r="E2229">
        <v>0.78820853353919296</v>
      </c>
      <c r="F2229">
        <v>0.68353322170372399</v>
      </c>
      <c r="G2229">
        <v>0.47758016852386298</v>
      </c>
      <c r="H2229">
        <v>0.30405185280555502</v>
      </c>
      <c r="I2229">
        <v>0.217765796880275</v>
      </c>
      <c r="J2229">
        <v>0.15416225139571699</v>
      </c>
      <c r="K2229">
        <v>0.12062690437579</v>
      </c>
      <c r="L2229">
        <v>592.6218596617</v>
      </c>
      <c r="M2229">
        <v>10.5033899161146</v>
      </c>
      <c r="N2229">
        <v>56.421965659588501</v>
      </c>
      <c r="O2229">
        <v>54.491841492509401</v>
      </c>
      <c r="P2229">
        <v>-4.8207321924884403E-2</v>
      </c>
      <c r="Q2229">
        <v>0</v>
      </c>
      <c r="R2229">
        <v>0.99858447687107599</v>
      </c>
      <c r="S2229" t="s">
        <v>5858</v>
      </c>
      <c r="T2229" t="s">
        <v>7256</v>
      </c>
      <c r="U2229" t="s">
        <v>7256</v>
      </c>
      <c r="V2229" t="s">
        <v>7256</v>
      </c>
      <c r="W2229">
        <v>8</v>
      </c>
      <c r="X2229" t="s">
        <v>9485</v>
      </c>
      <c r="Y2229">
        <v>0.56650231535242634</v>
      </c>
      <c r="Z2229" t="str">
        <f>HYPERLINK("Melting_Curves/meltCurve_sp_Q96EY8_MMAB_HUMAN_.pdf", "Melting_Curves/meltCurve_sp_Q96EY8_MMAB_HUMAN_.pdf")</f>
        <v>Melting_Curves/meltCurve_sp_Q96EY8_MMAB_HUMAN_.pdf</v>
      </c>
      <c r="AA2229" t="s">
        <v>13081</v>
      </c>
      <c r="AB2229" t="s">
        <v>16654</v>
      </c>
    </row>
    <row r="2230" spans="1:28" x14ac:dyDescent="0.25">
      <c r="A2230" t="s">
        <v>2234</v>
      </c>
      <c r="B2230">
        <v>0.98018197421672304</v>
      </c>
      <c r="C2230">
        <v>0.99380652082158005</v>
      </c>
      <c r="D2230">
        <v>0.97013349666799198</v>
      </c>
      <c r="E2230">
        <v>0.65790913593336997</v>
      </c>
      <c r="F2230">
        <v>0.22693782481562599</v>
      </c>
      <c r="G2230">
        <v>0.1075716725107</v>
      </c>
      <c r="H2230">
        <v>5.9507083305824299E-2</v>
      </c>
      <c r="I2230">
        <v>4.7681227636052301E-2</v>
      </c>
      <c r="J2230">
        <v>5.0083574507772601E-2</v>
      </c>
      <c r="K2230">
        <v>3.4567470248983899E-2</v>
      </c>
      <c r="L2230">
        <v>1730.17326671349</v>
      </c>
      <c r="M2230">
        <v>34.056072446577701</v>
      </c>
      <c r="N2230">
        <v>50.970670712886402</v>
      </c>
      <c r="O2230">
        <v>50.629454349313498</v>
      </c>
      <c r="P2230">
        <v>-0.15928715572418201</v>
      </c>
      <c r="Q2230">
        <v>5.2786879322394599E-2</v>
      </c>
      <c r="R2230">
        <v>0.99882063821123201</v>
      </c>
      <c r="S2230" t="s">
        <v>5859</v>
      </c>
      <c r="T2230" t="s">
        <v>7256</v>
      </c>
      <c r="U2230" t="s">
        <v>7256</v>
      </c>
      <c r="V2230" t="s">
        <v>7256</v>
      </c>
      <c r="W2230">
        <v>13</v>
      </c>
      <c r="X2230" t="s">
        <v>9486</v>
      </c>
      <c r="Y2230">
        <v>0.39849926941841368</v>
      </c>
      <c r="Z2230" t="str">
        <f>HYPERLINK("Melting_Curves/meltCurve_sp_Q96F10_SAT2_HUMAN_.pdf", "Melting_Curves/meltCurve_sp_Q96F10_SAT2_HUMAN_.pdf")</f>
        <v>Melting_Curves/meltCurve_sp_Q96F10_SAT2_HUMAN_.pdf</v>
      </c>
      <c r="AA2230" t="s">
        <v>13082</v>
      </c>
      <c r="AB2230" t="s">
        <v>16655</v>
      </c>
    </row>
    <row r="2231" spans="1:28" x14ac:dyDescent="0.25">
      <c r="A2231" t="s">
        <v>2235</v>
      </c>
      <c r="B2231">
        <v>0.98018197421672304</v>
      </c>
      <c r="C2231">
        <v>0.85381615004476297</v>
      </c>
      <c r="D2231">
        <v>0.84917696480559701</v>
      </c>
      <c r="E2231">
        <v>0.73799432136736798</v>
      </c>
      <c r="F2231">
        <v>0.61530089883962003</v>
      </c>
      <c r="G2231">
        <v>0.42120774215865198</v>
      </c>
      <c r="H2231">
        <v>0.37537833620656502</v>
      </c>
      <c r="I2231">
        <v>0.38079117475713498</v>
      </c>
      <c r="J2231">
        <v>0.454212572188333</v>
      </c>
      <c r="K2231">
        <v>0.51721819000862701</v>
      </c>
      <c r="L2231">
        <v>675.45751881650096</v>
      </c>
      <c r="M2231">
        <v>13.6219837630029</v>
      </c>
      <c r="N2231">
        <v>56.465236920286898</v>
      </c>
      <c r="O2231">
        <v>48.553821289326201</v>
      </c>
      <c r="P2231">
        <v>-4.17459848810533E-2</v>
      </c>
      <c r="Q2231">
        <v>0.404894699106497</v>
      </c>
      <c r="R2231">
        <v>0.92161487752341198</v>
      </c>
      <c r="S2231" t="s">
        <v>5860</v>
      </c>
      <c r="T2231" t="s">
        <v>7256</v>
      </c>
      <c r="U2231" t="s">
        <v>7256</v>
      </c>
      <c r="V2231" t="s">
        <v>7256</v>
      </c>
      <c r="W2231">
        <v>4</v>
      </c>
      <c r="X2231" t="s">
        <v>9487</v>
      </c>
      <c r="Y2231">
        <v>0.61212110037430489</v>
      </c>
      <c r="Z2231" t="str">
        <f>HYPERLINK("Melting_Curves/meltCurve_sp_Q96F24_2_NRBF2_HUMAN_.pdf", "Melting_Curves/meltCurve_sp_Q96F24_2_NRBF2_HUMAN_.pdf")</f>
        <v>Melting_Curves/meltCurve_sp_Q96F24_2_NRBF2_HUMAN_.pdf</v>
      </c>
      <c r="AA2231" t="s">
        <v>13083</v>
      </c>
      <c r="AB2231" t="s">
        <v>16656</v>
      </c>
    </row>
    <row r="2232" spans="1:28" x14ac:dyDescent="0.25">
      <c r="A2232" t="s">
        <v>2236</v>
      </c>
      <c r="B2232">
        <v>0.98018197421672304</v>
      </c>
      <c r="C2232">
        <v>0.89762872407141203</v>
      </c>
      <c r="D2232">
        <v>0.80076410344115301</v>
      </c>
      <c r="E2232">
        <v>0.58295706573263595</v>
      </c>
      <c r="F2232">
        <v>0.373712381566352</v>
      </c>
      <c r="G2232">
        <v>0.24512681256197399</v>
      </c>
      <c r="H2232">
        <v>0.152960728478366</v>
      </c>
      <c r="I2232">
        <v>0.109119766854595</v>
      </c>
      <c r="J2232">
        <v>7.4162204214855504E-2</v>
      </c>
      <c r="K2232">
        <v>7.6982409968125706E-2</v>
      </c>
      <c r="L2232">
        <v>641.36321155846599</v>
      </c>
      <c r="M2232">
        <v>12.634364670508599</v>
      </c>
      <c r="N2232">
        <v>51.130105942248399</v>
      </c>
      <c r="O2232">
        <v>49.542038094235402</v>
      </c>
      <c r="P2232">
        <v>-6.1006192075084002E-2</v>
      </c>
      <c r="Q2232">
        <v>4.3315690537921399E-2</v>
      </c>
      <c r="R2232">
        <v>0.99869061131814496</v>
      </c>
      <c r="S2232" t="s">
        <v>5861</v>
      </c>
      <c r="T2232" t="s">
        <v>7256</v>
      </c>
      <c r="U2232" t="s">
        <v>7256</v>
      </c>
      <c r="V2232" t="s">
        <v>7256</v>
      </c>
      <c r="W2232">
        <v>4</v>
      </c>
      <c r="X2232" t="s">
        <v>9488</v>
      </c>
      <c r="Y2232">
        <v>0.41586757822242237</v>
      </c>
      <c r="Z2232" t="str">
        <f>HYPERLINK("Melting_Curves/meltCurve_sp_Q96FJ2_DYL2_HUMAN_.pdf", "Melting_Curves/meltCurve_sp_Q96FJ2_DYL2_HUMAN_.pdf")</f>
        <v>Melting_Curves/meltCurve_sp_Q96FJ2_DYL2_HUMAN_.pdf</v>
      </c>
      <c r="AA2232" t="s">
        <v>13084</v>
      </c>
      <c r="AB2232" t="s">
        <v>16657</v>
      </c>
    </row>
    <row r="2233" spans="1:28" x14ac:dyDescent="0.25">
      <c r="A2233" t="s">
        <v>2237</v>
      </c>
      <c r="B2233">
        <v>0.98018197421672304</v>
      </c>
      <c r="C2233">
        <v>0.965037748074555</v>
      </c>
      <c r="D2233">
        <v>0.99705643352913098</v>
      </c>
      <c r="E2233">
        <v>0.82368666801771995</v>
      </c>
      <c r="F2233">
        <v>0.62436556960516898</v>
      </c>
      <c r="G2233">
        <v>0.24426502201464201</v>
      </c>
      <c r="H2233">
        <v>0.12801565132944201</v>
      </c>
      <c r="I2233">
        <v>6.1486145602008199E-2</v>
      </c>
      <c r="J2233">
        <v>6.0336122918491303E-2</v>
      </c>
      <c r="K2233">
        <v>4.3729622802029397E-2</v>
      </c>
      <c r="L2233">
        <v>1158.4617576856101</v>
      </c>
      <c r="M2233">
        <v>21.511720681496499</v>
      </c>
      <c r="N2233">
        <v>54.062658484150703</v>
      </c>
      <c r="O2233">
        <v>53.393685225280898</v>
      </c>
      <c r="P2233">
        <v>-9.6686070127753404E-2</v>
      </c>
      <c r="Q2233">
        <v>4.0095452449788502E-2</v>
      </c>
      <c r="R2233">
        <v>0.99777775204574104</v>
      </c>
      <c r="S2233" t="s">
        <v>5862</v>
      </c>
      <c r="T2233" t="s">
        <v>7256</v>
      </c>
      <c r="U2233" t="s">
        <v>7256</v>
      </c>
      <c r="V2233" t="s">
        <v>7256</v>
      </c>
      <c r="W2233">
        <v>7</v>
      </c>
      <c r="X2233" t="s">
        <v>9489</v>
      </c>
      <c r="Y2233">
        <v>0.49491644858272099</v>
      </c>
      <c r="Z2233" t="str">
        <f>HYPERLINK("Melting_Curves/meltCurve_sp_Q96FV2_SCRN2_HUMAN_.pdf", "Melting_Curves/meltCurve_sp_Q96FV2_SCRN2_HUMAN_.pdf")</f>
        <v>Melting_Curves/meltCurve_sp_Q96FV2_SCRN2_HUMAN_.pdf</v>
      </c>
      <c r="AA2233" t="s">
        <v>13085</v>
      </c>
      <c r="AB2233" t="s">
        <v>16658</v>
      </c>
    </row>
    <row r="2234" spans="1:28" x14ac:dyDescent="0.25">
      <c r="A2234" t="s">
        <v>2238</v>
      </c>
      <c r="B2234">
        <v>0.98018197421672304</v>
      </c>
      <c r="C2234">
        <v>0.86873331085300498</v>
      </c>
      <c r="D2234">
        <v>0.71615689758035395</v>
      </c>
      <c r="E2234">
        <v>0.59703015630683698</v>
      </c>
      <c r="F2234">
        <v>0.420522106595969</v>
      </c>
      <c r="G2234">
        <v>0.233529234960966</v>
      </c>
      <c r="H2234">
        <v>0.16452662606923699</v>
      </c>
      <c r="I2234">
        <v>0.152526816146801</v>
      </c>
      <c r="J2234">
        <v>0.183280096521515</v>
      </c>
      <c r="K2234">
        <v>0.145790707741382</v>
      </c>
      <c r="L2234">
        <v>587.05551050141196</v>
      </c>
      <c r="M2234">
        <v>11.7654670354937</v>
      </c>
      <c r="N2234">
        <v>50.899816783215599</v>
      </c>
      <c r="O2234">
        <v>48.520452143824798</v>
      </c>
      <c r="P2234">
        <v>-5.4361333836083901E-2</v>
      </c>
      <c r="Q2234">
        <v>0.103494566289482</v>
      </c>
      <c r="R2234">
        <v>0.98933805726757695</v>
      </c>
      <c r="S2234" t="s">
        <v>5863</v>
      </c>
      <c r="T2234" t="s">
        <v>7256</v>
      </c>
      <c r="U2234" t="s">
        <v>7256</v>
      </c>
      <c r="V2234" t="s">
        <v>7256</v>
      </c>
      <c r="W2234">
        <v>1</v>
      </c>
      <c r="X2234" t="s">
        <v>9490</v>
      </c>
      <c r="Y2234">
        <v>0.43143846758532411</v>
      </c>
      <c r="Z2234" t="str">
        <f>HYPERLINK("Melting_Curves/meltCurve_sp_Q96FV9_THOC1_HUMAN_.pdf", "Melting_Curves/meltCurve_sp_Q96FV9_THOC1_HUMAN_.pdf")</f>
        <v>Melting_Curves/meltCurve_sp_Q96FV9_THOC1_HUMAN_.pdf</v>
      </c>
      <c r="AA2234" t="s">
        <v>13086</v>
      </c>
      <c r="AB2234" t="s">
        <v>16659</v>
      </c>
    </row>
    <row r="2235" spans="1:28" x14ac:dyDescent="0.25">
      <c r="A2235" t="s">
        <v>2239</v>
      </c>
      <c r="B2235">
        <v>0.98018197421672304</v>
      </c>
      <c r="C2235">
        <v>0.97077570276974501</v>
      </c>
      <c r="D2235">
        <v>0.929275866457693</v>
      </c>
      <c r="E2235">
        <v>0.80906616920920205</v>
      </c>
      <c r="F2235">
        <v>0.70865282335900703</v>
      </c>
      <c r="G2235">
        <v>0.58138644903830305</v>
      </c>
      <c r="H2235">
        <v>0.38832773340660498</v>
      </c>
      <c r="I2235">
        <v>0.35652346746267899</v>
      </c>
      <c r="J2235">
        <v>0.33343315417967201</v>
      </c>
      <c r="K2235">
        <v>0.23012820478514701</v>
      </c>
      <c r="L2235">
        <v>559.893893860557</v>
      </c>
      <c r="M2235">
        <v>9.8796287340374196</v>
      </c>
      <c r="N2235">
        <v>58.63518275186</v>
      </c>
      <c r="O2235">
        <v>54.496224957059702</v>
      </c>
      <c r="P2235">
        <v>-3.8958849817681801E-2</v>
      </c>
      <c r="Q2235">
        <v>0.14084656273652699</v>
      </c>
      <c r="R2235">
        <v>0.99426082490583301</v>
      </c>
      <c r="S2235" t="s">
        <v>5864</v>
      </c>
      <c r="T2235" t="s">
        <v>7256</v>
      </c>
      <c r="U2235" t="s">
        <v>7256</v>
      </c>
      <c r="V2235" t="s">
        <v>7256</v>
      </c>
      <c r="W2235">
        <v>27</v>
      </c>
      <c r="X2235" t="s">
        <v>9491</v>
      </c>
      <c r="Y2235">
        <v>0.63334153882118394</v>
      </c>
      <c r="Z2235" t="str">
        <f>HYPERLINK("Melting_Curves/meltCurve_sp_Q96G03_PGM2_HUMAN_.pdf", "Melting_Curves/meltCurve_sp_Q96G03_PGM2_HUMAN_.pdf")</f>
        <v>Melting_Curves/meltCurve_sp_Q96G03_PGM2_HUMAN_.pdf</v>
      </c>
      <c r="AA2235" t="s">
        <v>13087</v>
      </c>
      <c r="AB2235" t="s">
        <v>16660</v>
      </c>
    </row>
    <row r="2236" spans="1:28" x14ac:dyDescent="0.25">
      <c r="A2236" t="s">
        <v>2240</v>
      </c>
      <c r="B2236">
        <v>0.98018197421672304</v>
      </c>
      <c r="C2236">
        <v>0.88637981856977199</v>
      </c>
      <c r="D2236">
        <v>0.82555478093026402</v>
      </c>
      <c r="E2236">
        <v>0.76018360603522295</v>
      </c>
      <c r="F2236">
        <v>0.52856425982784805</v>
      </c>
      <c r="G2236">
        <v>0.36321655313287399</v>
      </c>
      <c r="H2236">
        <v>0.109495864889743</v>
      </c>
      <c r="I2236">
        <v>6.7117836550963303E-2</v>
      </c>
      <c r="J2236">
        <v>6.5455633381618403E-2</v>
      </c>
      <c r="K2236">
        <v>5.90827639693743E-2</v>
      </c>
      <c r="L2236">
        <v>683.27433495560797</v>
      </c>
      <c r="M2236">
        <v>12.778282963004299</v>
      </c>
      <c r="N2236">
        <v>53.471531743070301</v>
      </c>
      <c r="O2236">
        <v>52.212726510686302</v>
      </c>
      <c r="P2236">
        <v>-6.1195324563346497E-2</v>
      </c>
      <c r="Q2236">
        <v>0</v>
      </c>
      <c r="R2236">
        <v>0.984177568975382</v>
      </c>
      <c r="S2236" t="s">
        <v>5865</v>
      </c>
      <c r="T2236" t="s">
        <v>7256</v>
      </c>
      <c r="U2236" t="s">
        <v>7256</v>
      </c>
      <c r="V2236" t="s">
        <v>7256</v>
      </c>
      <c r="W2236">
        <v>1</v>
      </c>
      <c r="X2236" t="s">
        <v>9492</v>
      </c>
      <c r="Y2236">
        <v>0.47466315241468737</v>
      </c>
      <c r="Z2236" t="str">
        <f>HYPERLINK("Melting_Curves/meltCurve_sp_Q96G46_DUS3L_HUMAN_.pdf", "Melting_Curves/meltCurve_sp_Q96G46_DUS3L_HUMAN_.pdf")</f>
        <v>Melting_Curves/meltCurve_sp_Q96G46_DUS3L_HUMAN_.pdf</v>
      </c>
      <c r="AA2236" t="s">
        <v>13088</v>
      </c>
      <c r="AB2236" t="s">
        <v>16661</v>
      </c>
    </row>
    <row r="2237" spans="1:28" x14ac:dyDescent="0.25">
      <c r="A2237" t="s">
        <v>2241</v>
      </c>
      <c r="B2237">
        <v>0.98018197421672304</v>
      </c>
      <c r="C2237">
        <v>1.0391566517292701</v>
      </c>
      <c r="D2237">
        <v>0.97445978753159102</v>
      </c>
      <c r="E2237">
        <v>0.84556440878144301</v>
      </c>
      <c r="F2237">
        <v>0.759686056415114</v>
      </c>
      <c r="G2237">
        <v>0.61691114828614502</v>
      </c>
      <c r="H2237">
        <v>0.34175526331810402</v>
      </c>
      <c r="I2237">
        <v>0.222277666462664</v>
      </c>
      <c r="J2237">
        <v>9.2074362202664795E-2</v>
      </c>
      <c r="K2237">
        <v>7.7694308317296207E-2</v>
      </c>
      <c r="L2237">
        <v>791.51469613584004</v>
      </c>
      <c r="M2237">
        <v>13.642098708255</v>
      </c>
      <c r="N2237">
        <v>58.020009521487502</v>
      </c>
      <c r="O2237">
        <v>56.8158886889372</v>
      </c>
      <c r="P2237">
        <v>-6.00364455415432E-2</v>
      </c>
      <c r="Q2237">
        <v>0</v>
      </c>
      <c r="R2237">
        <v>0.991195075308685</v>
      </c>
      <c r="S2237" t="s">
        <v>5866</v>
      </c>
      <c r="T2237" t="s">
        <v>7256</v>
      </c>
      <c r="U2237" t="s">
        <v>7256</v>
      </c>
      <c r="V2237" t="s">
        <v>7256</v>
      </c>
      <c r="W2237">
        <v>8</v>
      </c>
      <c r="X2237" t="s">
        <v>9493</v>
      </c>
      <c r="Y2237">
        <v>0.61404459602296912</v>
      </c>
      <c r="Z2237" t="str">
        <f>HYPERLINK("Melting_Curves/meltCurve_sp_Q96GA7_SDSL_HUMAN_.pdf", "Melting_Curves/meltCurve_sp_Q96GA7_SDSL_HUMAN_.pdf")</f>
        <v>Melting_Curves/meltCurve_sp_Q96GA7_SDSL_HUMAN_.pdf</v>
      </c>
      <c r="AA2237" t="s">
        <v>13089</v>
      </c>
      <c r="AB2237" t="s">
        <v>16662</v>
      </c>
    </row>
    <row r="2238" spans="1:28" x14ac:dyDescent="0.25">
      <c r="A2238" t="s">
        <v>2242</v>
      </c>
      <c r="B2238">
        <v>0.98018197421672304</v>
      </c>
      <c r="C2238">
        <v>1.05051661208582</v>
      </c>
      <c r="D2238">
        <v>0.970327994135743</v>
      </c>
      <c r="E2238">
        <v>0.85526063384794304</v>
      </c>
      <c r="F2238">
        <v>0.87369836917371702</v>
      </c>
      <c r="G2238">
        <v>0.79582973904961696</v>
      </c>
      <c r="H2238">
        <v>0.56405013776111901</v>
      </c>
      <c r="I2238">
        <v>0.61598264236345301</v>
      </c>
      <c r="J2238">
        <v>0.70601867760207104</v>
      </c>
      <c r="K2238">
        <v>0.51842945680639696</v>
      </c>
      <c r="L2238">
        <v>702.21293155332</v>
      </c>
      <c r="M2238">
        <v>12.591492769460899</v>
      </c>
      <c r="O2238">
        <v>54.418265703150198</v>
      </c>
      <c r="P2238">
        <v>-2.6323719132384099E-2</v>
      </c>
      <c r="Q2238">
        <v>0.54502464902923298</v>
      </c>
      <c r="R2238">
        <v>0.88235965361999802</v>
      </c>
      <c r="S2238" t="s">
        <v>5867</v>
      </c>
      <c r="T2238" t="s">
        <v>7256</v>
      </c>
      <c r="U2238" t="s">
        <v>7256</v>
      </c>
      <c r="V2238" t="s">
        <v>7256</v>
      </c>
      <c r="W2238">
        <v>12</v>
      </c>
      <c r="X2238" t="s">
        <v>9494</v>
      </c>
      <c r="Y2238">
        <v>0.79355226477009844</v>
      </c>
      <c r="Z2238" t="str">
        <f>HYPERLINK("Melting_Curves/meltCurve_sp_Q96GD0_PLPP_HUMAN_.pdf", "Melting_Curves/meltCurve_sp_Q96GD0_PLPP_HUMAN_.pdf")</f>
        <v>Melting_Curves/meltCurve_sp_Q96GD0_PLPP_HUMAN_.pdf</v>
      </c>
      <c r="AA2238" t="s">
        <v>13090</v>
      </c>
      <c r="AB2238" t="s">
        <v>16663</v>
      </c>
    </row>
    <row r="2239" spans="1:28" x14ac:dyDescent="0.25">
      <c r="A2239" t="s">
        <v>2243</v>
      </c>
      <c r="B2239">
        <v>0.98018197421672304</v>
      </c>
      <c r="C2239">
        <v>0.95317689230960101</v>
      </c>
      <c r="D2239">
        <v>0.92247413085700503</v>
      </c>
      <c r="E2239">
        <v>0.79145585309137001</v>
      </c>
      <c r="F2239">
        <v>0.77395517603422603</v>
      </c>
      <c r="G2239">
        <v>0.49542268243264198</v>
      </c>
      <c r="H2239">
        <v>0.44250984882482702</v>
      </c>
      <c r="I2239">
        <v>0.37842439436215403</v>
      </c>
      <c r="J2239">
        <v>0.44752541709631899</v>
      </c>
      <c r="K2239">
        <v>0.46129686305287898</v>
      </c>
      <c r="L2239">
        <v>842.05952788572404</v>
      </c>
      <c r="M2239">
        <v>15.9571077279475</v>
      </c>
      <c r="N2239">
        <v>58.702540756557603</v>
      </c>
      <c r="O2239">
        <v>51.962282782793501</v>
      </c>
      <c r="P2239">
        <v>-4.6043009101614199E-2</v>
      </c>
      <c r="Q2239">
        <v>0.400314832172737</v>
      </c>
      <c r="R2239">
        <v>0.96395678107549998</v>
      </c>
      <c r="S2239" t="s">
        <v>5868</v>
      </c>
      <c r="T2239" t="s">
        <v>7256</v>
      </c>
      <c r="U2239" t="s">
        <v>7256</v>
      </c>
      <c r="V2239" t="s">
        <v>7256</v>
      </c>
      <c r="W2239">
        <v>3</v>
      </c>
      <c r="X2239" t="s">
        <v>9495</v>
      </c>
      <c r="Y2239">
        <v>0.66748655337423601</v>
      </c>
      <c r="Z2239" t="str">
        <f>HYPERLINK("Melting_Curves/meltCurve_sp_Q96GE6_CALL4_HUMAN_.pdf", "Melting_Curves/meltCurve_sp_Q96GE6_CALL4_HUMAN_.pdf")</f>
        <v>Melting_Curves/meltCurve_sp_Q96GE6_CALL4_HUMAN_.pdf</v>
      </c>
      <c r="AA2239" t="s">
        <v>13091</v>
      </c>
      <c r="AB2239" t="s">
        <v>16664</v>
      </c>
    </row>
    <row r="2240" spans="1:28" x14ac:dyDescent="0.25">
      <c r="A2240" t="s">
        <v>2244</v>
      </c>
      <c r="B2240">
        <v>0.98018197421672304</v>
      </c>
      <c r="C2240">
        <v>1.0714811185489499</v>
      </c>
      <c r="D2240">
        <v>0.89253613307514501</v>
      </c>
      <c r="E2240">
        <v>0.82804400457630301</v>
      </c>
      <c r="F2240">
        <v>0.73348242290498999</v>
      </c>
      <c r="G2240">
        <v>0.50136923464399596</v>
      </c>
      <c r="H2240">
        <v>0.482676645558337</v>
      </c>
      <c r="I2240">
        <v>0.66018752078337295</v>
      </c>
      <c r="J2240">
        <v>0.46366862137021297</v>
      </c>
      <c r="K2240">
        <v>0.88949374607305998</v>
      </c>
      <c r="L2240">
        <v>1309.96038196065</v>
      </c>
      <c r="M2240">
        <v>26.059575704258201</v>
      </c>
      <c r="O2240">
        <v>49.974701430456399</v>
      </c>
      <c r="P2240">
        <v>-5.1668073205375899E-2</v>
      </c>
      <c r="Q2240">
        <v>0.603667080165178</v>
      </c>
      <c r="R2240">
        <v>0.65120428282286003</v>
      </c>
      <c r="S2240" t="s">
        <v>5869</v>
      </c>
      <c r="T2240" t="s">
        <v>7256</v>
      </c>
      <c r="U2240" t="s">
        <v>7256</v>
      </c>
      <c r="V2240" t="s">
        <v>7256</v>
      </c>
      <c r="W2240">
        <v>2</v>
      </c>
      <c r="X2240" t="s">
        <v>9496</v>
      </c>
      <c r="Y2240">
        <v>0.74258629431990719</v>
      </c>
      <c r="Z2240" t="str">
        <f>HYPERLINK("Melting_Curves/meltCurve_sp_Q96GF1_RN185_HUMAN_.pdf", "Melting_Curves/meltCurve_sp_Q96GF1_RN185_HUMAN_.pdf")</f>
        <v>Melting_Curves/meltCurve_sp_Q96GF1_RN185_HUMAN_.pdf</v>
      </c>
      <c r="AA2240" t="s">
        <v>13092</v>
      </c>
      <c r="AB2240" t="s">
        <v>16665</v>
      </c>
    </row>
    <row r="2241" spans="1:28" x14ac:dyDescent="0.25">
      <c r="A2241" t="s">
        <v>2245</v>
      </c>
      <c r="B2241">
        <v>0.98018197421672304</v>
      </c>
      <c r="C2241">
        <v>0.98938136441828295</v>
      </c>
      <c r="D2241">
        <v>0.93946724522803404</v>
      </c>
      <c r="E2241">
        <v>0.81363092997855802</v>
      </c>
      <c r="F2241">
        <v>0.75732897188641002</v>
      </c>
      <c r="G2241">
        <v>0.27867321163797898</v>
      </c>
      <c r="H2241">
        <v>9.1374538002495106E-2</v>
      </c>
      <c r="I2241">
        <v>6.7187822474262901E-2</v>
      </c>
      <c r="J2241">
        <v>7.8758771080030904E-2</v>
      </c>
      <c r="K2241">
        <v>5.7115006712523203E-2</v>
      </c>
      <c r="L2241">
        <v>1271.5388229812199</v>
      </c>
      <c r="M2241">
        <v>23.2733887330937</v>
      </c>
      <c r="N2241">
        <v>54.836154559471098</v>
      </c>
      <c r="O2241">
        <v>54.236308178363799</v>
      </c>
      <c r="P2241">
        <v>-0.102887768764999</v>
      </c>
      <c r="Q2241">
        <v>4.09384540475504E-2</v>
      </c>
      <c r="R2241">
        <v>0.98894117895327305</v>
      </c>
      <c r="S2241" t="s">
        <v>5870</v>
      </c>
      <c r="T2241" t="s">
        <v>7256</v>
      </c>
      <c r="U2241" t="s">
        <v>7256</v>
      </c>
      <c r="V2241" t="s">
        <v>7256</v>
      </c>
      <c r="W2241">
        <v>9</v>
      </c>
      <c r="X2241" t="s">
        <v>9497</v>
      </c>
      <c r="Y2241">
        <v>0.51885904564389795</v>
      </c>
      <c r="Z2241" t="str">
        <f>HYPERLINK("Melting_Curves/meltCurve_sp_Q96GG9_DCNL1_HUMAN_.pdf", "Melting_Curves/meltCurve_sp_Q96GG9_DCNL1_HUMAN_.pdf")</f>
        <v>Melting_Curves/meltCurve_sp_Q96GG9_DCNL1_HUMAN_.pdf</v>
      </c>
      <c r="AA2241" t="s">
        <v>13093</v>
      </c>
      <c r="AB2241" t="s">
        <v>16666</v>
      </c>
    </row>
    <row r="2242" spans="1:28" x14ac:dyDescent="0.25">
      <c r="A2242" t="s">
        <v>2246</v>
      </c>
      <c r="B2242">
        <v>0.98018197421672304</v>
      </c>
      <c r="C2242">
        <v>0.95350042607122398</v>
      </c>
      <c r="D2242">
        <v>0.89437176373676797</v>
      </c>
      <c r="E2242">
        <v>0.69373889284525503</v>
      </c>
      <c r="F2242">
        <v>0.44492767988584297</v>
      </c>
      <c r="G2242">
        <v>0.21027321802841201</v>
      </c>
      <c r="H2242">
        <v>0.11224609157019599</v>
      </c>
      <c r="I2242">
        <v>0.103872707635696</v>
      </c>
      <c r="J2242">
        <v>9.9212526411538896E-2</v>
      </c>
      <c r="K2242">
        <v>8.4773463673340294E-2</v>
      </c>
      <c r="L2242">
        <v>925.90828219531602</v>
      </c>
      <c r="M2242">
        <v>17.8817628341518</v>
      </c>
      <c r="N2242">
        <v>52.226321946407602</v>
      </c>
      <c r="O2242">
        <v>51.144928496336803</v>
      </c>
      <c r="P2242">
        <v>-8.1211348893539606E-2</v>
      </c>
      <c r="Q2242">
        <v>7.0933140082646395E-2</v>
      </c>
      <c r="R2242">
        <v>0.99853433814503401</v>
      </c>
      <c r="S2242" t="s">
        <v>5871</v>
      </c>
      <c r="T2242" t="s">
        <v>7256</v>
      </c>
      <c r="U2242" t="s">
        <v>7256</v>
      </c>
      <c r="V2242" t="s">
        <v>7256</v>
      </c>
      <c r="W2242">
        <v>14</v>
      </c>
      <c r="X2242" t="s">
        <v>9498</v>
      </c>
      <c r="Y2242">
        <v>0.45141396689793611</v>
      </c>
      <c r="Z2242" t="str">
        <f>HYPERLINK("Melting_Curves/meltCurve_sp_Q96GK7_FAH2A_HUMAN_.pdf", "Melting_Curves/meltCurve_sp_Q96GK7_FAH2A_HUMAN_.pdf")</f>
        <v>Melting_Curves/meltCurve_sp_Q96GK7_FAH2A_HUMAN_.pdf</v>
      </c>
      <c r="AA2242" t="s">
        <v>13094</v>
      </c>
      <c r="AB2242" t="s">
        <v>16667</v>
      </c>
    </row>
    <row r="2243" spans="1:28" x14ac:dyDescent="0.25">
      <c r="A2243" t="s">
        <v>2247</v>
      </c>
      <c r="B2243">
        <v>0.98018197421672304</v>
      </c>
      <c r="C2243">
        <v>0.949910008793452</v>
      </c>
      <c r="D2243">
        <v>0.91472730939968905</v>
      </c>
      <c r="E2243">
        <v>0.66940349163555202</v>
      </c>
      <c r="F2243">
        <v>0.44992513583383298</v>
      </c>
      <c r="G2243">
        <v>0.20807419811293301</v>
      </c>
      <c r="H2243">
        <v>8.9013919026008498E-2</v>
      </c>
      <c r="I2243">
        <v>6.6782310565127304E-2</v>
      </c>
      <c r="J2243">
        <v>0.10588246639736799</v>
      </c>
      <c r="K2243">
        <v>4.7458126628116298E-2</v>
      </c>
      <c r="L2243">
        <v>906.33424305544702</v>
      </c>
      <c r="M2243">
        <v>17.466310312156601</v>
      </c>
      <c r="N2243">
        <v>52.181676541023101</v>
      </c>
      <c r="O2243">
        <v>51.224544856003597</v>
      </c>
      <c r="P2243">
        <v>-8.1289320863534603E-2</v>
      </c>
      <c r="Q2243">
        <v>4.6443555792352098E-2</v>
      </c>
      <c r="R2243">
        <v>0.99742048756722002</v>
      </c>
      <c r="S2243" t="s">
        <v>5872</v>
      </c>
      <c r="T2243" t="s">
        <v>7256</v>
      </c>
      <c r="U2243" t="s">
        <v>7256</v>
      </c>
      <c r="V2243" t="s">
        <v>7256</v>
      </c>
      <c r="W2243">
        <v>2</v>
      </c>
      <c r="X2243" t="s">
        <v>9499</v>
      </c>
      <c r="Y2243">
        <v>0.44111093684671848</v>
      </c>
      <c r="Z2243" t="str">
        <f>HYPERLINK("Melting_Curves/meltCurve_sp_Q96GS4_CQ059_HUMAN_.pdf", "Melting_Curves/meltCurve_sp_Q96GS4_CQ059_HUMAN_.pdf")</f>
        <v>Melting_Curves/meltCurve_sp_Q96GS4_CQ059_HUMAN_.pdf</v>
      </c>
      <c r="AA2243" t="s">
        <v>13095</v>
      </c>
      <c r="AB2243" t="s">
        <v>16668</v>
      </c>
    </row>
    <row r="2244" spans="1:28" x14ac:dyDescent="0.25">
      <c r="A2244" t="s">
        <v>2248</v>
      </c>
      <c r="B2244">
        <v>0.98018197421672304</v>
      </c>
      <c r="C2244">
        <v>0.97875524107437195</v>
      </c>
      <c r="D2244">
        <v>0.885567641461524</v>
      </c>
      <c r="E2244">
        <v>0.75062250696925403</v>
      </c>
      <c r="F2244">
        <v>0.67266187300382996</v>
      </c>
      <c r="G2244">
        <v>0.468888161774213</v>
      </c>
      <c r="H2244">
        <v>0.19981194195716501</v>
      </c>
      <c r="I2244">
        <v>0.12691560327885201</v>
      </c>
      <c r="J2244">
        <v>9.5249924442726605E-2</v>
      </c>
      <c r="K2244">
        <v>6.9323974179783698E-2</v>
      </c>
      <c r="L2244">
        <v>691.26459961324804</v>
      </c>
      <c r="M2244">
        <v>12.480975022146</v>
      </c>
      <c r="N2244">
        <v>55.385458741838299</v>
      </c>
      <c r="O2244">
        <v>54.0212853599201</v>
      </c>
      <c r="P2244">
        <v>-5.7771479963179002E-2</v>
      </c>
      <c r="Q2244">
        <v>0</v>
      </c>
      <c r="R2244">
        <v>0.99151827504504997</v>
      </c>
      <c r="S2244" t="s">
        <v>5873</v>
      </c>
      <c r="T2244" t="s">
        <v>7256</v>
      </c>
      <c r="U2244" t="s">
        <v>7256</v>
      </c>
      <c r="V2244" t="s">
        <v>7256</v>
      </c>
      <c r="W2244">
        <v>10</v>
      </c>
      <c r="X2244" t="s">
        <v>9500</v>
      </c>
      <c r="Y2244">
        <v>0.53463287463570108</v>
      </c>
      <c r="Z2244" t="str">
        <f>HYPERLINK("Melting_Curves/meltCurve_sp_Q96GW9_SYMM_HUMAN_.pdf", "Melting_Curves/meltCurve_sp_Q96GW9_SYMM_HUMAN_.pdf")</f>
        <v>Melting_Curves/meltCurve_sp_Q96GW9_SYMM_HUMAN_.pdf</v>
      </c>
      <c r="AA2244" t="s">
        <v>13096</v>
      </c>
      <c r="AB2244" t="s">
        <v>16669</v>
      </c>
    </row>
    <row r="2245" spans="1:28" x14ac:dyDescent="0.25">
      <c r="A2245" t="s">
        <v>2249</v>
      </c>
      <c r="B2245">
        <v>0.98018197421672304</v>
      </c>
      <c r="C2245">
        <v>0.87911084417459395</v>
      </c>
      <c r="D2245">
        <v>0.92140967130396401</v>
      </c>
      <c r="E2245">
        <v>0.78454131690205997</v>
      </c>
      <c r="F2245">
        <v>0.64263681932803896</v>
      </c>
      <c r="G2245">
        <v>0.44568678133942602</v>
      </c>
      <c r="H2245">
        <v>0.350966979377626</v>
      </c>
      <c r="I2245">
        <v>0.39145456047947702</v>
      </c>
      <c r="J2245">
        <v>0.34612375165440801</v>
      </c>
      <c r="K2245">
        <v>0.30724819728215802</v>
      </c>
      <c r="L2245">
        <v>695.50479027276799</v>
      </c>
      <c r="M2245">
        <v>13.2363584675405</v>
      </c>
      <c r="N2245">
        <v>56.265812338075897</v>
      </c>
      <c r="O2245">
        <v>51.389129068859297</v>
      </c>
      <c r="P2245">
        <v>-4.5621304890441798E-2</v>
      </c>
      <c r="Q2245">
        <v>0.29163227138496201</v>
      </c>
      <c r="R2245">
        <v>0.97974262576219595</v>
      </c>
      <c r="S2245" t="s">
        <v>5874</v>
      </c>
      <c r="T2245" t="s">
        <v>7256</v>
      </c>
      <c r="U2245" t="s">
        <v>7256</v>
      </c>
      <c r="V2245" t="s">
        <v>7256</v>
      </c>
      <c r="W2245">
        <v>6</v>
      </c>
      <c r="X2245" t="s">
        <v>9501</v>
      </c>
      <c r="Y2245">
        <v>0.60630605394210657</v>
      </c>
      <c r="Z2245" t="str">
        <f>HYPERLINK("Melting_Curves/meltCurve_sp_Q96GX9_MTNB_HUMAN_.pdf", "Melting_Curves/meltCurve_sp_Q96GX9_MTNB_HUMAN_.pdf")</f>
        <v>Melting_Curves/meltCurve_sp_Q96GX9_MTNB_HUMAN_.pdf</v>
      </c>
      <c r="AA2245" t="s">
        <v>13097</v>
      </c>
      <c r="AB2245" t="s">
        <v>16670</v>
      </c>
    </row>
    <row r="2246" spans="1:28" x14ac:dyDescent="0.25">
      <c r="A2246" t="s">
        <v>2250</v>
      </c>
      <c r="B2246">
        <v>0.98018197421672304</v>
      </c>
      <c r="C2246">
        <v>0.94325595523245598</v>
      </c>
      <c r="D2246">
        <v>0.89995177158075601</v>
      </c>
      <c r="E2246">
        <v>0.73660411285719396</v>
      </c>
      <c r="F2246">
        <v>0.43000878634768702</v>
      </c>
      <c r="G2246">
        <v>0.13260473335591</v>
      </c>
      <c r="H2246">
        <v>7.0066715344026198E-2</v>
      </c>
      <c r="I2246">
        <v>5.2853827852535902E-2</v>
      </c>
      <c r="J2246">
        <v>6.24602564522381E-2</v>
      </c>
      <c r="K2246">
        <v>4.1587048237227003E-2</v>
      </c>
      <c r="L2246">
        <v>1123.18279705341</v>
      </c>
      <c r="M2246">
        <v>21.593806717994799</v>
      </c>
      <c r="N2246">
        <v>52.192838387740302</v>
      </c>
      <c r="O2246">
        <v>51.574200321592301</v>
      </c>
      <c r="P2246">
        <v>-0.1009456248194</v>
      </c>
      <c r="Q2246">
        <v>3.5637425659408799E-2</v>
      </c>
      <c r="R2246">
        <v>0.99577530284059201</v>
      </c>
      <c r="S2246" t="s">
        <v>5875</v>
      </c>
      <c r="T2246" t="s">
        <v>7256</v>
      </c>
      <c r="U2246" t="s">
        <v>7256</v>
      </c>
      <c r="V2246" t="s">
        <v>7256</v>
      </c>
      <c r="W2246">
        <v>7</v>
      </c>
      <c r="X2246" t="s">
        <v>9502</v>
      </c>
      <c r="Y2246">
        <v>0.4334442390924767</v>
      </c>
      <c r="Z2246" t="str">
        <f>HYPERLINK("Melting_Curves/meltCurve_sp_Q96H20_SNF8_HUMAN_.pdf", "Melting_Curves/meltCurve_sp_Q96H20_SNF8_HUMAN_.pdf")</f>
        <v>Melting_Curves/meltCurve_sp_Q96H20_SNF8_HUMAN_.pdf</v>
      </c>
      <c r="AA2246" t="s">
        <v>13098</v>
      </c>
      <c r="AB2246" t="s">
        <v>16671</v>
      </c>
    </row>
    <row r="2247" spans="1:28" x14ac:dyDescent="0.25">
      <c r="A2247" t="s">
        <v>2251</v>
      </c>
      <c r="B2247">
        <v>0.98018197421672304</v>
      </c>
      <c r="C2247">
        <v>0.971443226331968</v>
      </c>
      <c r="D2247">
        <v>0.93829202097722597</v>
      </c>
      <c r="E2247">
        <v>0.82945924058226295</v>
      </c>
      <c r="F2247">
        <v>0.79067358237519303</v>
      </c>
      <c r="G2247">
        <v>0.586572932156461</v>
      </c>
      <c r="H2247">
        <v>0.450471861598982</v>
      </c>
      <c r="I2247">
        <v>0.444011254886375</v>
      </c>
      <c r="J2247">
        <v>0.40441915729739503</v>
      </c>
      <c r="K2247">
        <v>0.45026618021291498</v>
      </c>
      <c r="L2247">
        <v>783.28641661194195</v>
      </c>
      <c r="M2247">
        <v>14.4619196687882</v>
      </c>
      <c r="N2247">
        <v>60.361958900306398</v>
      </c>
      <c r="O2247">
        <v>53.158000027540702</v>
      </c>
      <c r="P2247">
        <v>-4.1711150966248799E-2</v>
      </c>
      <c r="Q2247">
        <v>0.38679725231366702</v>
      </c>
      <c r="R2247">
        <v>0.98561823326559606</v>
      </c>
      <c r="S2247" t="s">
        <v>5876</v>
      </c>
      <c r="T2247" t="s">
        <v>7256</v>
      </c>
      <c r="U2247" t="s">
        <v>7256</v>
      </c>
      <c r="V2247" t="s">
        <v>7256</v>
      </c>
      <c r="W2247">
        <v>25</v>
      </c>
      <c r="X2247" t="s">
        <v>9503</v>
      </c>
      <c r="Y2247">
        <v>0.68929173763230644</v>
      </c>
      <c r="Z2247" t="str">
        <f>HYPERLINK("Melting_Curves/meltCurve_sp_Q96HC4_PDLI5_HUMAN_.pdf", "Melting_Curves/meltCurve_sp_Q96HC4_PDLI5_HUMAN_.pdf")</f>
        <v>Melting_Curves/meltCurve_sp_Q96HC4_PDLI5_HUMAN_.pdf</v>
      </c>
      <c r="AA2247" t="s">
        <v>13099</v>
      </c>
      <c r="AB2247" t="s">
        <v>16672</v>
      </c>
    </row>
    <row r="2248" spans="1:28" x14ac:dyDescent="0.25">
      <c r="A2248" t="s">
        <v>2252</v>
      </c>
      <c r="B2248">
        <v>0.98018197421672304</v>
      </c>
      <c r="C2248">
        <v>0.94659615390457696</v>
      </c>
      <c r="D2248">
        <v>0.94328588985120299</v>
      </c>
      <c r="E2248">
        <v>0.544468775822461</v>
      </c>
      <c r="F2248">
        <v>0.27528699912420002</v>
      </c>
      <c r="G2248">
        <v>0.17857361401307301</v>
      </c>
      <c r="H2248">
        <v>0.11457929043682601</v>
      </c>
      <c r="I2248">
        <v>8.6846970887411001E-2</v>
      </c>
      <c r="J2248">
        <v>8.7369624855555203E-2</v>
      </c>
      <c r="K2248">
        <v>6.4217348043304506E-2</v>
      </c>
      <c r="L2248">
        <v>1213.02343152349</v>
      </c>
      <c r="M2248">
        <v>24.2027212807693</v>
      </c>
      <c r="N2248">
        <v>50.537150462719197</v>
      </c>
      <c r="O2248">
        <v>49.7808984925462</v>
      </c>
      <c r="P2248">
        <v>-0.110526108782897</v>
      </c>
      <c r="Q2248">
        <v>9.0679944117490002E-2</v>
      </c>
      <c r="R2248">
        <v>0.99565327589322705</v>
      </c>
      <c r="S2248" t="s">
        <v>5877</v>
      </c>
      <c r="T2248" t="s">
        <v>7256</v>
      </c>
      <c r="U2248" t="s">
        <v>7256</v>
      </c>
      <c r="V2248" t="s">
        <v>7256</v>
      </c>
      <c r="W2248">
        <v>8</v>
      </c>
      <c r="X2248" t="s">
        <v>9504</v>
      </c>
      <c r="Y2248">
        <v>0.4060855710816102</v>
      </c>
      <c r="Z2248" t="str">
        <f>HYPERLINK("Melting_Curves/meltCurve_sp_Q96HD9_ACY3_HUMAN_.pdf", "Melting_Curves/meltCurve_sp_Q96HD9_ACY3_HUMAN_.pdf")</f>
        <v>Melting_Curves/meltCurve_sp_Q96HD9_ACY3_HUMAN_.pdf</v>
      </c>
      <c r="AA2248" t="s">
        <v>13100</v>
      </c>
      <c r="AB2248" t="s">
        <v>16673</v>
      </c>
    </row>
    <row r="2249" spans="1:28" x14ac:dyDescent="0.25">
      <c r="A2249" t="s">
        <v>2253</v>
      </c>
      <c r="B2249">
        <v>0.98018197421672304</v>
      </c>
      <c r="C2249">
        <v>0.96900376057500204</v>
      </c>
      <c r="D2249">
        <v>0.94641406696826103</v>
      </c>
      <c r="E2249">
        <v>0.77525622767480695</v>
      </c>
      <c r="F2249">
        <v>0.47482842337554998</v>
      </c>
      <c r="G2249">
        <v>0.13683530517873699</v>
      </c>
      <c r="H2249">
        <v>7.7237025829825695E-2</v>
      </c>
      <c r="I2249">
        <v>4.8951257670641603E-2</v>
      </c>
      <c r="J2249">
        <v>5.5001181216524302E-2</v>
      </c>
      <c r="K2249">
        <v>3.9456669673428799E-2</v>
      </c>
      <c r="L2249">
        <v>1271.01640301066</v>
      </c>
      <c r="M2249">
        <v>24.226803162330999</v>
      </c>
      <c r="N2249">
        <v>52.639141984404297</v>
      </c>
      <c r="O2249">
        <v>52.109702148421299</v>
      </c>
      <c r="P2249">
        <v>-0.111711297284474</v>
      </c>
      <c r="Q2249">
        <v>3.8890313656613003E-2</v>
      </c>
      <c r="R2249">
        <v>0.99842803832941596</v>
      </c>
      <c r="S2249" t="s">
        <v>5878</v>
      </c>
      <c r="T2249" t="s">
        <v>7256</v>
      </c>
      <c r="U2249" t="s">
        <v>7256</v>
      </c>
      <c r="V2249" t="s">
        <v>7256</v>
      </c>
      <c r="W2249">
        <v>9</v>
      </c>
      <c r="X2249" t="s">
        <v>9505</v>
      </c>
      <c r="Y2249">
        <v>0.44752707640087241</v>
      </c>
      <c r="Z2249" t="str">
        <f>HYPERLINK("Melting_Curves/meltCurve_sp_Q96HE7_ERO1A_HUMAN_.pdf", "Melting_Curves/meltCurve_sp_Q96HE7_ERO1A_HUMAN_.pdf")</f>
        <v>Melting_Curves/meltCurve_sp_Q96HE7_ERO1A_HUMAN_.pdf</v>
      </c>
      <c r="AA2249" t="s">
        <v>13101</v>
      </c>
      <c r="AB2249" t="s">
        <v>16674</v>
      </c>
    </row>
    <row r="2250" spans="1:28" x14ac:dyDescent="0.25">
      <c r="A2250" t="s">
        <v>2254</v>
      </c>
      <c r="B2250">
        <v>0.98018197421672304</v>
      </c>
      <c r="C2250">
        <v>0.911577628518769</v>
      </c>
      <c r="D2250">
        <v>0.94150770067128697</v>
      </c>
      <c r="E2250">
        <v>0.78395367885215295</v>
      </c>
      <c r="F2250">
        <v>0.57247719091409399</v>
      </c>
      <c r="G2250">
        <v>0.383972817184079</v>
      </c>
      <c r="H2250">
        <v>0.33116202470677603</v>
      </c>
      <c r="I2250">
        <v>0.31720751354509602</v>
      </c>
      <c r="J2250">
        <v>0.36888824064923598</v>
      </c>
      <c r="K2250">
        <v>0.34965720220533503</v>
      </c>
      <c r="L2250">
        <v>1127.64452068626</v>
      </c>
      <c r="M2250">
        <v>21.891003782576799</v>
      </c>
      <c r="N2250">
        <v>54.184483427089297</v>
      </c>
      <c r="O2250">
        <v>51.087702042708898</v>
      </c>
      <c r="P2250">
        <v>-7.17571808684771E-2</v>
      </c>
      <c r="Q2250">
        <v>0.33016763290214401</v>
      </c>
      <c r="R2250">
        <v>0.98598830904605295</v>
      </c>
      <c r="S2250" t="s">
        <v>5879</v>
      </c>
      <c r="T2250" t="s">
        <v>7256</v>
      </c>
      <c r="U2250" t="s">
        <v>7256</v>
      </c>
      <c r="V2250" t="s">
        <v>7256</v>
      </c>
      <c r="W2250">
        <v>11</v>
      </c>
      <c r="X2250" t="s">
        <v>9506</v>
      </c>
      <c r="Y2250">
        <v>0.59504929119064642</v>
      </c>
      <c r="Z2250" t="str">
        <f>HYPERLINK("Melting_Curves/meltCurve_sp_Q96HJ9_2_CG055_HUMAN_.pdf", "Melting_Curves/meltCurve_sp_Q96HJ9_2_CG055_HUMAN_.pdf")</f>
        <v>Melting_Curves/meltCurve_sp_Q96HJ9_2_CG055_HUMAN_.pdf</v>
      </c>
      <c r="AA2250" t="s">
        <v>13102</v>
      </c>
      <c r="AB2250" t="s">
        <v>16675</v>
      </c>
    </row>
    <row r="2251" spans="1:28" x14ac:dyDescent="0.25">
      <c r="A2251" t="s">
        <v>2255</v>
      </c>
      <c r="B2251">
        <v>0.98018197421672304</v>
      </c>
      <c r="C2251">
        <v>1.16968745375553</v>
      </c>
      <c r="D2251">
        <v>1.17945222559134</v>
      </c>
      <c r="E2251">
        <v>1.0832903195955399</v>
      </c>
      <c r="F2251">
        <v>0.98076584640148601</v>
      </c>
      <c r="G2251">
        <v>0.78259347340266305</v>
      </c>
      <c r="H2251">
        <v>0.49210732528885898</v>
      </c>
      <c r="I2251">
        <v>0.15582592708510301</v>
      </c>
      <c r="J2251">
        <v>2.14078579742214E-2</v>
      </c>
      <c r="K2251">
        <v>2.2014981067655998E-2</v>
      </c>
      <c r="L2251">
        <v>1635.86791106285</v>
      </c>
      <c r="M2251">
        <v>27.069290850809299</v>
      </c>
      <c r="N2251">
        <v>60.432610511956298</v>
      </c>
      <c r="O2251">
        <v>60.105693797744003</v>
      </c>
      <c r="P2251">
        <v>-0.112591498207019</v>
      </c>
      <c r="Q2251">
        <v>0</v>
      </c>
      <c r="R2251">
        <v>0.96162465827856802</v>
      </c>
      <c r="S2251" t="s">
        <v>5880</v>
      </c>
      <c r="T2251" t="s">
        <v>7256</v>
      </c>
      <c r="U2251" t="s">
        <v>7256</v>
      </c>
      <c r="V2251" t="s">
        <v>7256</v>
      </c>
      <c r="W2251">
        <v>4</v>
      </c>
      <c r="X2251" t="s">
        <v>9507</v>
      </c>
      <c r="Y2251">
        <v>0.68762763514843761</v>
      </c>
      <c r="Z2251" t="str">
        <f>HYPERLINK("Melting_Curves/meltCurve_sp_Q96HJ9_CG055_HUMAN_.pdf", "Melting_Curves/meltCurve_sp_Q96HJ9_CG055_HUMAN_.pdf")</f>
        <v>Melting_Curves/meltCurve_sp_Q96HJ9_CG055_HUMAN_.pdf</v>
      </c>
      <c r="AA2251" t="s">
        <v>13102</v>
      </c>
      <c r="AB2251" t="s">
        <v>16676</v>
      </c>
    </row>
    <row r="2252" spans="1:28" x14ac:dyDescent="0.25">
      <c r="A2252" t="s">
        <v>2256</v>
      </c>
      <c r="B2252">
        <v>0.98018197421672304</v>
      </c>
      <c r="C2252">
        <v>0.87239665763764895</v>
      </c>
      <c r="D2252">
        <v>0.80058242231358601</v>
      </c>
      <c r="E2252">
        <v>0.48064589440939298</v>
      </c>
      <c r="F2252">
        <v>0.180002757841385</v>
      </c>
      <c r="G2252">
        <v>0.107992714262831</v>
      </c>
      <c r="H2252">
        <v>7.33781183966178E-2</v>
      </c>
      <c r="I2252">
        <v>5.9671136541358701E-2</v>
      </c>
      <c r="J2252">
        <v>7.1780584274602002E-2</v>
      </c>
      <c r="K2252">
        <v>6.8288865370396107E-2</v>
      </c>
      <c r="L2252">
        <v>932.44191687688601</v>
      </c>
      <c r="M2252">
        <v>19.027734668978201</v>
      </c>
      <c r="N2252">
        <v>49.287476353147902</v>
      </c>
      <c r="O2252">
        <v>48.472717593454703</v>
      </c>
      <c r="P2252">
        <v>-9.3059569763162195E-2</v>
      </c>
      <c r="Q2252">
        <v>5.1769112333011597E-2</v>
      </c>
      <c r="R2252">
        <v>0.99215204259346701</v>
      </c>
      <c r="S2252" t="s">
        <v>5881</v>
      </c>
      <c r="T2252" t="s">
        <v>7256</v>
      </c>
      <c r="U2252" t="s">
        <v>7256</v>
      </c>
      <c r="V2252" t="s">
        <v>7256</v>
      </c>
      <c r="W2252">
        <v>4</v>
      </c>
      <c r="X2252" t="s">
        <v>9508</v>
      </c>
      <c r="Y2252">
        <v>0.35106830838688802</v>
      </c>
      <c r="Z2252" t="str">
        <f>HYPERLINK("Melting_Curves/meltCurve_sp_Q96HP4_OXND1_HUMAN_.pdf", "Melting_Curves/meltCurve_sp_Q96HP4_OXND1_HUMAN_.pdf")</f>
        <v>Melting_Curves/meltCurve_sp_Q96HP4_OXND1_HUMAN_.pdf</v>
      </c>
      <c r="AA2252" t="s">
        <v>13103</v>
      </c>
      <c r="AB2252" t="s">
        <v>16677</v>
      </c>
    </row>
    <row r="2253" spans="1:28" x14ac:dyDescent="0.25">
      <c r="A2253" t="s">
        <v>2257</v>
      </c>
      <c r="B2253">
        <v>0.98018197421672304</v>
      </c>
      <c r="C2253">
        <v>0.85864247999083898</v>
      </c>
      <c r="D2253">
        <v>0.92933871258563505</v>
      </c>
      <c r="E2253">
        <v>0.77178366306743995</v>
      </c>
      <c r="F2253">
        <v>0.689057616184657</v>
      </c>
      <c r="G2253">
        <v>0.551140918623783</v>
      </c>
      <c r="H2253">
        <v>0.47642780735681201</v>
      </c>
      <c r="I2253">
        <v>0.36826461502218799</v>
      </c>
      <c r="J2253">
        <v>0.33409403529630999</v>
      </c>
      <c r="K2253">
        <v>0.27616884850684698</v>
      </c>
      <c r="L2253">
        <v>403.507946284041</v>
      </c>
      <c r="M2253">
        <v>6.8818404808846596</v>
      </c>
      <c r="N2253">
        <v>59.361932585031603</v>
      </c>
      <c r="O2253">
        <v>54.282208408072798</v>
      </c>
      <c r="P2253">
        <v>-3.04718361173687E-2</v>
      </c>
      <c r="Q2253">
        <v>4.0477070407447101E-2</v>
      </c>
      <c r="R2253">
        <v>0.98442266108521603</v>
      </c>
      <c r="S2253" t="s">
        <v>5882</v>
      </c>
      <c r="T2253" t="s">
        <v>7256</v>
      </c>
      <c r="U2253" t="s">
        <v>7256</v>
      </c>
      <c r="V2253" t="s">
        <v>7256</v>
      </c>
      <c r="W2253">
        <v>3</v>
      </c>
      <c r="X2253" t="s">
        <v>9509</v>
      </c>
      <c r="Y2253">
        <v>0.62776177411329526</v>
      </c>
      <c r="Z2253" t="str">
        <f>HYPERLINK("Melting_Curves/meltCurve_sp_Q96HQ2_2_C2AIL_HUMAN_.pdf", "Melting_Curves/meltCurve_sp_Q96HQ2_2_C2AIL_HUMAN_.pdf")</f>
        <v>Melting_Curves/meltCurve_sp_Q96HQ2_2_C2AIL_HUMAN_.pdf</v>
      </c>
      <c r="AA2253" t="s">
        <v>13104</v>
      </c>
      <c r="AB2253" t="s">
        <v>16678</v>
      </c>
    </row>
    <row r="2254" spans="1:28" x14ac:dyDescent="0.25">
      <c r="A2254" t="s">
        <v>2258</v>
      </c>
      <c r="B2254">
        <v>0.98018197421672304</v>
      </c>
      <c r="C2254">
        <v>0.93188460563270703</v>
      </c>
      <c r="D2254">
        <v>0.87523718246573701</v>
      </c>
      <c r="E2254">
        <v>0.59161994120732797</v>
      </c>
      <c r="F2254">
        <v>0.39879160407127801</v>
      </c>
      <c r="G2254">
        <v>0.240350740838668</v>
      </c>
      <c r="H2254">
        <v>0.19800364378445701</v>
      </c>
      <c r="I2254">
        <v>0.13158891920689</v>
      </c>
      <c r="J2254">
        <v>0.24078029386594699</v>
      </c>
      <c r="K2254">
        <v>0.102010710429584</v>
      </c>
      <c r="L2254">
        <v>862.65599468088203</v>
      </c>
      <c r="M2254">
        <v>17.149083063927002</v>
      </c>
      <c r="N2254">
        <v>51.342422573931898</v>
      </c>
      <c r="O2254">
        <v>49.634261603883203</v>
      </c>
      <c r="P2254">
        <v>-7.3716904035853806E-2</v>
      </c>
      <c r="Q2254">
        <v>0.14662132515356899</v>
      </c>
      <c r="R2254">
        <v>0.98892824816422098</v>
      </c>
      <c r="S2254" t="s">
        <v>5883</v>
      </c>
      <c r="T2254" t="s">
        <v>7256</v>
      </c>
      <c r="U2254" t="s">
        <v>7256</v>
      </c>
      <c r="V2254" t="s">
        <v>7256</v>
      </c>
      <c r="W2254">
        <v>5</v>
      </c>
      <c r="X2254" t="s">
        <v>9510</v>
      </c>
      <c r="Y2254">
        <v>0.45556934861935122</v>
      </c>
      <c r="Z2254" t="str">
        <f>HYPERLINK("Melting_Curves/meltCurve_sp_Q96HR9_REEP6_HUMAN_.pdf", "Melting_Curves/meltCurve_sp_Q96HR9_REEP6_HUMAN_.pdf")</f>
        <v>Melting_Curves/meltCurve_sp_Q96HR9_REEP6_HUMAN_.pdf</v>
      </c>
      <c r="AA2254" t="s">
        <v>13105</v>
      </c>
      <c r="AB2254" t="s">
        <v>16679</v>
      </c>
    </row>
    <row r="2255" spans="1:28" x14ac:dyDescent="0.25">
      <c r="A2255" t="s">
        <v>2259</v>
      </c>
      <c r="B2255">
        <v>0.98018197421672304</v>
      </c>
      <c r="C2255">
        <v>0.83332714649755701</v>
      </c>
      <c r="D2255">
        <v>0.85906501555148096</v>
      </c>
      <c r="E2255">
        <v>0.607746826930607</v>
      </c>
      <c r="F2255">
        <v>0.45528906199678698</v>
      </c>
      <c r="G2255">
        <v>0.33711379086975202</v>
      </c>
      <c r="H2255">
        <v>0.239590658262644</v>
      </c>
      <c r="I2255">
        <v>0.201850355446651</v>
      </c>
      <c r="J2255">
        <v>0.179727622826581</v>
      </c>
      <c r="K2255">
        <v>7.9315538821141895E-2</v>
      </c>
      <c r="L2255">
        <v>514.60133583556001</v>
      </c>
      <c r="M2255">
        <v>9.8999949961309994</v>
      </c>
      <c r="N2255">
        <v>52.603889073977399</v>
      </c>
      <c r="O2255">
        <v>49.992406292531797</v>
      </c>
      <c r="P2255">
        <v>-4.6788710322409999E-2</v>
      </c>
      <c r="Q2255">
        <v>5.53940357251144E-2</v>
      </c>
      <c r="R2255">
        <v>0.98617024990267899</v>
      </c>
      <c r="S2255" t="s">
        <v>5884</v>
      </c>
      <c r="T2255" t="s">
        <v>7256</v>
      </c>
      <c r="U2255" t="s">
        <v>7256</v>
      </c>
      <c r="V2255" t="s">
        <v>7256</v>
      </c>
      <c r="W2255">
        <v>4</v>
      </c>
      <c r="X2255" t="s">
        <v>9511</v>
      </c>
      <c r="Y2255">
        <v>0.46893073542851021</v>
      </c>
      <c r="Z2255" t="str">
        <f>HYPERLINK("Melting_Curves/meltCurve_sp_Q96HS1_PGAM5_HUMAN_.pdf", "Melting_Curves/meltCurve_sp_Q96HS1_PGAM5_HUMAN_.pdf")</f>
        <v>Melting_Curves/meltCurve_sp_Q96HS1_PGAM5_HUMAN_.pdf</v>
      </c>
      <c r="AA2255" t="s">
        <v>13106</v>
      </c>
      <c r="AB2255" t="s">
        <v>16680</v>
      </c>
    </row>
    <row r="2256" spans="1:28" x14ac:dyDescent="0.25">
      <c r="A2256" t="s">
        <v>2260</v>
      </c>
      <c r="B2256">
        <v>0.98018197421672304</v>
      </c>
      <c r="C2256">
        <v>0.78059502136848302</v>
      </c>
      <c r="D2256">
        <v>0.73515680774003</v>
      </c>
      <c r="E2256">
        <v>0.71017994732338297</v>
      </c>
      <c r="F2256">
        <v>0.49639867942649502</v>
      </c>
      <c r="G2256">
        <v>0.37087450688765999</v>
      </c>
      <c r="H2256">
        <v>0.458636432371686</v>
      </c>
      <c r="I2256">
        <v>0.43225622611661302</v>
      </c>
      <c r="J2256">
        <v>0.285211043463172</v>
      </c>
      <c r="K2256">
        <v>0.50009234779588996</v>
      </c>
      <c r="L2256">
        <v>522.88202744668297</v>
      </c>
      <c r="M2256">
        <v>10.9934872060833</v>
      </c>
      <c r="N2256">
        <v>54.368411766503101</v>
      </c>
      <c r="O2256">
        <v>46.070369263048903</v>
      </c>
      <c r="P2256">
        <v>-3.7374009236487697E-2</v>
      </c>
      <c r="Q2256">
        <v>0.37371927718876002</v>
      </c>
      <c r="R2256">
        <v>0.87086996914784398</v>
      </c>
      <c r="S2256" t="s">
        <v>5885</v>
      </c>
      <c r="T2256" t="s">
        <v>7256</v>
      </c>
      <c r="U2256" t="s">
        <v>7256</v>
      </c>
      <c r="V2256" t="s">
        <v>7256</v>
      </c>
      <c r="W2256">
        <v>3</v>
      </c>
      <c r="X2256" t="s">
        <v>9512</v>
      </c>
      <c r="Y2256">
        <v>0.5610228570464183</v>
      </c>
      <c r="Z2256" t="str">
        <f>HYPERLINK("Melting_Curves/meltCurve_sp_Q96HY6_2_DDRGK_HUMAN_.pdf", "Melting_Curves/meltCurve_sp_Q96HY6_2_DDRGK_HUMAN_.pdf")</f>
        <v>Melting_Curves/meltCurve_sp_Q96HY6_2_DDRGK_HUMAN_.pdf</v>
      </c>
      <c r="AA2256" t="s">
        <v>13107</v>
      </c>
      <c r="AB2256" t="s">
        <v>16681</v>
      </c>
    </row>
    <row r="2257" spans="1:28" x14ac:dyDescent="0.25">
      <c r="A2257" t="s">
        <v>2261</v>
      </c>
      <c r="B2257">
        <v>0.98018197421672304</v>
      </c>
      <c r="C2257">
        <v>0.86156817318366796</v>
      </c>
      <c r="D2257">
        <v>0.472622557846617</v>
      </c>
      <c r="E2257">
        <v>0.27716352830290197</v>
      </c>
      <c r="F2257">
        <v>0.170050144294419</v>
      </c>
      <c r="G2257">
        <v>9.6324053676479504E-2</v>
      </c>
      <c r="H2257">
        <v>5.3169769320784502E-2</v>
      </c>
      <c r="I2257">
        <v>3.9880353398679701E-2</v>
      </c>
      <c r="J2257">
        <v>3.9358405373719797E-2</v>
      </c>
      <c r="K2257">
        <v>2.7050396069809302E-2</v>
      </c>
      <c r="L2257">
        <v>828.36074694668696</v>
      </c>
      <c r="M2257">
        <v>17.909166230414399</v>
      </c>
      <c r="N2257">
        <v>46.508045868418101</v>
      </c>
      <c r="O2257">
        <v>45.688323785515102</v>
      </c>
      <c r="P2257">
        <v>-9.3425357208923601E-2</v>
      </c>
      <c r="Q2257">
        <v>4.6693058249877899E-2</v>
      </c>
      <c r="R2257">
        <v>0.98885217984916196</v>
      </c>
      <c r="S2257" t="s">
        <v>5886</v>
      </c>
      <c r="T2257" t="s">
        <v>7256</v>
      </c>
      <c r="U2257" t="s">
        <v>7256</v>
      </c>
      <c r="V2257" t="s">
        <v>7256</v>
      </c>
      <c r="W2257">
        <v>16</v>
      </c>
      <c r="X2257" t="s">
        <v>9513</v>
      </c>
      <c r="Y2257">
        <v>0.26399061812034602</v>
      </c>
      <c r="Z2257" t="str">
        <f>HYPERLINK("Melting_Curves/meltCurve_sp_Q96HY7_DHTK1_HUMAN_.pdf", "Melting_Curves/meltCurve_sp_Q96HY7_DHTK1_HUMAN_.pdf")</f>
        <v>Melting_Curves/meltCurve_sp_Q96HY7_DHTK1_HUMAN_.pdf</v>
      </c>
      <c r="AA2257" t="s">
        <v>13108</v>
      </c>
      <c r="AB2257" t="s">
        <v>16682</v>
      </c>
    </row>
    <row r="2258" spans="1:28" x14ac:dyDescent="0.25">
      <c r="A2258" t="s">
        <v>2262</v>
      </c>
      <c r="B2258">
        <v>0.98018197421672304</v>
      </c>
      <c r="C2258">
        <v>0.98941376867740505</v>
      </c>
      <c r="D2258">
        <v>0.86715519198603797</v>
      </c>
      <c r="E2258">
        <v>0.80743091542798695</v>
      </c>
      <c r="F2258">
        <v>0.68004583084149495</v>
      </c>
      <c r="G2258">
        <v>0.48577244504565598</v>
      </c>
      <c r="H2258">
        <v>0.21280201031051901</v>
      </c>
      <c r="I2258">
        <v>0.120833352618416</v>
      </c>
      <c r="J2258">
        <v>0.106565068001461</v>
      </c>
      <c r="K2258">
        <v>6.1975974821839301E-2</v>
      </c>
      <c r="L2258">
        <v>727.091761615932</v>
      </c>
      <c r="M2258">
        <v>13.0337045504744</v>
      </c>
      <c r="N2258">
        <v>55.785504484647099</v>
      </c>
      <c r="O2258">
        <v>54.521281582979498</v>
      </c>
      <c r="P2258">
        <v>-5.9774750968751102E-2</v>
      </c>
      <c r="Q2258">
        <v>0</v>
      </c>
      <c r="R2258">
        <v>0.99095205377844597</v>
      </c>
      <c r="S2258" t="s">
        <v>5887</v>
      </c>
      <c r="T2258" t="s">
        <v>7256</v>
      </c>
      <c r="U2258" t="s">
        <v>7256</v>
      </c>
      <c r="V2258" t="s">
        <v>7256</v>
      </c>
      <c r="W2258">
        <v>15</v>
      </c>
      <c r="X2258" t="s">
        <v>9514</v>
      </c>
      <c r="Y2258">
        <v>0.54633640804479533</v>
      </c>
      <c r="Z2258" t="str">
        <f>HYPERLINK("Melting_Curves/meltCurve_sp_Q96I15_SCLY_HUMAN_.pdf", "Melting_Curves/meltCurve_sp_Q96I15_SCLY_HUMAN_.pdf")</f>
        <v>Melting_Curves/meltCurve_sp_Q96I15_SCLY_HUMAN_.pdf</v>
      </c>
      <c r="AA2258" t="s">
        <v>13109</v>
      </c>
      <c r="AB2258" t="s">
        <v>16683</v>
      </c>
    </row>
    <row r="2259" spans="1:28" x14ac:dyDescent="0.25">
      <c r="A2259" t="s">
        <v>2263</v>
      </c>
      <c r="B2259">
        <v>0.98018197421672304</v>
      </c>
      <c r="C2259">
        <v>0.97045867528209895</v>
      </c>
      <c r="D2259">
        <v>0.90465141462889398</v>
      </c>
      <c r="E2259">
        <v>0.62912986426150197</v>
      </c>
      <c r="F2259">
        <v>0.68481029304976904</v>
      </c>
      <c r="G2259">
        <v>0.36176195844708298</v>
      </c>
      <c r="H2259">
        <v>0.33758586706360599</v>
      </c>
      <c r="I2259">
        <v>0.28834073931169102</v>
      </c>
      <c r="J2259">
        <v>0.421784325170178</v>
      </c>
      <c r="K2259">
        <v>0.50129069820817895</v>
      </c>
      <c r="L2259">
        <v>891.15942428684002</v>
      </c>
      <c r="M2259">
        <v>17.750479438928298</v>
      </c>
      <c r="N2259">
        <v>54.427299647362197</v>
      </c>
      <c r="O2259">
        <v>49.580618223347997</v>
      </c>
      <c r="P2259">
        <v>-5.6045838187589403E-2</v>
      </c>
      <c r="Q2259">
        <v>0.37384402532873101</v>
      </c>
      <c r="R2259">
        <v>0.90722908954222903</v>
      </c>
      <c r="S2259" t="s">
        <v>5888</v>
      </c>
      <c r="T2259" t="s">
        <v>7256</v>
      </c>
      <c r="U2259" t="s">
        <v>7256</v>
      </c>
      <c r="V2259" t="s">
        <v>7256</v>
      </c>
      <c r="W2259">
        <v>1</v>
      </c>
      <c r="X2259" t="s">
        <v>9515</v>
      </c>
      <c r="Y2259">
        <v>0.59777021707177747</v>
      </c>
      <c r="Z2259" t="str">
        <f>HYPERLINK("Melting_Curves/meltCurve_sp_Q96I23_PREY_HUMAN_.pdf", "Melting_Curves/meltCurve_sp_Q96I23_PREY_HUMAN_.pdf")</f>
        <v>Melting_Curves/meltCurve_sp_Q96I23_PREY_HUMAN_.pdf</v>
      </c>
      <c r="AA2259" t="s">
        <v>13110</v>
      </c>
      <c r="AB2259" t="s">
        <v>16684</v>
      </c>
    </row>
    <row r="2260" spans="1:28" x14ac:dyDescent="0.25">
      <c r="A2260" t="s">
        <v>2264</v>
      </c>
      <c r="B2260">
        <v>0.98018197421672304</v>
      </c>
      <c r="C2260">
        <v>0.94210142458434598</v>
      </c>
      <c r="D2260">
        <v>0.91529768687082402</v>
      </c>
      <c r="E2260">
        <v>0.73674545066340602</v>
      </c>
      <c r="F2260">
        <v>0.49414893233351498</v>
      </c>
      <c r="G2260">
        <v>0.27797841184661598</v>
      </c>
      <c r="H2260">
        <v>0.22428865507448001</v>
      </c>
      <c r="I2260">
        <v>0.17848250450160699</v>
      </c>
      <c r="J2260">
        <v>0.17871901491814199</v>
      </c>
      <c r="K2260">
        <v>0.20684101473650501</v>
      </c>
      <c r="L2260">
        <v>991.21114346445597</v>
      </c>
      <c r="M2260">
        <v>19.163458111280999</v>
      </c>
      <c r="N2260">
        <v>52.912373455958097</v>
      </c>
      <c r="O2260">
        <v>51.1706568175683</v>
      </c>
      <c r="P2260">
        <v>-7.7255776757037195E-2</v>
      </c>
      <c r="Q2260">
        <v>0.17487199115566299</v>
      </c>
      <c r="R2260">
        <v>0.99630733979993802</v>
      </c>
      <c r="S2260" t="s">
        <v>5889</v>
      </c>
      <c r="T2260" t="s">
        <v>7256</v>
      </c>
      <c r="U2260" t="s">
        <v>7256</v>
      </c>
      <c r="V2260" t="s">
        <v>7256</v>
      </c>
      <c r="W2260">
        <v>10</v>
      </c>
      <c r="X2260" t="s">
        <v>9516</v>
      </c>
      <c r="Y2260">
        <v>0.50967662743256781</v>
      </c>
      <c r="Z2260" t="str">
        <f>HYPERLINK("Melting_Curves/meltCurve_sp_Q96I24_FUBP3_HUMAN_.pdf", "Melting_Curves/meltCurve_sp_Q96I24_FUBP3_HUMAN_.pdf")</f>
        <v>Melting_Curves/meltCurve_sp_Q96I24_FUBP3_HUMAN_.pdf</v>
      </c>
      <c r="AA2260" t="s">
        <v>13111</v>
      </c>
      <c r="AB2260" t="s">
        <v>16685</v>
      </c>
    </row>
    <row r="2261" spans="1:28" x14ac:dyDescent="0.25">
      <c r="A2261" t="s">
        <v>2265</v>
      </c>
      <c r="B2261">
        <v>0.98018197421672304</v>
      </c>
      <c r="C2261">
        <v>1.0042509990941</v>
      </c>
      <c r="D2261">
        <v>0.94738264932526395</v>
      </c>
      <c r="E2261">
        <v>0.84471941330403599</v>
      </c>
      <c r="F2261">
        <v>0.65884320418277698</v>
      </c>
      <c r="G2261">
        <v>0.39604946015173398</v>
      </c>
      <c r="H2261">
        <v>0.27501348566804201</v>
      </c>
      <c r="I2261">
        <v>0.14064842672927499</v>
      </c>
      <c r="J2261">
        <v>0.107661118782612</v>
      </c>
      <c r="K2261">
        <v>9.4382689428813005E-2</v>
      </c>
      <c r="L2261">
        <v>819.80141543675802</v>
      </c>
      <c r="M2261">
        <v>14.862541017758</v>
      </c>
      <c r="N2261">
        <v>55.566429778862002</v>
      </c>
      <c r="O2261">
        <v>54.189212630685297</v>
      </c>
      <c r="P2261">
        <v>-6.5034031562125796E-2</v>
      </c>
      <c r="Q2261">
        <v>5.16362810282315E-2</v>
      </c>
      <c r="R2261">
        <v>0.99762931095310303</v>
      </c>
      <c r="S2261" t="s">
        <v>5890</v>
      </c>
      <c r="T2261" t="s">
        <v>7256</v>
      </c>
      <c r="U2261" t="s">
        <v>7256</v>
      </c>
      <c r="V2261" t="s">
        <v>7256</v>
      </c>
      <c r="W2261">
        <v>4</v>
      </c>
      <c r="X2261" t="s">
        <v>9517</v>
      </c>
      <c r="Y2261">
        <v>0.54908847376126413</v>
      </c>
      <c r="Z2261" t="str">
        <f>HYPERLINK("Melting_Curves/meltCurve_sp_Q96I25_SPF45_HUMAN_.pdf", "Melting_Curves/meltCurve_sp_Q96I25_SPF45_HUMAN_.pdf")</f>
        <v>Melting_Curves/meltCurve_sp_Q96I25_SPF45_HUMAN_.pdf</v>
      </c>
      <c r="AA2261" t="s">
        <v>13112</v>
      </c>
      <c r="AB2261" t="s">
        <v>16686</v>
      </c>
    </row>
    <row r="2262" spans="1:28" x14ac:dyDescent="0.25">
      <c r="A2262" t="s">
        <v>2266</v>
      </c>
      <c r="B2262">
        <v>0.98018197421672304</v>
      </c>
      <c r="C2262">
        <v>1.011908819951</v>
      </c>
      <c r="D2262">
        <v>0.77999107709180704</v>
      </c>
      <c r="E2262">
        <v>0.63853414482363302</v>
      </c>
      <c r="F2262">
        <v>0.53921003505500098</v>
      </c>
      <c r="G2262">
        <v>0.31069187820107202</v>
      </c>
      <c r="H2262">
        <v>0.17725462055084701</v>
      </c>
      <c r="I2262">
        <v>0.13722080756979299</v>
      </c>
      <c r="J2262">
        <v>0.14304154483788301</v>
      </c>
      <c r="K2262">
        <v>0.107436506336082</v>
      </c>
      <c r="L2262">
        <v>622.67841737012998</v>
      </c>
      <c r="M2262">
        <v>11.905907280471</v>
      </c>
      <c r="N2262">
        <v>52.8421645764396</v>
      </c>
      <c r="O2262">
        <v>50.889979811295902</v>
      </c>
      <c r="P2262">
        <v>-5.5139132318810402E-2</v>
      </c>
      <c r="Q2262">
        <v>5.7499088321625501E-2</v>
      </c>
      <c r="R2262">
        <v>0.98762205365450395</v>
      </c>
      <c r="S2262" t="s">
        <v>5891</v>
      </c>
      <c r="T2262" t="s">
        <v>7256</v>
      </c>
      <c r="U2262" t="s">
        <v>7256</v>
      </c>
      <c r="V2262" t="s">
        <v>7256</v>
      </c>
      <c r="W2262">
        <v>2</v>
      </c>
      <c r="X2262" t="s">
        <v>9518</v>
      </c>
      <c r="Y2262">
        <v>0.47245562233772792</v>
      </c>
      <c r="Z2262" t="str">
        <f>HYPERLINK("Melting_Curves/meltCurve_sp_Q96I51_WBS16_HUMAN_.pdf", "Melting_Curves/meltCurve_sp_Q96I51_WBS16_HUMAN_.pdf")</f>
        <v>Melting_Curves/meltCurve_sp_Q96I51_WBS16_HUMAN_.pdf</v>
      </c>
      <c r="AA2262" t="s">
        <v>13113</v>
      </c>
      <c r="AB2262" t="s">
        <v>16687</v>
      </c>
    </row>
    <row r="2263" spans="1:28" x14ac:dyDescent="0.25">
      <c r="A2263" t="s">
        <v>2267</v>
      </c>
      <c r="B2263">
        <v>0.98018197421672304</v>
      </c>
      <c r="C2263">
        <v>0.81496905220534999</v>
      </c>
      <c r="D2263">
        <v>0.573763700957862</v>
      </c>
      <c r="E2263">
        <v>0.20153519780705501</v>
      </c>
      <c r="F2263">
        <v>0.117714330589356</v>
      </c>
      <c r="G2263">
        <v>6.7433758544585803E-2</v>
      </c>
      <c r="H2263">
        <v>4.0469312420837601E-2</v>
      </c>
      <c r="I2263">
        <v>3.3295092186394898E-2</v>
      </c>
      <c r="J2263">
        <v>4.0469466157629898E-2</v>
      </c>
      <c r="K2263">
        <v>3.2991064487399198E-2</v>
      </c>
      <c r="L2263">
        <v>918.36681785058704</v>
      </c>
      <c r="M2263">
        <v>19.805655891240701</v>
      </c>
      <c r="N2263">
        <v>46.537874676588999</v>
      </c>
      <c r="O2263">
        <v>45.903965278735399</v>
      </c>
      <c r="P2263">
        <v>-0.10412626929150599</v>
      </c>
      <c r="Q2263">
        <v>3.4690500055338601E-2</v>
      </c>
      <c r="R2263">
        <v>0.998469397218823</v>
      </c>
      <c r="S2263" t="s">
        <v>5892</v>
      </c>
      <c r="T2263" t="s">
        <v>7256</v>
      </c>
      <c r="U2263" t="s">
        <v>7256</v>
      </c>
      <c r="V2263" t="s">
        <v>7256</v>
      </c>
      <c r="W2263">
        <v>8</v>
      </c>
      <c r="X2263" t="s">
        <v>9519</v>
      </c>
      <c r="Y2263">
        <v>0.25452179961362381</v>
      </c>
      <c r="Z2263" t="str">
        <f>HYPERLINK("Melting_Curves/meltCurve_sp_Q96I59_SYNM_HUMAN_.pdf", "Melting_Curves/meltCurve_sp_Q96I59_SYNM_HUMAN_.pdf")</f>
        <v>Melting_Curves/meltCurve_sp_Q96I59_SYNM_HUMAN_.pdf</v>
      </c>
      <c r="AA2263" t="s">
        <v>13114</v>
      </c>
      <c r="AB2263" t="s">
        <v>16688</v>
      </c>
    </row>
    <row r="2264" spans="1:28" x14ac:dyDescent="0.25">
      <c r="A2264" t="s">
        <v>2268</v>
      </c>
      <c r="B2264">
        <v>0.98018197421672304</v>
      </c>
      <c r="C2264">
        <v>0.89260732917568797</v>
      </c>
      <c r="D2264">
        <v>0.95090799743494803</v>
      </c>
      <c r="E2264">
        <v>0.68951834700933501</v>
      </c>
      <c r="F2264">
        <v>0.208470035114246</v>
      </c>
      <c r="G2264">
        <v>9.5882050418705497E-2</v>
      </c>
      <c r="H2264">
        <v>5.2449125792452297E-2</v>
      </c>
      <c r="I2264">
        <v>3.9833621616089797E-2</v>
      </c>
      <c r="J2264">
        <v>3.9037225644437498E-2</v>
      </c>
      <c r="K2264">
        <v>2.7786056327913301E-2</v>
      </c>
      <c r="L2264">
        <v>1884.10334543514</v>
      </c>
      <c r="M2264">
        <v>37.006354405369997</v>
      </c>
      <c r="N2264">
        <v>51.042030168697799</v>
      </c>
      <c r="O2264">
        <v>50.7649874847002</v>
      </c>
      <c r="P2264">
        <v>-0.17410431282395</v>
      </c>
      <c r="Q2264">
        <v>4.46638615746432E-2</v>
      </c>
      <c r="R2264">
        <v>0.99097016550833805</v>
      </c>
      <c r="S2264" t="s">
        <v>5893</v>
      </c>
      <c r="T2264" t="s">
        <v>7256</v>
      </c>
      <c r="U2264" t="s">
        <v>7256</v>
      </c>
      <c r="V2264" t="s">
        <v>7256</v>
      </c>
      <c r="W2264">
        <v>27</v>
      </c>
      <c r="X2264" t="s">
        <v>9520</v>
      </c>
      <c r="Y2264">
        <v>0.39611470904775919</v>
      </c>
      <c r="Z2264" t="str">
        <f>HYPERLINK("Melting_Curves/meltCurve_sp_Q96I99_SUCB2_HUMAN_.pdf", "Melting_Curves/meltCurve_sp_Q96I99_SUCB2_HUMAN_.pdf")</f>
        <v>Melting_Curves/meltCurve_sp_Q96I99_SUCB2_HUMAN_.pdf</v>
      </c>
      <c r="AA2264" t="s">
        <v>13115</v>
      </c>
      <c r="AB2264" t="s">
        <v>16689</v>
      </c>
    </row>
    <row r="2265" spans="1:28" x14ac:dyDescent="0.25">
      <c r="A2265" t="s">
        <v>2269</v>
      </c>
      <c r="B2265">
        <v>0.98018197421672304</v>
      </c>
      <c r="C2265">
        <v>0.96003061768568598</v>
      </c>
      <c r="D2265">
        <v>0.78726754443926505</v>
      </c>
      <c r="E2265">
        <v>0.44707640916784602</v>
      </c>
      <c r="F2265">
        <v>0.182170703883407</v>
      </c>
      <c r="G2265">
        <v>7.2095566311612097E-2</v>
      </c>
      <c r="H2265">
        <v>3.4187400691834201E-2</v>
      </c>
      <c r="I2265">
        <v>2.44321981444225E-2</v>
      </c>
      <c r="J2265">
        <v>3.28854562657621E-2</v>
      </c>
      <c r="K2265">
        <v>2.0108174432521699E-2</v>
      </c>
      <c r="L2265">
        <v>993.82353987446902</v>
      </c>
      <c r="M2265">
        <v>20.218991731706801</v>
      </c>
      <c r="N2265">
        <v>49.2383788640429</v>
      </c>
      <c r="O2265">
        <v>48.679731044405102</v>
      </c>
      <c r="P2265">
        <v>-0.10205072444871199</v>
      </c>
      <c r="Q2265">
        <v>1.7231524812840002E-2</v>
      </c>
      <c r="R2265">
        <v>0.99904255279140297</v>
      </c>
      <c r="S2265" t="s">
        <v>5894</v>
      </c>
      <c r="T2265" t="s">
        <v>7256</v>
      </c>
      <c r="U2265" t="s">
        <v>7256</v>
      </c>
      <c r="V2265" t="s">
        <v>7256</v>
      </c>
      <c r="W2265">
        <v>7</v>
      </c>
      <c r="X2265" t="s">
        <v>9521</v>
      </c>
      <c r="Y2265">
        <v>0.33052186154745161</v>
      </c>
      <c r="Z2265" t="str">
        <f>HYPERLINK("Melting_Curves/meltCurve_sp_Q96IJ6_GMPPA_HUMAN_.pdf", "Melting_Curves/meltCurve_sp_Q96IJ6_GMPPA_HUMAN_.pdf")</f>
        <v>Melting_Curves/meltCurve_sp_Q96IJ6_GMPPA_HUMAN_.pdf</v>
      </c>
      <c r="AA2265" t="s">
        <v>13116</v>
      </c>
      <c r="AB2265" t="s">
        <v>16690</v>
      </c>
    </row>
    <row r="2266" spans="1:28" x14ac:dyDescent="0.25">
      <c r="A2266" t="s">
        <v>2270</v>
      </c>
      <c r="B2266">
        <v>0.98018197421672304</v>
      </c>
      <c r="C2266">
        <v>1.0087455007913899</v>
      </c>
      <c r="D2266">
        <v>0.98707471531608204</v>
      </c>
      <c r="E2266">
        <v>0.802846824242329</v>
      </c>
      <c r="F2266">
        <v>0.71745162368690396</v>
      </c>
      <c r="G2266">
        <v>0.46907829159771303</v>
      </c>
      <c r="H2266">
        <v>0.18848463716875599</v>
      </c>
      <c r="I2266">
        <v>0.15619261559165301</v>
      </c>
      <c r="J2266">
        <v>0.132481448465472</v>
      </c>
      <c r="K2266">
        <v>0.101872482423831</v>
      </c>
      <c r="L2266">
        <v>870.37249188265002</v>
      </c>
      <c r="M2266">
        <v>15.680069760851</v>
      </c>
      <c r="N2266">
        <v>55.934090500066802</v>
      </c>
      <c r="O2266">
        <v>54.628876270629497</v>
      </c>
      <c r="P2266">
        <v>-6.7725078167675395E-2</v>
      </c>
      <c r="Q2266">
        <v>5.6271784104581203E-2</v>
      </c>
      <c r="R2266">
        <v>0.99322377746502899</v>
      </c>
      <c r="S2266" t="s">
        <v>5895</v>
      </c>
      <c r="T2266" t="s">
        <v>7256</v>
      </c>
      <c r="U2266" t="s">
        <v>7256</v>
      </c>
      <c r="V2266" t="s">
        <v>7256</v>
      </c>
      <c r="W2266">
        <v>5</v>
      </c>
      <c r="X2266" t="s">
        <v>9522</v>
      </c>
      <c r="Y2266">
        <v>0.56086363628719804</v>
      </c>
      <c r="Z2266" t="str">
        <f>HYPERLINK("Melting_Curves/meltCurve_sp_Q96IU4_ABHEB_HUMAN_.pdf", "Melting_Curves/meltCurve_sp_Q96IU4_ABHEB_HUMAN_.pdf")</f>
        <v>Melting_Curves/meltCurve_sp_Q96IU4_ABHEB_HUMAN_.pdf</v>
      </c>
      <c r="AA2266" t="s">
        <v>13117</v>
      </c>
      <c r="AB2266" t="s">
        <v>16691</v>
      </c>
    </row>
    <row r="2267" spans="1:28" x14ac:dyDescent="0.25">
      <c r="A2267" t="s">
        <v>2271</v>
      </c>
      <c r="B2267">
        <v>0.98018197421672304</v>
      </c>
      <c r="C2267">
        <v>1.0452761322192401</v>
      </c>
      <c r="D2267">
        <v>0.88606815933495797</v>
      </c>
      <c r="E2267">
        <v>0.738226935435778</v>
      </c>
      <c r="F2267">
        <v>0.73384357536376099</v>
      </c>
      <c r="G2267">
        <v>0.58087269002890796</v>
      </c>
      <c r="H2267">
        <v>0.41104394791573301</v>
      </c>
      <c r="I2267">
        <v>0.33483750455168299</v>
      </c>
      <c r="J2267">
        <v>0.387195801034937</v>
      </c>
      <c r="K2267">
        <v>0.30779524803685299</v>
      </c>
      <c r="L2267">
        <v>583.19004474164296</v>
      </c>
      <c r="M2267">
        <v>10.633968788025101</v>
      </c>
      <c r="N2267">
        <v>58.548641187353098</v>
      </c>
      <c r="O2267">
        <v>53.009384936550497</v>
      </c>
      <c r="P2267">
        <v>-3.7880806373898603E-2</v>
      </c>
      <c r="Q2267">
        <v>0.24496040322814899</v>
      </c>
      <c r="R2267">
        <v>0.97153270379569401</v>
      </c>
      <c r="S2267" t="s">
        <v>5896</v>
      </c>
      <c r="T2267" t="s">
        <v>7256</v>
      </c>
      <c r="U2267" t="s">
        <v>7256</v>
      </c>
      <c r="V2267" t="s">
        <v>7256</v>
      </c>
      <c r="W2267">
        <v>3</v>
      </c>
      <c r="X2267" t="s">
        <v>9523</v>
      </c>
      <c r="Y2267">
        <v>0.63798528290050316</v>
      </c>
      <c r="Z2267" t="str">
        <f>HYPERLINK("Melting_Curves/meltCurve_sp_Q96IV0_3_NGLY1_HUMAN_.pdf", "Melting_Curves/meltCurve_sp_Q96IV0_3_NGLY1_HUMAN_.pdf")</f>
        <v>Melting_Curves/meltCurve_sp_Q96IV0_3_NGLY1_HUMAN_.pdf</v>
      </c>
      <c r="AA2267" t="s">
        <v>13118</v>
      </c>
      <c r="AB2267" t="s">
        <v>16692</v>
      </c>
    </row>
    <row r="2268" spans="1:28" x14ac:dyDescent="0.25">
      <c r="A2268" t="s">
        <v>2272</v>
      </c>
      <c r="B2268">
        <v>0.98018197421672304</v>
      </c>
      <c r="C2268">
        <v>1.01451614276201</v>
      </c>
      <c r="D2268">
        <v>0.92862029584340999</v>
      </c>
      <c r="E2268">
        <v>0.78361490485910301</v>
      </c>
      <c r="F2268">
        <v>0.71703638214724397</v>
      </c>
      <c r="G2268">
        <v>0.52301742600272905</v>
      </c>
      <c r="H2268">
        <v>0.47071759706184702</v>
      </c>
      <c r="I2268">
        <v>0.50534192576495096</v>
      </c>
      <c r="J2268">
        <v>0.65308914023800202</v>
      </c>
      <c r="K2268">
        <v>0.56104896289901995</v>
      </c>
      <c r="L2268">
        <v>1100.98039800012</v>
      </c>
      <c r="M2268">
        <v>21.775324026413202</v>
      </c>
      <c r="O2268">
        <v>50.1402945799056</v>
      </c>
      <c r="P2268">
        <v>-5.00445923964081E-2</v>
      </c>
      <c r="Q2268">
        <v>0.53907601963556895</v>
      </c>
      <c r="R2268">
        <v>0.92594114622989998</v>
      </c>
      <c r="S2268" t="s">
        <v>5897</v>
      </c>
      <c r="T2268" t="s">
        <v>7256</v>
      </c>
      <c r="U2268" t="s">
        <v>7256</v>
      </c>
      <c r="V2268" t="s">
        <v>7256</v>
      </c>
      <c r="W2268">
        <v>4</v>
      </c>
      <c r="X2268" t="s">
        <v>9524</v>
      </c>
      <c r="Y2268">
        <v>0.70677295514434202</v>
      </c>
      <c r="Z2268" t="str">
        <f>HYPERLINK("Melting_Curves/meltCurve_sp_Q96IZ0_PAWR_HUMAN_.pdf", "Melting_Curves/meltCurve_sp_Q96IZ0_PAWR_HUMAN_.pdf")</f>
        <v>Melting_Curves/meltCurve_sp_Q96IZ0_PAWR_HUMAN_.pdf</v>
      </c>
      <c r="AA2268" t="s">
        <v>13119</v>
      </c>
      <c r="AB2268" t="s">
        <v>16693</v>
      </c>
    </row>
    <row r="2269" spans="1:28" x14ac:dyDescent="0.25">
      <c r="A2269" t="s">
        <v>2273</v>
      </c>
      <c r="B2269">
        <v>0.98018197421672304</v>
      </c>
      <c r="C2269">
        <v>0.92427147273646504</v>
      </c>
      <c r="D2269">
        <v>0.72944828970149</v>
      </c>
      <c r="E2269">
        <v>0.33827975633551499</v>
      </c>
      <c r="F2269">
        <v>0.182462685546357</v>
      </c>
      <c r="G2269">
        <v>7.5544821583310204E-2</v>
      </c>
      <c r="H2269">
        <v>5.9403591635078697E-2</v>
      </c>
      <c r="I2269">
        <v>4.3355158304492297E-2</v>
      </c>
      <c r="J2269">
        <v>7.1462864875927096E-2</v>
      </c>
      <c r="K2269">
        <v>5.1984353061873198E-2</v>
      </c>
      <c r="L2269">
        <v>985.66542854628301</v>
      </c>
      <c r="M2269">
        <v>20.518579697277801</v>
      </c>
      <c r="N2269">
        <v>48.286106087272699</v>
      </c>
      <c r="O2269">
        <v>47.588392799754601</v>
      </c>
      <c r="P2269">
        <v>-0.10239551077950999</v>
      </c>
      <c r="Q2269">
        <v>5.0091171568182401E-2</v>
      </c>
      <c r="R2269">
        <v>0.99939500433717399</v>
      </c>
      <c r="S2269" t="s">
        <v>5898</v>
      </c>
      <c r="T2269" t="s">
        <v>7256</v>
      </c>
      <c r="U2269" t="s">
        <v>7256</v>
      </c>
      <c r="V2269" t="s">
        <v>7256</v>
      </c>
      <c r="W2269">
        <v>3</v>
      </c>
      <c r="X2269" t="s">
        <v>9525</v>
      </c>
      <c r="Y2269">
        <v>0.31737075911364832</v>
      </c>
      <c r="Z2269" t="str">
        <f>HYPERLINK("Melting_Curves/meltCurve_sp_Q96JB2_COG3_HUMAN_.pdf", "Melting_Curves/meltCurve_sp_Q96JB2_COG3_HUMAN_.pdf")</f>
        <v>Melting_Curves/meltCurve_sp_Q96JB2_COG3_HUMAN_.pdf</v>
      </c>
      <c r="AA2269" t="s">
        <v>13120</v>
      </c>
      <c r="AB2269" t="s">
        <v>16694</v>
      </c>
    </row>
    <row r="2270" spans="1:28" x14ac:dyDescent="0.25">
      <c r="A2270" t="s">
        <v>2274</v>
      </c>
      <c r="B2270">
        <v>0.98018197421672304</v>
      </c>
      <c r="C2270">
        <v>0.87035104409606401</v>
      </c>
      <c r="D2270">
        <v>0.79323542530521196</v>
      </c>
      <c r="E2270">
        <v>0.49595665307551501</v>
      </c>
      <c r="F2270">
        <v>0.194373141862479</v>
      </c>
      <c r="G2270">
        <v>0.112260664972487</v>
      </c>
      <c r="H2270">
        <v>5.6218189001201499E-2</v>
      </c>
      <c r="I2270">
        <v>4.1825765417587202E-2</v>
      </c>
      <c r="J2270">
        <v>3.7293358758555203E-2</v>
      </c>
      <c r="K2270">
        <v>4.4539574502736497E-2</v>
      </c>
      <c r="L2270">
        <v>855.23378012323099</v>
      </c>
      <c r="M2270">
        <v>17.354431479268101</v>
      </c>
      <c r="N2270">
        <v>49.423810474593303</v>
      </c>
      <c r="O2270">
        <v>48.640048314399301</v>
      </c>
      <c r="P2270">
        <v>-8.7013368189742493E-2</v>
      </c>
      <c r="Q2270">
        <v>2.45504034293417E-2</v>
      </c>
      <c r="R2270">
        <v>0.99336837664248301</v>
      </c>
      <c r="S2270" t="s">
        <v>5899</v>
      </c>
      <c r="T2270" t="s">
        <v>7256</v>
      </c>
      <c r="U2270" t="s">
        <v>7256</v>
      </c>
      <c r="V2270" t="s">
        <v>7256</v>
      </c>
      <c r="W2270">
        <v>7</v>
      </c>
      <c r="X2270" t="s">
        <v>9526</v>
      </c>
      <c r="Y2270">
        <v>0.34436127917114151</v>
      </c>
      <c r="Z2270" t="str">
        <f>HYPERLINK("Melting_Curves/meltCurve_sp_Q96JB5_2_CK5P3_HUMAN_.pdf", "Melting_Curves/meltCurve_sp_Q96JB5_2_CK5P3_HUMAN_.pdf")</f>
        <v>Melting_Curves/meltCurve_sp_Q96JB5_2_CK5P3_HUMAN_.pdf</v>
      </c>
      <c r="AA2270" t="s">
        <v>13121</v>
      </c>
      <c r="AB2270" t="s">
        <v>16695</v>
      </c>
    </row>
    <row r="2271" spans="1:28" x14ac:dyDescent="0.25">
      <c r="A2271" t="s">
        <v>2275</v>
      </c>
      <c r="B2271">
        <v>0.98018197421672304</v>
      </c>
      <c r="C2271">
        <v>1.01893442763487</v>
      </c>
      <c r="D2271">
        <v>0.89664313135082996</v>
      </c>
      <c r="E2271">
        <v>0.67863514276039205</v>
      </c>
      <c r="F2271">
        <v>0.328178714209587</v>
      </c>
      <c r="G2271">
        <v>0.16286249198924499</v>
      </c>
      <c r="H2271">
        <v>0.117195901382645</v>
      </c>
      <c r="I2271">
        <v>7.8851800580037101E-2</v>
      </c>
      <c r="J2271">
        <v>9.6780547233100297E-2</v>
      </c>
      <c r="K2271">
        <v>0.102847628494681</v>
      </c>
      <c r="L2271">
        <v>1238.62833661439</v>
      </c>
      <c r="M2271">
        <v>24.295855660547101</v>
      </c>
      <c r="N2271">
        <v>51.409888093588599</v>
      </c>
      <c r="O2271">
        <v>50.639446842798698</v>
      </c>
      <c r="P2271">
        <v>-0.108945177067823</v>
      </c>
      <c r="Q2271">
        <v>9.1723327544860206E-2</v>
      </c>
      <c r="R2271">
        <v>0.99675874443326695</v>
      </c>
      <c r="S2271" t="s">
        <v>5900</v>
      </c>
      <c r="T2271" t="s">
        <v>7256</v>
      </c>
      <c r="U2271" t="s">
        <v>7256</v>
      </c>
      <c r="V2271" t="s">
        <v>7256</v>
      </c>
      <c r="W2271">
        <v>3</v>
      </c>
      <c r="X2271" t="s">
        <v>9527</v>
      </c>
      <c r="Y2271">
        <v>0.43286164809923122</v>
      </c>
      <c r="Z2271" t="str">
        <f>HYPERLINK("Melting_Curves/meltCurve_sp_Q96JE7_SC16B_HUMAN_.pdf", "Melting_Curves/meltCurve_sp_Q96JE7_SC16B_HUMAN_.pdf")</f>
        <v>Melting_Curves/meltCurve_sp_Q96JE7_SC16B_HUMAN_.pdf</v>
      </c>
      <c r="AA2271" t="s">
        <v>13122</v>
      </c>
      <c r="AB2271" t="s">
        <v>16696</v>
      </c>
    </row>
    <row r="2272" spans="1:28" x14ac:dyDescent="0.25">
      <c r="A2272" t="s">
        <v>2276</v>
      </c>
      <c r="B2272">
        <v>0.98018197421672304</v>
      </c>
      <c r="C2272">
        <v>1.0039050539491201</v>
      </c>
      <c r="D2272">
        <v>0.85437943716740905</v>
      </c>
      <c r="E2272">
        <v>0.75928916828424997</v>
      </c>
      <c r="F2272">
        <v>0.36627127596124698</v>
      </c>
      <c r="G2272">
        <v>0.29522117264435799</v>
      </c>
      <c r="H2272">
        <v>0.101686373170082</v>
      </c>
      <c r="I2272">
        <v>5.9930548273872598E-2</v>
      </c>
      <c r="J2272">
        <v>6.7659798735635795E-2</v>
      </c>
      <c r="K2272">
        <v>1.9514013437463701E-2</v>
      </c>
      <c r="L2272">
        <v>827.03005589498798</v>
      </c>
      <c r="M2272">
        <v>15.8061438614863</v>
      </c>
      <c r="N2272">
        <v>52.455049477065799</v>
      </c>
      <c r="O2272">
        <v>51.507288178047503</v>
      </c>
      <c r="P2272">
        <v>-7.5231735846573194E-2</v>
      </c>
      <c r="Q2272">
        <v>1.9453713423500999E-2</v>
      </c>
      <c r="R2272">
        <v>0.984271035833581</v>
      </c>
      <c r="S2272" t="s">
        <v>5901</v>
      </c>
      <c r="T2272" t="s">
        <v>7256</v>
      </c>
      <c r="U2272" t="s">
        <v>7256</v>
      </c>
      <c r="V2272" t="s">
        <v>7256</v>
      </c>
      <c r="W2272">
        <v>2</v>
      </c>
      <c r="X2272" t="s">
        <v>9528</v>
      </c>
      <c r="Y2272">
        <v>0.44225843669715259</v>
      </c>
      <c r="Z2272" t="str">
        <f>HYPERLINK("Melting_Curves/meltCurve_sp_Q96JG6_3_CC132_HUMAN_.pdf", "Melting_Curves/meltCurve_sp_Q96JG6_3_CC132_HUMAN_.pdf")</f>
        <v>Melting_Curves/meltCurve_sp_Q96JG6_3_CC132_HUMAN_.pdf</v>
      </c>
      <c r="AA2272" t="s">
        <v>13123</v>
      </c>
      <c r="AB2272" t="s">
        <v>16697</v>
      </c>
    </row>
    <row r="2273" spans="1:28" x14ac:dyDescent="0.25">
      <c r="A2273" t="s">
        <v>2277</v>
      </c>
      <c r="B2273">
        <v>0.98018197421672304</v>
      </c>
      <c r="C2273">
        <v>0.97629088617973403</v>
      </c>
      <c r="D2273">
        <v>1.0213874461253101</v>
      </c>
      <c r="E2273">
        <v>0.79813537746718</v>
      </c>
      <c r="F2273">
        <v>0.90108198215690105</v>
      </c>
      <c r="G2273">
        <v>0.55900030055209105</v>
      </c>
      <c r="H2273">
        <v>0.46177080520192099</v>
      </c>
      <c r="I2273">
        <v>0.543827673556602</v>
      </c>
      <c r="J2273">
        <v>0.60048213152227803</v>
      </c>
      <c r="K2273">
        <v>0.96143615462360099</v>
      </c>
      <c r="L2273">
        <v>1354.98832450334</v>
      </c>
      <c r="M2273">
        <v>26.110761332019301</v>
      </c>
      <c r="O2273">
        <v>51.592344005082197</v>
      </c>
      <c r="P2273">
        <v>-4.6704827083363001E-2</v>
      </c>
      <c r="Q2273">
        <v>0.63086725365385599</v>
      </c>
      <c r="R2273">
        <v>0.54935281802420799</v>
      </c>
      <c r="S2273" t="s">
        <v>5902</v>
      </c>
      <c r="T2273" t="s">
        <v>7256</v>
      </c>
      <c r="U2273" t="s">
        <v>7256</v>
      </c>
      <c r="V2273" t="s">
        <v>7256</v>
      </c>
      <c r="W2273">
        <v>1</v>
      </c>
      <c r="X2273" t="s">
        <v>9529</v>
      </c>
      <c r="Y2273">
        <v>0.78030871489644515</v>
      </c>
      <c r="Z2273" t="str">
        <f>HYPERLINK("Melting_Curves/meltCurve_sp_Q96JH7_VCIP1_HUMAN_.pdf", "Melting_Curves/meltCurve_sp_Q96JH7_VCIP1_HUMAN_.pdf")</f>
        <v>Melting_Curves/meltCurve_sp_Q96JH7_VCIP1_HUMAN_.pdf</v>
      </c>
      <c r="AA2273" t="s">
        <v>13124</v>
      </c>
      <c r="AB2273" t="s">
        <v>16698</v>
      </c>
    </row>
    <row r="2274" spans="1:28" x14ac:dyDescent="0.25">
      <c r="A2274" t="s">
        <v>2278</v>
      </c>
      <c r="B2274">
        <v>0.98018197421672304</v>
      </c>
      <c r="C2274">
        <v>0.93610410435144098</v>
      </c>
      <c r="D2274">
        <v>0.89750892513019898</v>
      </c>
      <c r="E2274">
        <v>0.78715425232125302</v>
      </c>
      <c r="F2274">
        <v>0.61623458176110002</v>
      </c>
      <c r="G2274">
        <v>0.37453837427360398</v>
      </c>
      <c r="H2274">
        <v>0.24568929477711099</v>
      </c>
      <c r="I2274">
        <v>0.14391322534158599</v>
      </c>
      <c r="J2274">
        <v>0.12312361327792599</v>
      </c>
      <c r="K2274">
        <v>0.120175282291015</v>
      </c>
      <c r="L2274">
        <v>700.96400863691304</v>
      </c>
      <c r="M2274">
        <v>12.8862764669261</v>
      </c>
      <c r="N2274">
        <v>54.830248113334001</v>
      </c>
      <c r="O2274">
        <v>53.136143722757403</v>
      </c>
      <c r="P2274">
        <v>-5.7699014552001798E-2</v>
      </c>
      <c r="Q2274">
        <v>4.8493893523030497E-2</v>
      </c>
      <c r="R2274">
        <v>0.99697409945374005</v>
      </c>
      <c r="S2274" t="s">
        <v>5903</v>
      </c>
      <c r="T2274" t="s">
        <v>7256</v>
      </c>
      <c r="U2274" t="s">
        <v>7256</v>
      </c>
      <c r="V2274" t="s">
        <v>7256</v>
      </c>
      <c r="W2274">
        <v>14</v>
      </c>
      <c r="X2274" t="s">
        <v>9530</v>
      </c>
      <c r="Y2274">
        <v>0.52751311785125377</v>
      </c>
      <c r="Z2274" t="str">
        <f>HYPERLINK("Melting_Curves/meltCurve_sp_Q96JQ2_CLMN_HUMAN_.pdf", "Melting_Curves/meltCurve_sp_Q96JQ2_CLMN_HUMAN_.pdf")</f>
        <v>Melting_Curves/meltCurve_sp_Q96JQ2_CLMN_HUMAN_.pdf</v>
      </c>
      <c r="AA2274" t="s">
        <v>13125</v>
      </c>
      <c r="AB2274" t="s">
        <v>16699</v>
      </c>
    </row>
    <row r="2275" spans="1:28" x14ac:dyDescent="0.25">
      <c r="A2275" t="s">
        <v>2279</v>
      </c>
      <c r="B2275">
        <v>0.98018197421672304</v>
      </c>
      <c r="C2275">
        <v>1.103887581235</v>
      </c>
      <c r="D2275">
        <v>1.0493505614241601</v>
      </c>
      <c r="E2275">
        <v>0.94517919141783302</v>
      </c>
      <c r="F2275">
        <v>0.82492672655817201</v>
      </c>
      <c r="G2275">
        <v>0.57785225961597597</v>
      </c>
      <c r="H2275">
        <v>0.65833733900679803</v>
      </c>
      <c r="I2275">
        <v>0.69832700188341101</v>
      </c>
      <c r="J2275">
        <v>0.99515744633842096</v>
      </c>
      <c r="K2275">
        <v>1.05559732217577</v>
      </c>
      <c r="L2275">
        <v>3135.9623969702102</v>
      </c>
      <c r="M2275">
        <v>61.6663972865095</v>
      </c>
      <c r="O2275">
        <v>50.800274413930502</v>
      </c>
      <c r="P2275">
        <v>-6.1025576171232297E-2</v>
      </c>
      <c r="Q2275">
        <v>0.79891061265902696</v>
      </c>
      <c r="R2275">
        <v>0.37021443486616701</v>
      </c>
      <c r="S2275" t="s">
        <v>5904</v>
      </c>
      <c r="T2275" t="s">
        <v>7256</v>
      </c>
      <c r="U2275" t="s">
        <v>7256</v>
      </c>
      <c r="V2275" t="s">
        <v>7256</v>
      </c>
      <c r="W2275">
        <v>16</v>
      </c>
      <c r="X2275" t="s">
        <v>9531</v>
      </c>
      <c r="Y2275">
        <v>0.87195849492090016</v>
      </c>
      <c r="Z2275" t="str">
        <f>HYPERLINK("Melting_Curves/meltCurve_sp_Q96JY6_PDLI2_HUMAN_.pdf", "Melting_Curves/meltCurve_sp_Q96JY6_PDLI2_HUMAN_.pdf")</f>
        <v>Melting_Curves/meltCurve_sp_Q96JY6_PDLI2_HUMAN_.pdf</v>
      </c>
      <c r="AA2275" t="s">
        <v>13126</v>
      </c>
      <c r="AB2275" t="s">
        <v>16700</v>
      </c>
    </row>
    <row r="2276" spans="1:28" x14ac:dyDescent="0.25">
      <c r="A2276" t="s">
        <v>2280</v>
      </c>
      <c r="B2276">
        <v>0.98018197421672304</v>
      </c>
      <c r="C2276">
        <v>0.92232055710378702</v>
      </c>
      <c r="D2276">
        <v>0.84929759044733699</v>
      </c>
      <c r="E2276">
        <v>0.84275275819927797</v>
      </c>
      <c r="F2276">
        <v>0.83364799179437699</v>
      </c>
      <c r="G2276">
        <v>0.66686889050034703</v>
      </c>
      <c r="H2276">
        <v>0.494669755183265</v>
      </c>
      <c r="I2276">
        <v>0.60688343188692595</v>
      </c>
      <c r="J2276">
        <v>0.59885169600433297</v>
      </c>
      <c r="K2276">
        <v>0.76021806975791395</v>
      </c>
      <c r="L2276">
        <v>569.11058030130505</v>
      </c>
      <c r="M2276">
        <v>11.3231671539905</v>
      </c>
      <c r="O2276">
        <v>48.769641392488502</v>
      </c>
      <c r="P2276">
        <v>-2.3165312952682902E-2</v>
      </c>
      <c r="Q2276">
        <v>0.60102216174598599</v>
      </c>
      <c r="R2276">
        <v>0.73883545641716197</v>
      </c>
      <c r="S2276" t="s">
        <v>5905</v>
      </c>
      <c r="T2276" t="s">
        <v>7256</v>
      </c>
      <c r="U2276" t="s">
        <v>7256</v>
      </c>
      <c r="V2276" t="s">
        <v>7256</v>
      </c>
      <c r="W2276">
        <v>2</v>
      </c>
      <c r="X2276" t="s">
        <v>9532</v>
      </c>
      <c r="Y2276">
        <v>0.75231887134326547</v>
      </c>
      <c r="Z2276" t="str">
        <f>HYPERLINK("Melting_Curves/meltCurve_sp_Q96KC8_DNJC1_HUMAN_.pdf", "Melting_Curves/meltCurve_sp_Q96KC8_DNJC1_HUMAN_.pdf")</f>
        <v>Melting_Curves/meltCurve_sp_Q96KC8_DNJC1_HUMAN_.pdf</v>
      </c>
      <c r="AA2276" t="s">
        <v>13127</v>
      </c>
      <c r="AB2276" t="s">
        <v>16701</v>
      </c>
    </row>
    <row r="2277" spans="1:28" x14ac:dyDescent="0.25">
      <c r="A2277" t="s">
        <v>2281</v>
      </c>
      <c r="B2277">
        <v>0.98018197421672304</v>
      </c>
      <c r="C2277">
        <v>1.04952595322924</v>
      </c>
      <c r="D2277">
        <v>0.955719705075319</v>
      </c>
      <c r="E2277">
        <v>0.81394950454792103</v>
      </c>
      <c r="F2277">
        <v>0.52608809617484997</v>
      </c>
      <c r="G2277">
        <v>0.16100566858090001</v>
      </c>
      <c r="H2277">
        <v>8.2143096187480794E-2</v>
      </c>
      <c r="I2277">
        <v>7.1268518744343104E-2</v>
      </c>
      <c r="J2277">
        <v>7.7642537630176506E-2</v>
      </c>
      <c r="K2277">
        <v>6.3010392430699003E-2</v>
      </c>
      <c r="L2277">
        <v>1386.56449225711</v>
      </c>
      <c r="M2277">
        <v>26.253497533688101</v>
      </c>
      <c r="N2277">
        <v>53.075954379670499</v>
      </c>
      <c r="O2277">
        <v>52.5108780757486</v>
      </c>
      <c r="P2277">
        <v>-0.117409675121865</v>
      </c>
      <c r="Q2277">
        <v>6.0663256719029598E-2</v>
      </c>
      <c r="R2277">
        <v>0.99719324050084002</v>
      </c>
      <c r="S2277" t="s">
        <v>5906</v>
      </c>
      <c r="T2277" t="s">
        <v>7256</v>
      </c>
      <c r="U2277" t="s">
        <v>7256</v>
      </c>
      <c r="V2277" t="s">
        <v>7256</v>
      </c>
      <c r="W2277">
        <v>12</v>
      </c>
      <c r="X2277" t="s">
        <v>9533</v>
      </c>
      <c r="Y2277">
        <v>0.46977019114812862</v>
      </c>
      <c r="Z2277" t="str">
        <f>HYPERLINK("Melting_Curves/meltCurve_sp_Q96KG9_3_NTKL_HUMAN_.pdf", "Melting_Curves/meltCurve_sp_Q96KG9_3_NTKL_HUMAN_.pdf")</f>
        <v>Melting_Curves/meltCurve_sp_Q96KG9_3_NTKL_HUMAN_.pdf</v>
      </c>
      <c r="AA2277" t="s">
        <v>13128</v>
      </c>
      <c r="AB2277" t="s">
        <v>16702</v>
      </c>
    </row>
    <row r="2278" spans="1:28" x14ac:dyDescent="0.25">
      <c r="A2278" t="s">
        <v>2282</v>
      </c>
      <c r="B2278">
        <v>0.98018197421672304</v>
      </c>
      <c r="C2278">
        <v>0.91945651787037497</v>
      </c>
      <c r="D2278">
        <v>0.76677160566763902</v>
      </c>
      <c r="E2278">
        <v>0.29967318824994599</v>
      </c>
      <c r="F2278">
        <v>6.9540280827697795E-2</v>
      </c>
      <c r="G2278">
        <v>3.4435505808349302E-2</v>
      </c>
      <c r="H2278">
        <v>2.9640637113497001E-2</v>
      </c>
      <c r="I2278">
        <v>2.2027799429960099E-2</v>
      </c>
      <c r="J2278">
        <v>2.2611707125808699E-2</v>
      </c>
      <c r="K2278">
        <v>1.6889628168945198E-2</v>
      </c>
      <c r="L2278">
        <v>1203.65675711517</v>
      </c>
      <c r="M2278">
        <v>25.0435684105814</v>
      </c>
      <c r="N2278">
        <v>48.123795961020498</v>
      </c>
      <c r="O2278">
        <v>47.759203474493603</v>
      </c>
      <c r="P2278">
        <v>-0.129037522555182</v>
      </c>
      <c r="Q2278">
        <v>1.56919787928162E-2</v>
      </c>
      <c r="R2278">
        <v>0.99808029509170504</v>
      </c>
      <c r="S2278" t="s">
        <v>5907</v>
      </c>
      <c r="T2278" t="s">
        <v>7256</v>
      </c>
      <c r="U2278" t="s">
        <v>7256</v>
      </c>
      <c r="V2278" t="s">
        <v>7256</v>
      </c>
      <c r="W2278">
        <v>5</v>
      </c>
      <c r="X2278" t="s">
        <v>9534</v>
      </c>
      <c r="Y2278">
        <v>0.28889189603170551</v>
      </c>
      <c r="Z2278" t="str">
        <f>HYPERLINK("Melting_Curves/meltCurve_sp_Q96KP1_EXOC2_HUMAN_.pdf", "Melting_Curves/meltCurve_sp_Q96KP1_EXOC2_HUMAN_.pdf")</f>
        <v>Melting_Curves/meltCurve_sp_Q96KP1_EXOC2_HUMAN_.pdf</v>
      </c>
      <c r="AA2278" t="s">
        <v>13129</v>
      </c>
      <c r="AB2278" t="s">
        <v>16703</v>
      </c>
    </row>
    <row r="2279" spans="1:28" x14ac:dyDescent="0.25">
      <c r="A2279" t="s">
        <v>2283</v>
      </c>
      <c r="B2279">
        <v>0.98018197421672304</v>
      </c>
      <c r="C2279">
        <v>0.77505262709262601</v>
      </c>
      <c r="D2279">
        <v>0.99285135960485005</v>
      </c>
      <c r="E2279">
        <v>0.80649339334597703</v>
      </c>
      <c r="F2279">
        <v>0.55162763893814004</v>
      </c>
      <c r="G2279">
        <v>0.17194868110615799</v>
      </c>
      <c r="H2279">
        <v>7.5725844067182399E-2</v>
      </c>
      <c r="I2279">
        <v>4.7701358278251699E-2</v>
      </c>
      <c r="J2279">
        <v>4.16334164387848E-2</v>
      </c>
      <c r="K2279">
        <v>3.8896686365336802E-2</v>
      </c>
      <c r="L2279">
        <v>1231.89285746818</v>
      </c>
      <c r="M2279">
        <v>23.178472573863399</v>
      </c>
      <c r="N2279">
        <v>53.283758341434201</v>
      </c>
      <c r="O2279">
        <v>52.757276503255</v>
      </c>
      <c r="P2279">
        <v>-0.10669140722567499</v>
      </c>
      <c r="Q2279">
        <v>2.8642483040110599E-2</v>
      </c>
      <c r="R2279">
        <v>0.96683845373277499</v>
      </c>
      <c r="S2279" t="s">
        <v>5908</v>
      </c>
      <c r="T2279" t="s">
        <v>7256</v>
      </c>
      <c r="U2279" t="s">
        <v>7256</v>
      </c>
      <c r="V2279" t="s">
        <v>7256</v>
      </c>
      <c r="W2279">
        <v>22</v>
      </c>
      <c r="X2279" t="s">
        <v>9535</v>
      </c>
      <c r="Y2279">
        <v>0.46465436977807789</v>
      </c>
      <c r="Z2279" t="str">
        <f>HYPERLINK("Melting_Curves/meltCurve_sp_Q96KP4_CNDP2_HUMAN_.pdf", "Melting_Curves/meltCurve_sp_Q96KP4_CNDP2_HUMAN_.pdf")</f>
        <v>Melting_Curves/meltCurve_sp_Q96KP4_CNDP2_HUMAN_.pdf</v>
      </c>
      <c r="AA2279" t="s">
        <v>13130</v>
      </c>
      <c r="AB2279" t="s">
        <v>16704</v>
      </c>
    </row>
    <row r="2280" spans="1:28" x14ac:dyDescent="0.25">
      <c r="A2280" t="s">
        <v>2284</v>
      </c>
      <c r="B2280">
        <v>0.98018197421672304</v>
      </c>
      <c r="C2280">
        <v>1.60816836754194</v>
      </c>
      <c r="D2280">
        <v>1.27014500300073</v>
      </c>
      <c r="E2280">
        <v>1.10406342478839</v>
      </c>
      <c r="F2280">
        <v>0.84819524152034698</v>
      </c>
      <c r="G2280">
        <v>0.58703020865491695</v>
      </c>
      <c r="H2280">
        <v>0.75316360743791</v>
      </c>
      <c r="I2280">
        <v>0.86724274963019699</v>
      </c>
      <c r="J2280">
        <v>0.86157708649578302</v>
      </c>
      <c r="K2280">
        <v>1.28549898055961</v>
      </c>
      <c r="L2280">
        <v>5288.9470907786699</v>
      </c>
      <c r="M2280">
        <v>102.060229861615</v>
      </c>
      <c r="O2280">
        <v>51.801939488478602</v>
      </c>
      <c r="P2280">
        <v>-6.6031633253913299E-2</v>
      </c>
      <c r="Q2280">
        <v>0.86593931095967303</v>
      </c>
      <c r="R2280">
        <v>0.12367161318073</v>
      </c>
      <c r="S2280" t="s">
        <v>5909</v>
      </c>
      <c r="T2280" t="s">
        <v>7256</v>
      </c>
      <c r="U2280" t="s">
        <v>7256</v>
      </c>
      <c r="V2280" t="s">
        <v>7256</v>
      </c>
      <c r="W2280">
        <v>5</v>
      </c>
      <c r="X2280" t="s">
        <v>9536</v>
      </c>
      <c r="Y2280">
        <v>0.91884060339012619</v>
      </c>
      <c r="Z2280" t="str">
        <f>HYPERLINK("Melting_Curves/meltCurve_sp_Q96KR1_ZFR_HUMAN_.pdf", "Melting_Curves/meltCurve_sp_Q96KR1_ZFR_HUMAN_.pdf")</f>
        <v>Melting_Curves/meltCurve_sp_Q96KR1_ZFR_HUMAN_.pdf</v>
      </c>
      <c r="AA2280" t="s">
        <v>13131</v>
      </c>
      <c r="AB2280" t="s">
        <v>16705</v>
      </c>
    </row>
    <row r="2281" spans="1:28" x14ac:dyDescent="0.25">
      <c r="A2281" t="s">
        <v>2285</v>
      </c>
      <c r="B2281">
        <v>0.98018197421672304</v>
      </c>
      <c r="C2281">
        <v>0.92029277242213303</v>
      </c>
      <c r="D2281">
        <v>0.85822226414789204</v>
      </c>
      <c r="E2281">
        <v>0.37747308258884699</v>
      </c>
      <c r="F2281">
        <v>0.120062364098577</v>
      </c>
      <c r="G2281">
        <v>7.6642895674146297E-2</v>
      </c>
      <c r="H2281">
        <v>4.9010553950768601E-2</v>
      </c>
      <c r="I2281">
        <v>3.5304624422091001E-2</v>
      </c>
      <c r="J2281">
        <v>3.54454988196337E-2</v>
      </c>
      <c r="K2281">
        <v>3.6023681713571898E-2</v>
      </c>
      <c r="L2281">
        <v>1308.41024864166</v>
      </c>
      <c r="M2281">
        <v>26.798371599674901</v>
      </c>
      <c r="N2281">
        <v>48.968311667418497</v>
      </c>
      <c r="O2281">
        <v>48.554803487608602</v>
      </c>
      <c r="P2281">
        <v>-0.13275098900773599</v>
      </c>
      <c r="Q2281">
        <v>3.7906946676585E-2</v>
      </c>
      <c r="R2281">
        <v>0.99692381704996202</v>
      </c>
      <c r="S2281" t="s">
        <v>5910</v>
      </c>
      <c r="T2281" t="s">
        <v>7256</v>
      </c>
      <c r="U2281" t="s">
        <v>7256</v>
      </c>
      <c r="V2281" t="s">
        <v>7256</v>
      </c>
      <c r="W2281">
        <v>6</v>
      </c>
      <c r="X2281" t="s">
        <v>9537</v>
      </c>
      <c r="Y2281">
        <v>0.32827503010796072</v>
      </c>
      <c r="Z2281" t="str">
        <f>HYPERLINK("Melting_Curves/meltCurve_sp_Q96L92_SNX27_HUMAN_.pdf", "Melting_Curves/meltCurve_sp_Q96L92_SNX27_HUMAN_.pdf")</f>
        <v>Melting_Curves/meltCurve_sp_Q96L92_SNX27_HUMAN_.pdf</v>
      </c>
      <c r="AA2281" t="s">
        <v>13132</v>
      </c>
      <c r="AB2281" t="s">
        <v>16706</v>
      </c>
    </row>
    <row r="2282" spans="1:28" x14ac:dyDescent="0.25">
      <c r="A2282" t="s">
        <v>2286</v>
      </c>
      <c r="B2282">
        <v>0.98018197421672304</v>
      </c>
      <c r="C2282">
        <v>0.94522436931518194</v>
      </c>
      <c r="D2282">
        <v>0.94391665508491496</v>
      </c>
      <c r="E2282">
        <v>0.63352343726010096</v>
      </c>
      <c r="F2282">
        <v>0.55911510514838303</v>
      </c>
      <c r="G2282">
        <v>0.146458100421517</v>
      </c>
      <c r="H2282">
        <v>6.0796280214612898E-2</v>
      </c>
      <c r="I2282">
        <v>5.4929756654871702E-2</v>
      </c>
      <c r="J2282">
        <v>0</v>
      </c>
      <c r="K2282">
        <v>0</v>
      </c>
      <c r="L2282">
        <v>918.96339388012495</v>
      </c>
      <c r="M2282">
        <v>17.5007129409918</v>
      </c>
      <c r="N2282">
        <v>52.510054889023799</v>
      </c>
      <c r="O2282">
        <v>51.838833718976502</v>
      </c>
      <c r="P2282">
        <v>-8.4404289009710504E-2</v>
      </c>
      <c r="Q2282">
        <v>0</v>
      </c>
      <c r="R2282">
        <v>0.98677248183450506</v>
      </c>
      <c r="S2282" t="s">
        <v>5911</v>
      </c>
      <c r="T2282" t="s">
        <v>7256</v>
      </c>
      <c r="U2282" t="s">
        <v>7256</v>
      </c>
      <c r="V2282" t="s">
        <v>7256</v>
      </c>
      <c r="W2282">
        <v>1</v>
      </c>
      <c r="X2282" t="s">
        <v>9538</v>
      </c>
      <c r="Y2282">
        <v>0.4342965275684485</v>
      </c>
      <c r="Z2282" t="str">
        <f>HYPERLINK("Melting_Curves/meltCurve_sp_Q96LD8_SENP8_HUMAN_.pdf", "Melting_Curves/meltCurve_sp_Q96LD8_SENP8_HUMAN_.pdf")</f>
        <v>Melting_Curves/meltCurve_sp_Q96LD8_SENP8_HUMAN_.pdf</v>
      </c>
      <c r="AA2282" t="s">
        <v>13133</v>
      </c>
      <c r="AB2282" t="s">
        <v>16707</v>
      </c>
    </row>
    <row r="2283" spans="1:28" x14ac:dyDescent="0.25">
      <c r="A2283" t="s">
        <v>2287</v>
      </c>
      <c r="B2283">
        <v>0.98018197421672304</v>
      </c>
      <c r="C2283">
        <v>0.98641615326713705</v>
      </c>
      <c r="D2283">
        <v>0.64832346594913404</v>
      </c>
      <c r="E2283">
        <v>0.260665946540872</v>
      </c>
      <c r="F2283">
        <v>0.122190875846342</v>
      </c>
      <c r="G2283">
        <v>8.7470406813165494E-2</v>
      </c>
      <c r="H2283">
        <v>5.68096806358451E-2</v>
      </c>
      <c r="I2283">
        <v>4.19186362582913E-2</v>
      </c>
      <c r="J2283">
        <v>3.6879065721338603E-2</v>
      </c>
      <c r="K2283">
        <v>3.3234575058928101E-2</v>
      </c>
      <c r="L2283">
        <v>1150.13835339054</v>
      </c>
      <c r="M2283">
        <v>24.326505391679198</v>
      </c>
      <c r="N2283">
        <v>47.4812836342157</v>
      </c>
      <c r="O2283">
        <v>46.963206823059899</v>
      </c>
      <c r="P2283">
        <v>-0.123131580971003</v>
      </c>
      <c r="Q2283">
        <v>4.9174199970005501E-2</v>
      </c>
      <c r="R2283">
        <v>0.99576314332141402</v>
      </c>
      <c r="S2283" t="s">
        <v>5912</v>
      </c>
      <c r="T2283" t="s">
        <v>7256</v>
      </c>
      <c r="U2283" t="s">
        <v>7256</v>
      </c>
      <c r="V2283" t="s">
        <v>7256</v>
      </c>
      <c r="W2283">
        <v>5</v>
      </c>
      <c r="X2283" t="s">
        <v>9539</v>
      </c>
      <c r="Y2283">
        <v>0.28885253974158309</v>
      </c>
      <c r="Z2283" t="str">
        <f>HYPERLINK("Melting_Curves/meltCurve_sp_Q96LJ7_DHRS1_HUMAN_.pdf", "Melting_Curves/meltCurve_sp_Q96LJ7_DHRS1_HUMAN_.pdf")</f>
        <v>Melting_Curves/meltCurve_sp_Q96LJ7_DHRS1_HUMAN_.pdf</v>
      </c>
      <c r="AA2283" t="s">
        <v>13134</v>
      </c>
      <c r="AB2283" t="s">
        <v>16708</v>
      </c>
    </row>
    <row r="2284" spans="1:28" x14ac:dyDescent="0.25">
      <c r="A2284" t="s">
        <v>2288</v>
      </c>
      <c r="B2284">
        <v>0.98018197421672304</v>
      </c>
      <c r="C2284">
        <v>0.87776427949755298</v>
      </c>
      <c r="D2284">
        <v>0.79494725671417499</v>
      </c>
      <c r="E2284">
        <v>0.69968522392934496</v>
      </c>
      <c r="F2284">
        <v>0.47540386949837699</v>
      </c>
      <c r="G2284">
        <v>0.13975687360813999</v>
      </c>
      <c r="H2284">
        <v>0.131642892013493</v>
      </c>
      <c r="I2284">
        <v>0.130627942321694</v>
      </c>
      <c r="J2284">
        <v>0.12385024095662001</v>
      </c>
      <c r="K2284">
        <v>0.17671821930657799</v>
      </c>
      <c r="L2284">
        <v>780.34614330385398</v>
      </c>
      <c r="M2284">
        <v>15.2557196302692</v>
      </c>
      <c r="N2284">
        <v>51.845481721035902</v>
      </c>
      <c r="O2284">
        <v>50.296311709939502</v>
      </c>
      <c r="P2284">
        <v>-6.8828613982561002E-2</v>
      </c>
      <c r="Q2284">
        <v>9.2406464819801304E-2</v>
      </c>
      <c r="R2284">
        <v>0.96809005938022097</v>
      </c>
      <c r="S2284" t="s">
        <v>5913</v>
      </c>
      <c r="T2284" t="s">
        <v>7256</v>
      </c>
      <c r="U2284" t="s">
        <v>7256</v>
      </c>
      <c r="V2284" t="s">
        <v>7256</v>
      </c>
      <c r="W2284">
        <v>1</v>
      </c>
      <c r="X2284" t="s">
        <v>9540</v>
      </c>
      <c r="Y2284">
        <v>0.45005853013224217</v>
      </c>
      <c r="Z2284" t="str">
        <f>HYPERLINK("Melting_Curves/meltCurve_sp_Q96M20_2_CNBD2_HUMAN_.pdf", "Melting_Curves/meltCurve_sp_Q96M20_2_CNBD2_HUMAN_.pdf")</f>
        <v>Melting_Curves/meltCurve_sp_Q96M20_2_CNBD2_HUMAN_.pdf</v>
      </c>
      <c r="AA2284" t="s">
        <v>13135</v>
      </c>
      <c r="AB2284" t="s">
        <v>16709</v>
      </c>
    </row>
    <row r="2285" spans="1:28" x14ac:dyDescent="0.25">
      <c r="A2285" t="s">
        <v>2289</v>
      </c>
      <c r="B2285">
        <v>0.98018197421672304</v>
      </c>
      <c r="C2285">
        <v>1.00644791434472</v>
      </c>
      <c r="D2285">
        <v>0.929222307100524</v>
      </c>
      <c r="E2285">
        <v>0.80722578363038799</v>
      </c>
      <c r="F2285">
        <v>0.52982885162472204</v>
      </c>
      <c r="G2285">
        <v>0.30448129856516498</v>
      </c>
      <c r="H2285">
        <v>0.37846945109513602</v>
      </c>
      <c r="I2285">
        <v>0.329324261714804</v>
      </c>
      <c r="J2285">
        <v>0.215217389857559</v>
      </c>
      <c r="K2285">
        <v>0.108850550274463</v>
      </c>
      <c r="L2285">
        <v>946.23580494329406</v>
      </c>
      <c r="M2285">
        <v>18.077653068954199</v>
      </c>
      <c r="N2285">
        <v>54.0295981404809</v>
      </c>
      <c r="O2285">
        <v>51.714946965746798</v>
      </c>
      <c r="P2285">
        <v>-6.8549211943407198E-2</v>
      </c>
      <c r="Q2285">
        <v>0.21564001616331099</v>
      </c>
      <c r="R2285">
        <v>0.96256158085028398</v>
      </c>
      <c r="S2285" t="s">
        <v>5914</v>
      </c>
      <c r="T2285" t="s">
        <v>7256</v>
      </c>
      <c r="U2285" t="s">
        <v>7256</v>
      </c>
      <c r="V2285" t="s">
        <v>7256</v>
      </c>
      <c r="W2285">
        <v>3</v>
      </c>
      <c r="X2285" t="s">
        <v>9541</v>
      </c>
      <c r="Y2285">
        <v>0.55124240970784755</v>
      </c>
      <c r="Z2285" t="str">
        <f>HYPERLINK("Melting_Curves/meltCurve_sp_Q96M27_PRRC1_HUMAN_.pdf", "Melting_Curves/meltCurve_sp_Q96M27_PRRC1_HUMAN_.pdf")</f>
        <v>Melting_Curves/meltCurve_sp_Q96M27_PRRC1_HUMAN_.pdf</v>
      </c>
      <c r="AA2285" t="s">
        <v>13136</v>
      </c>
      <c r="AB2285" t="s">
        <v>16710</v>
      </c>
    </row>
    <row r="2286" spans="1:28" x14ac:dyDescent="0.25">
      <c r="A2286" t="s">
        <v>2290</v>
      </c>
      <c r="B2286">
        <v>0.98018197421672304</v>
      </c>
      <c r="C2286">
        <v>0.74819699424466102</v>
      </c>
      <c r="D2286">
        <v>0.795439249127465</v>
      </c>
      <c r="E2286">
        <v>0.75777916893861497</v>
      </c>
      <c r="F2286">
        <v>0.62317675059031796</v>
      </c>
      <c r="G2286">
        <v>0.21900851178696301</v>
      </c>
      <c r="H2286">
        <v>0.100646635487512</v>
      </c>
      <c r="I2286">
        <v>9.3262614905674501E-2</v>
      </c>
      <c r="J2286">
        <v>0.12191867802647301</v>
      </c>
      <c r="K2286">
        <v>0.12333337756125901</v>
      </c>
      <c r="L2286">
        <v>596.59842837963799</v>
      </c>
      <c r="M2286">
        <v>11.2400534408638</v>
      </c>
      <c r="N2286">
        <v>53.077897662492198</v>
      </c>
      <c r="O2286">
        <v>51.481019692812502</v>
      </c>
      <c r="P2286">
        <v>-5.4600427941345099E-2</v>
      </c>
      <c r="Q2286">
        <v>0</v>
      </c>
      <c r="R2286">
        <v>0.92610664376825802</v>
      </c>
      <c r="S2286" t="s">
        <v>5915</v>
      </c>
      <c r="T2286" t="s">
        <v>7256</v>
      </c>
      <c r="U2286" t="s">
        <v>7256</v>
      </c>
      <c r="V2286" t="s">
        <v>7256</v>
      </c>
      <c r="W2286">
        <v>2</v>
      </c>
      <c r="X2286" t="s">
        <v>9542</v>
      </c>
      <c r="Y2286">
        <v>0.46626370138240192</v>
      </c>
      <c r="Z2286" t="str">
        <f>HYPERLINK("Melting_Curves/meltCurve_sp_Q96ME1_4_FXL18_HUMAN_.pdf", "Melting_Curves/meltCurve_sp_Q96ME1_4_FXL18_HUMAN_.pdf")</f>
        <v>Melting_Curves/meltCurve_sp_Q96ME1_4_FXL18_HUMAN_.pdf</v>
      </c>
      <c r="AA2286" t="s">
        <v>13137</v>
      </c>
      <c r="AB2286" t="s">
        <v>16711</v>
      </c>
    </row>
    <row r="2287" spans="1:28" x14ac:dyDescent="0.25">
      <c r="A2287" t="s">
        <v>2291</v>
      </c>
      <c r="B2287">
        <v>0.98018197421672304</v>
      </c>
      <c r="C2287">
        <v>0.96448816565830398</v>
      </c>
      <c r="D2287">
        <v>1.02389615221978</v>
      </c>
      <c r="E2287">
        <v>0.94697162063065798</v>
      </c>
      <c r="F2287">
        <v>0.90357615735241403</v>
      </c>
      <c r="G2287">
        <v>0.69862266830090203</v>
      </c>
      <c r="H2287">
        <v>0.59320385615979898</v>
      </c>
      <c r="I2287">
        <v>0.63055809709448596</v>
      </c>
      <c r="J2287">
        <v>1.1280286189148301</v>
      </c>
      <c r="K2287">
        <v>0.91295826094365595</v>
      </c>
      <c r="L2287">
        <v>5193.6447684032401</v>
      </c>
      <c r="M2287">
        <v>97.872353875345695</v>
      </c>
      <c r="O2287">
        <v>53.043370316435698</v>
      </c>
      <c r="P2287">
        <v>-9.5618682158298093E-2</v>
      </c>
      <c r="Q2287">
        <v>0.79271225337005302</v>
      </c>
      <c r="R2287">
        <v>0.268644716325529</v>
      </c>
      <c r="S2287" t="s">
        <v>5916</v>
      </c>
      <c r="T2287" t="s">
        <v>7256</v>
      </c>
      <c r="U2287" t="s">
        <v>7256</v>
      </c>
      <c r="V2287" t="s">
        <v>7256</v>
      </c>
      <c r="W2287">
        <v>4</v>
      </c>
      <c r="X2287" t="s">
        <v>9543</v>
      </c>
      <c r="Y2287">
        <v>0.88311558806369606</v>
      </c>
      <c r="Z2287" t="str">
        <f>HYPERLINK("Melting_Curves/meltCurve_sp_Q96MH2_HEXI2_HUMAN_.pdf", "Melting_Curves/meltCurve_sp_Q96MH2_HEXI2_HUMAN_.pdf")</f>
        <v>Melting_Curves/meltCurve_sp_Q96MH2_HEXI2_HUMAN_.pdf</v>
      </c>
      <c r="AA2287" t="s">
        <v>13138</v>
      </c>
      <c r="AB2287" t="s">
        <v>16712</v>
      </c>
    </row>
    <row r="2288" spans="1:28" x14ac:dyDescent="0.25">
      <c r="A2288" t="s">
        <v>2292</v>
      </c>
      <c r="B2288">
        <v>0.98018197421672304</v>
      </c>
      <c r="C2288">
        <v>1.01678368461056</v>
      </c>
      <c r="D2288">
        <v>0.92299785407787005</v>
      </c>
      <c r="E2288">
        <v>0.96596467885745696</v>
      </c>
      <c r="F2288">
        <v>1.0406900559846699</v>
      </c>
      <c r="G2288">
        <v>0.901414457708546</v>
      </c>
      <c r="H2288">
        <v>0.77546502881867796</v>
      </c>
      <c r="I2288">
        <v>0.97779640187662997</v>
      </c>
      <c r="J2288">
        <v>0.88317015871552196</v>
      </c>
      <c r="K2288">
        <v>1.34992083275091</v>
      </c>
      <c r="L2288">
        <v>15000</v>
      </c>
      <c r="M2288">
        <v>215.13141862284701</v>
      </c>
      <c r="O2288">
        <v>69.718776271259202</v>
      </c>
      <c r="P2288">
        <v>0.385712725955077</v>
      </c>
      <c r="Q2288">
        <v>1.5</v>
      </c>
      <c r="R2288">
        <v>0.58699569786902195</v>
      </c>
      <c r="S2288" t="s">
        <v>5917</v>
      </c>
      <c r="T2288" t="s">
        <v>7256</v>
      </c>
      <c r="U2288" t="s">
        <v>7256</v>
      </c>
      <c r="V2288" t="s">
        <v>7256</v>
      </c>
      <c r="W2288">
        <v>2</v>
      </c>
      <c r="X2288" t="s">
        <v>9544</v>
      </c>
      <c r="Y2288">
        <v>1.006468291081603</v>
      </c>
      <c r="Z2288" t="str">
        <f>HYPERLINK("Melting_Curves/meltCurve_sp_Q96MU7_2_YTDC1_HUMAN_.pdf", "Melting_Curves/meltCurve_sp_Q96MU7_2_YTDC1_HUMAN_.pdf")</f>
        <v>Melting_Curves/meltCurve_sp_Q96MU7_2_YTDC1_HUMAN_.pdf</v>
      </c>
      <c r="AA2288" t="s">
        <v>13139</v>
      </c>
      <c r="AB2288" t="s">
        <v>16713</v>
      </c>
    </row>
    <row r="2289" spans="1:28" x14ac:dyDescent="0.25">
      <c r="A2289" t="s">
        <v>2293</v>
      </c>
      <c r="B2289">
        <v>0.98018197421672304</v>
      </c>
      <c r="C2289">
        <v>0.99601632295346898</v>
      </c>
      <c r="D2289">
        <v>0.91196828281701103</v>
      </c>
      <c r="E2289">
        <v>0.65445361441690697</v>
      </c>
      <c r="F2289">
        <v>0.599452991671517</v>
      </c>
      <c r="G2289">
        <v>0.28128878243595701</v>
      </c>
      <c r="H2289">
        <v>0.121569006698465</v>
      </c>
      <c r="I2289">
        <v>7.4247678804755399E-2</v>
      </c>
      <c r="J2289">
        <v>0.33745131597632899</v>
      </c>
      <c r="K2289">
        <v>0.19765299715548401</v>
      </c>
      <c r="L2289">
        <v>936.44958059580097</v>
      </c>
      <c r="M2289">
        <v>18.061815183212399</v>
      </c>
      <c r="N2289">
        <v>53.018194604344203</v>
      </c>
      <c r="O2289">
        <v>51.223906250878201</v>
      </c>
      <c r="P2289">
        <v>-7.3653030848185905E-2</v>
      </c>
      <c r="Q2289">
        <v>0.16451092766790301</v>
      </c>
      <c r="R2289">
        <v>0.94597694471439797</v>
      </c>
      <c r="S2289" t="s">
        <v>5918</v>
      </c>
      <c r="T2289" t="s">
        <v>7256</v>
      </c>
      <c r="U2289" t="s">
        <v>7256</v>
      </c>
      <c r="V2289" t="s">
        <v>7256</v>
      </c>
      <c r="W2289">
        <v>1</v>
      </c>
      <c r="X2289" t="s">
        <v>9545</v>
      </c>
      <c r="Y2289">
        <v>0.50829350059820166</v>
      </c>
      <c r="Z2289" t="str">
        <f>HYPERLINK("Melting_Curves/meltCurve_sp_Q96MX6_2_WDR92_HUMAN_.pdf", "Melting_Curves/meltCurve_sp_Q96MX6_2_WDR92_HUMAN_.pdf")</f>
        <v>Melting_Curves/meltCurve_sp_Q96MX6_2_WDR92_HUMAN_.pdf</v>
      </c>
      <c r="AA2289" t="s">
        <v>13140</v>
      </c>
      <c r="AB2289" t="s">
        <v>16714</v>
      </c>
    </row>
    <row r="2290" spans="1:28" x14ac:dyDescent="0.25">
      <c r="A2290" t="s">
        <v>2294</v>
      </c>
      <c r="B2290">
        <v>0.98018197421672304</v>
      </c>
      <c r="C2290">
        <v>0.94440675891593096</v>
      </c>
      <c r="D2290">
        <v>0.91597179768901005</v>
      </c>
      <c r="E2290">
        <v>0.68386271299003898</v>
      </c>
      <c r="F2290">
        <v>0.43779512668287202</v>
      </c>
      <c r="G2290">
        <v>0.307972719834678</v>
      </c>
      <c r="H2290">
        <v>0.17827813246354299</v>
      </c>
      <c r="I2290">
        <v>8.0186428071775895E-2</v>
      </c>
      <c r="J2290">
        <v>5.4365916362709703E-2</v>
      </c>
      <c r="K2290">
        <v>4.2349241710928499E-2</v>
      </c>
      <c r="L2290">
        <v>708.78615636023198</v>
      </c>
      <c r="M2290">
        <v>13.4459302940102</v>
      </c>
      <c r="N2290">
        <v>52.8086145972336</v>
      </c>
      <c r="O2290">
        <v>51.588803039929601</v>
      </c>
      <c r="P2290">
        <v>-6.4392257317973697E-2</v>
      </c>
      <c r="Q2290">
        <v>1.1922961176799401E-2</v>
      </c>
      <c r="R2290">
        <v>0.99521097892236998</v>
      </c>
      <c r="S2290" t="s">
        <v>5919</v>
      </c>
      <c r="T2290" t="s">
        <v>7256</v>
      </c>
      <c r="U2290" t="s">
        <v>7256</v>
      </c>
      <c r="V2290" t="s">
        <v>7256</v>
      </c>
      <c r="W2290">
        <v>26</v>
      </c>
      <c r="X2290" t="s">
        <v>9546</v>
      </c>
      <c r="Y2290">
        <v>0.45564782773335649</v>
      </c>
      <c r="Z2290" t="str">
        <f>HYPERLINK("Melting_Curves/meltCurve_sp_Q96N76_HUTU_HUMAN_.pdf", "Melting_Curves/meltCurve_sp_Q96N76_HUTU_HUMAN_.pdf")</f>
        <v>Melting_Curves/meltCurve_sp_Q96N76_HUTU_HUMAN_.pdf</v>
      </c>
      <c r="AA2290" t="s">
        <v>13141</v>
      </c>
      <c r="AB2290" t="s">
        <v>16715</v>
      </c>
    </row>
    <row r="2291" spans="1:28" x14ac:dyDescent="0.25">
      <c r="A2291" t="s">
        <v>2295</v>
      </c>
      <c r="B2291">
        <v>0.98018197421672304</v>
      </c>
      <c r="C2291">
        <v>0.90844038384841896</v>
      </c>
      <c r="D2291">
        <v>0.81362247313333902</v>
      </c>
      <c r="E2291">
        <v>0.57133583314619496</v>
      </c>
      <c r="F2291">
        <v>0.27167663043228601</v>
      </c>
      <c r="G2291">
        <v>6.9539686042684498E-2</v>
      </c>
      <c r="H2291">
        <v>7.8408148018525595E-2</v>
      </c>
      <c r="I2291">
        <v>8.7347911792633098E-2</v>
      </c>
      <c r="J2291">
        <v>0.110743368203902</v>
      </c>
      <c r="K2291">
        <v>0</v>
      </c>
      <c r="L2291">
        <v>912.33740103889204</v>
      </c>
      <c r="M2291">
        <v>18.254898311418899</v>
      </c>
      <c r="N2291">
        <v>50.207246475392097</v>
      </c>
      <c r="O2291">
        <v>49.389506998262803</v>
      </c>
      <c r="P2291">
        <v>-8.8707003906763393E-2</v>
      </c>
      <c r="Q2291">
        <v>4.0040457824489402E-2</v>
      </c>
      <c r="R2291">
        <v>0.98787225297657499</v>
      </c>
      <c r="S2291" t="s">
        <v>5920</v>
      </c>
      <c r="T2291" t="s">
        <v>7256</v>
      </c>
      <c r="U2291" t="s">
        <v>7256</v>
      </c>
      <c r="V2291" t="s">
        <v>7256</v>
      </c>
      <c r="W2291">
        <v>2</v>
      </c>
      <c r="X2291" t="s">
        <v>9547</v>
      </c>
      <c r="Y2291">
        <v>0.37525534538378502</v>
      </c>
      <c r="Z2291" t="str">
        <f>HYPERLINK("Melting_Curves/meltCurve_sp_Q96NA2_RILP_HUMAN_.pdf", "Melting_Curves/meltCurve_sp_Q96NA2_RILP_HUMAN_.pdf")</f>
        <v>Melting_Curves/meltCurve_sp_Q96NA2_RILP_HUMAN_.pdf</v>
      </c>
      <c r="AA2291" t="s">
        <v>13142</v>
      </c>
      <c r="AB2291" t="s">
        <v>16716</v>
      </c>
    </row>
    <row r="2292" spans="1:28" x14ac:dyDescent="0.25">
      <c r="A2292" t="s">
        <v>2296</v>
      </c>
      <c r="B2292">
        <v>0.98018197421672304</v>
      </c>
      <c r="C2292">
        <v>0.84515797291234396</v>
      </c>
      <c r="D2292">
        <v>0.85295356388708599</v>
      </c>
      <c r="E2292">
        <v>0.74167093596976497</v>
      </c>
      <c r="F2292">
        <v>0.73246847641232404</v>
      </c>
      <c r="G2292">
        <v>0.51299875574438902</v>
      </c>
      <c r="H2292">
        <v>0.38023842594502799</v>
      </c>
      <c r="I2292">
        <v>0.38597989510779501</v>
      </c>
      <c r="J2292">
        <v>0.36681417971292402</v>
      </c>
      <c r="K2292">
        <v>0.383372658772765</v>
      </c>
      <c r="L2292">
        <v>451.066880652517</v>
      </c>
      <c r="M2292">
        <v>8.3803470498985408</v>
      </c>
      <c r="N2292">
        <v>58.4673949051924</v>
      </c>
      <c r="O2292">
        <v>51.021271396478603</v>
      </c>
      <c r="P2292">
        <v>-3.1114558772736702E-2</v>
      </c>
      <c r="Q2292">
        <v>0.242992181049622</v>
      </c>
      <c r="R2292">
        <v>0.95878921020807795</v>
      </c>
      <c r="S2292" t="s">
        <v>5921</v>
      </c>
      <c r="T2292" t="s">
        <v>7256</v>
      </c>
      <c r="U2292" t="s">
        <v>7256</v>
      </c>
      <c r="V2292" t="s">
        <v>7256</v>
      </c>
      <c r="W2292">
        <v>2</v>
      </c>
      <c r="X2292" t="s">
        <v>9548</v>
      </c>
      <c r="Y2292">
        <v>0.61793889679826097</v>
      </c>
      <c r="Z2292" t="str">
        <f>HYPERLINK("Melting_Curves/meltCurve_sp_Q96NC0_ZMAT2_HUMAN_.pdf", "Melting_Curves/meltCurve_sp_Q96NC0_ZMAT2_HUMAN_.pdf")</f>
        <v>Melting_Curves/meltCurve_sp_Q96NC0_ZMAT2_HUMAN_.pdf</v>
      </c>
      <c r="AA2292" t="s">
        <v>13143</v>
      </c>
      <c r="AB2292" t="s">
        <v>16717</v>
      </c>
    </row>
    <row r="2293" spans="1:28" x14ac:dyDescent="0.25">
      <c r="A2293" t="s">
        <v>2297</v>
      </c>
      <c r="B2293">
        <v>0.98018197421672304</v>
      </c>
      <c r="C2293">
        <v>0.88457148623572901</v>
      </c>
      <c r="D2293">
        <v>0.83468342707709697</v>
      </c>
      <c r="E2293">
        <v>0.67325479964403101</v>
      </c>
      <c r="F2293">
        <v>0.51986033078572402</v>
      </c>
      <c r="G2293">
        <v>0.31366228501288401</v>
      </c>
      <c r="H2293">
        <v>0.29034299384657097</v>
      </c>
      <c r="I2293">
        <v>0.28836996354904798</v>
      </c>
      <c r="J2293">
        <v>0.25254487871030601</v>
      </c>
      <c r="K2293">
        <v>0.36103557564776001</v>
      </c>
      <c r="L2293">
        <v>724.849493653168</v>
      </c>
      <c r="M2293">
        <v>14.4663485191828</v>
      </c>
      <c r="N2293">
        <v>52.861064580643799</v>
      </c>
      <c r="O2293">
        <v>49.177635550064501</v>
      </c>
      <c r="P2293">
        <v>-5.4076883199855402E-2</v>
      </c>
      <c r="Q2293">
        <v>0.264758882956594</v>
      </c>
      <c r="R2293">
        <v>0.97535337532898003</v>
      </c>
      <c r="S2293" t="s">
        <v>5922</v>
      </c>
      <c r="T2293" t="s">
        <v>7256</v>
      </c>
      <c r="U2293" t="s">
        <v>7256</v>
      </c>
      <c r="V2293" t="s">
        <v>7256</v>
      </c>
      <c r="W2293">
        <v>2</v>
      </c>
      <c r="X2293" t="s">
        <v>9549</v>
      </c>
      <c r="Y2293">
        <v>0.53104739689021918</v>
      </c>
      <c r="Z2293" t="str">
        <f>HYPERLINK("Melting_Curves/meltCurve_sp_Q96NJ6_ZFP3_HUMAN_.pdf", "Melting_Curves/meltCurve_sp_Q96NJ6_ZFP3_HUMAN_.pdf")</f>
        <v>Melting_Curves/meltCurve_sp_Q96NJ6_ZFP3_HUMAN_.pdf</v>
      </c>
      <c r="AA2293" t="s">
        <v>13144</v>
      </c>
      <c r="AB2293" t="s">
        <v>16718</v>
      </c>
    </row>
    <row r="2294" spans="1:28" x14ac:dyDescent="0.25">
      <c r="A2294" t="s">
        <v>2298</v>
      </c>
      <c r="B2294">
        <v>0.98018197421672304</v>
      </c>
      <c r="C2294">
        <v>0.92377793154487098</v>
      </c>
      <c r="D2294">
        <v>0.93796944445499797</v>
      </c>
      <c r="E2294">
        <v>0.83245274918190504</v>
      </c>
      <c r="F2294">
        <v>0.71424841091305902</v>
      </c>
      <c r="G2294">
        <v>0.289557785812951</v>
      </c>
      <c r="H2294">
        <v>6.6580386007327894E-2</v>
      </c>
      <c r="I2294">
        <v>4.9201138925276201E-2</v>
      </c>
      <c r="J2294">
        <v>4.9366360638143099E-2</v>
      </c>
      <c r="K2294">
        <v>3.9877626591217998E-2</v>
      </c>
      <c r="L2294">
        <v>1186.37147896836</v>
      </c>
      <c r="M2294">
        <v>21.7182009292688</v>
      </c>
      <c r="N2294">
        <v>54.695362637472002</v>
      </c>
      <c r="O2294">
        <v>54.168879013453001</v>
      </c>
      <c r="P2294">
        <v>-9.8868377465481397E-2</v>
      </c>
      <c r="Q2294">
        <v>1.3645128320737099E-2</v>
      </c>
      <c r="R2294">
        <v>0.99057100448436497</v>
      </c>
      <c r="S2294" t="s">
        <v>5923</v>
      </c>
      <c r="T2294" t="s">
        <v>7256</v>
      </c>
      <c r="U2294" t="s">
        <v>7256</v>
      </c>
      <c r="V2294" t="s">
        <v>7256</v>
      </c>
      <c r="W2294">
        <v>20</v>
      </c>
      <c r="X2294" t="s">
        <v>9550</v>
      </c>
      <c r="Y2294">
        <v>0.50613724087311485</v>
      </c>
      <c r="Z2294" t="str">
        <f>HYPERLINK("Melting_Curves/meltCurve_sp_Q96NU7_HUTI_HUMAN_.pdf", "Melting_Curves/meltCurve_sp_Q96NU7_HUTI_HUMAN_.pdf")</f>
        <v>Melting_Curves/meltCurve_sp_Q96NU7_HUTI_HUMAN_.pdf</v>
      </c>
      <c r="AA2294" t="s">
        <v>13145</v>
      </c>
      <c r="AB2294" t="s">
        <v>16719</v>
      </c>
    </row>
    <row r="2295" spans="1:28" x14ac:dyDescent="0.25">
      <c r="A2295" t="s">
        <v>2299</v>
      </c>
      <c r="B2295">
        <v>0.98018197421672304</v>
      </c>
      <c r="C2295">
        <v>1.0804189159023001</v>
      </c>
      <c r="D2295">
        <v>0.77325745486001396</v>
      </c>
      <c r="E2295">
        <v>0.53739796418268104</v>
      </c>
      <c r="F2295">
        <v>0.239306071326923</v>
      </c>
      <c r="G2295">
        <v>0.14150585341164301</v>
      </c>
      <c r="H2295">
        <v>9.6306655360334906E-2</v>
      </c>
      <c r="I2295">
        <v>9.6592850855237306E-2</v>
      </c>
      <c r="J2295">
        <v>9.0447517699841204E-2</v>
      </c>
      <c r="K2295">
        <v>0</v>
      </c>
      <c r="L2295">
        <v>991.68886847259398</v>
      </c>
      <c r="M2295">
        <v>19.957828374823102</v>
      </c>
      <c r="N2295">
        <v>50.0125505259115</v>
      </c>
      <c r="O2295">
        <v>49.198405906145702</v>
      </c>
      <c r="P2295">
        <v>-9.5279941647471E-2</v>
      </c>
      <c r="Q2295">
        <v>6.0525356016174897E-2</v>
      </c>
      <c r="R2295">
        <v>0.98195112504686299</v>
      </c>
      <c r="S2295" t="s">
        <v>5924</v>
      </c>
      <c r="T2295" t="s">
        <v>7256</v>
      </c>
      <c r="U2295" t="s">
        <v>7256</v>
      </c>
      <c r="V2295" t="s">
        <v>7256</v>
      </c>
      <c r="W2295">
        <v>1</v>
      </c>
      <c r="X2295" t="s">
        <v>9551</v>
      </c>
      <c r="Y2295">
        <v>0.37710252392552451</v>
      </c>
      <c r="Z2295" t="str">
        <f>HYPERLINK("Melting_Curves/meltCurve_sp_Q96P16_3_RPR1A_HUMAN_.pdf", "Melting_Curves/meltCurve_sp_Q96P16_3_RPR1A_HUMAN_.pdf")</f>
        <v>Melting_Curves/meltCurve_sp_Q96P16_3_RPR1A_HUMAN_.pdf</v>
      </c>
      <c r="AA2295" t="s">
        <v>13146</v>
      </c>
      <c r="AB2295" t="s">
        <v>16720</v>
      </c>
    </row>
    <row r="2296" spans="1:28" x14ac:dyDescent="0.25">
      <c r="A2296" t="s">
        <v>2300</v>
      </c>
      <c r="B2296">
        <v>0.98018197421672304</v>
      </c>
      <c r="C2296">
        <v>0.93853986552917601</v>
      </c>
      <c r="D2296">
        <v>0.87729234670735501</v>
      </c>
      <c r="E2296">
        <v>0.77878973894651904</v>
      </c>
      <c r="F2296">
        <v>0.64500062964806504</v>
      </c>
      <c r="G2296">
        <v>0.47156421029537199</v>
      </c>
      <c r="H2296">
        <v>0.28982978754133398</v>
      </c>
      <c r="I2296">
        <v>0.18048694755366901</v>
      </c>
      <c r="J2296">
        <v>0.15276709851332301</v>
      </c>
      <c r="K2296">
        <v>9.0536440757040704E-2</v>
      </c>
      <c r="L2296">
        <v>589.29410662887506</v>
      </c>
      <c r="M2296">
        <v>10.552423731047</v>
      </c>
      <c r="N2296">
        <v>55.844423928200698</v>
      </c>
      <c r="O2296">
        <v>53.950794204208002</v>
      </c>
      <c r="P2296">
        <v>-4.8917725879632799E-2</v>
      </c>
      <c r="Q2296">
        <v>0</v>
      </c>
      <c r="R2296">
        <v>0.99730068596494204</v>
      </c>
      <c r="S2296" t="s">
        <v>5925</v>
      </c>
      <c r="T2296" t="s">
        <v>7256</v>
      </c>
      <c r="U2296" t="s">
        <v>7256</v>
      </c>
      <c r="V2296" t="s">
        <v>7256</v>
      </c>
      <c r="W2296">
        <v>15</v>
      </c>
      <c r="X2296" t="s">
        <v>9552</v>
      </c>
      <c r="Y2296">
        <v>0.54988449273434203</v>
      </c>
      <c r="Z2296" t="str">
        <f>HYPERLINK("Melting_Curves/meltCurve_sp_Q96P70_IPO9_HUMAN_.pdf", "Melting_Curves/meltCurve_sp_Q96P70_IPO9_HUMAN_.pdf")</f>
        <v>Melting_Curves/meltCurve_sp_Q96P70_IPO9_HUMAN_.pdf</v>
      </c>
      <c r="AA2296" t="s">
        <v>13147</v>
      </c>
      <c r="AB2296" t="s">
        <v>16721</v>
      </c>
    </row>
    <row r="2297" spans="1:28" x14ac:dyDescent="0.25">
      <c r="A2297" t="s">
        <v>2301</v>
      </c>
      <c r="B2297">
        <v>0.98018197421672304</v>
      </c>
      <c r="C2297">
        <v>0.98445572826213501</v>
      </c>
      <c r="D2297">
        <v>0.98477729338221198</v>
      </c>
      <c r="E2297">
        <v>0.86697746334193004</v>
      </c>
      <c r="F2297">
        <v>0.92972654398829702</v>
      </c>
      <c r="G2297">
        <v>0.84900307591465995</v>
      </c>
      <c r="H2297">
        <v>0.60878416457620399</v>
      </c>
      <c r="I2297">
        <v>0.57664678879197695</v>
      </c>
      <c r="J2297">
        <v>0.525921707348876</v>
      </c>
      <c r="K2297">
        <v>0.35824321286727201</v>
      </c>
      <c r="L2297">
        <v>559.51783715938996</v>
      </c>
      <c r="M2297">
        <v>8.4478530455526997</v>
      </c>
      <c r="N2297">
        <v>66.231955898899798</v>
      </c>
      <c r="O2297">
        <v>62.833021827446899</v>
      </c>
      <c r="P2297">
        <v>-3.36433096329746E-2</v>
      </c>
      <c r="Q2297">
        <v>0</v>
      </c>
      <c r="R2297">
        <v>0.96301958480985905</v>
      </c>
      <c r="S2297" t="s">
        <v>5926</v>
      </c>
      <c r="T2297" t="s">
        <v>7256</v>
      </c>
      <c r="U2297" t="s">
        <v>7256</v>
      </c>
      <c r="V2297" t="s">
        <v>7256</v>
      </c>
      <c r="W2297">
        <v>8</v>
      </c>
      <c r="X2297" t="s">
        <v>9553</v>
      </c>
      <c r="Y2297">
        <v>0.78653405585657554</v>
      </c>
      <c r="Z2297" t="str">
        <f>HYPERLINK("Melting_Curves/meltCurve_sp_Q96PE7_MCEE_HUMAN_.pdf", "Melting_Curves/meltCurve_sp_Q96PE7_MCEE_HUMAN_.pdf")</f>
        <v>Melting_Curves/meltCurve_sp_Q96PE7_MCEE_HUMAN_.pdf</v>
      </c>
      <c r="AA2297" t="s">
        <v>13148</v>
      </c>
      <c r="AB2297" t="s">
        <v>16722</v>
      </c>
    </row>
    <row r="2298" spans="1:28" x14ac:dyDescent="0.25">
      <c r="A2298" t="s">
        <v>2302</v>
      </c>
      <c r="B2298">
        <v>0.98018197421672304</v>
      </c>
      <c r="C2298">
        <v>0.87724540046206301</v>
      </c>
      <c r="D2298">
        <v>0.84515641645434203</v>
      </c>
      <c r="E2298">
        <v>0.69983497634271097</v>
      </c>
      <c r="F2298">
        <v>0.56681996529706402</v>
      </c>
      <c r="G2298">
        <v>0.46081179519923399</v>
      </c>
      <c r="H2298">
        <v>0.49635487844209802</v>
      </c>
      <c r="I2298">
        <v>0.58854394199154103</v>
      </c>
      <c r="J2298">
        <v>0.50325797328765198</v>
      </c>
      <c r="K2298">
        <v>0.69399970528442001</v>
      </c>
      <c r="L2298">
        <v>867.54275676046802</v>
      </c>
      <c r="M2298">
        <v>18.446596107139602</v>
      </c>
      <c r="O2298">
        <v>46.487713411226601</v>
      </c>
      <c r="P2298">
        <v>-4.5152931473188003E-2</v>
      </c>
      <c r="Q2298">
        <v>0.54485640544638303</v>
      </c>
      <c r="R2298">
        <v>0.84432637379819397</v>
      </c>
      <c r="S2298" t="s">
        <v>5927</v>
      </c>
      <c r="T2298" t="s">
        <v>7256</v>
      </c>
      <c r="U2298" t="s">
        <v>7256</v>
      </c>
      <c r="V2298" t="s">
        <v>7256</v>
      </c>
      <c r="W2298">
        <v>5</v>
      </c>
      <c r="X2298" t="s">
        <v>9554</v>
      </c>
      <c r="Y2298">
        <v>0.65946003787223806</v>
      </c>
      <c r="Z2298" t="str">
        <f>HYPERLINK("Melting_Curves/meltCurve_sp_Q96PK6_RBM14_HUMAN_.pdf", "Melting_Curves/meltCurve_sp_Q96PK6_RBM14_HUMAN_.pdf")</f>
        <v>Melting_Curves/meltCurve_sp_Q96PK6_RBM14_HUMAN_.pdf</v>
      </c>
      <c r="AA2298" t="s">
        <v>13149</v>
      </c>
      <c r="AB2298" t="s">
        <v>16723</v>
      </c>
    </row>
    <row r="2299" spans="1:28" x14ac:dyDescent="0.25">
      <c r="A2299" t="s">
        <v>2303</v>
      </c>
      <c r="B2299">
        <v>0.98018197421672304</v>
      </c>
      <c r="C2299">
        <v>0.88277453294769803</v>
      </c>
      <c r="D2299">
        <v>0.79961267734066499</v>
      </c>
      <c r="E2299">
        <v>0.61714663480356002</v>
      </c>
      <c r="F2299">
        <v>0.73715039828851703</v>
      </c>
      <c r="G2299">
        <v>0.45992227009557102</v>
      </c>
      <c r="H2299">
        <v>0.46616868886482299</v>
      </c>
      <c r="I2299">
        <v>0.329382987895044</v>
      </c>
      <c r="J2299">
        <v>0.61697328500030002</v>
      </c>
      <c r="K2299">
        <v>0.65449296802760004</v>
      </c>
      <c r="L2299">
        <v>673.55191017431696</v>
      </c>
      <c r="M2299">
        <v>14.296112919778</v>
      </c>
      <c r="O2299">
        <v>46.221233585634401</v>
      </c>
      <c r="P2299">
        <v>-3.7925774560388301E-2</v>
      </c>
      <c r="Q2299">
        <v>0.50958353093337705</v>
      </c>
      <c r="R2299">
        <v>0.72519319532511495</v>
      </c>
      <c r="S2299" t="s">
        <v>5928</v>
      </c>
      <c r="T2299" t="s">
        <v>7256</v>
      </c>
      <c r="U2299" t="s">
        <v>7256</v>
      </c>
      <c r="V2299" t="s">
        <v>7256</v>
      </c>
      <c r="W2299">
        <v>2</v>
      </c>
      <c r="X2299" t="s">
        <v>9555</v>
      </c>
      <c r="Y2299">
        <v>0.64046999944123673</v>
      </c>
      <c r="Z2299" t="str">
        <f>HYPERLINK("Melting_Curves/meltCurve_sp_Q96PM5_3_ZN363_HUMAN_.pdf", "Melting_Curves/meltCurve_sp_Q96PM5_3_ZN363_HUMAN_.pdf")</f>
        <v>Melting_Curves/meltCurve_sp_Q96PM5_3_ZN363_HUMAN_.pdf</v>
      </c>
      <c r="AA2299" t="s">
        <v>13150</v>
      </c>
      <c r="AB2299" t="s">
        <v>16724</v>
      </c>
    </row>
    <row r="2300" spans="1:28" x14ac:dyDescent="0.25">
      <c r="A2300" t="s">
        <v>2304</v>
      </c>
      <c r="B2300">
        <v>0.98018197421672304</v>
      </c>
      <c r="C2300">
        <v>1.0188059378924199</v>
      </c>
      <c r="D2300">
        <v>0.927554651722023</v>
      </c>
      <c r="E2300">
        <v>0.70514798573327397</v>
      </c>
      <c r="F2300">
        <v>0.43282375577848298</v>
      </c>
      <c r="G2300">
        <v>0.27189932907071901</v>
      </c>
      <c r="H2300">
        <v>0.23390192402040799</v>
      </c>
      <c r="I2300">
        <v>0.1520290689188</v>
      </c>
      <c r="J2300">
        <v>0.20740385223164001</v>
      </c>
      <c r="K2300">
        <v>0.13846423176082601</v>
      </c>
      <c r="L2300">
        <v>1082.0628961514899</v>
      </c>
      <c r="M2300">
        <v>21.0921864026013</v>
      </c>
      <c r="N2300">
        <v>52.338957661757298</v>
      </c>
      <c r="O2300">
        <v>50.8471283272861</v>
      </c>
      <c r="P2300">
        <v>-8.59899770597395E-2</v>
      </c>
      <c r="Q2300">
        <v>0.17083448237426799</v>
      </c>
      <c r="R2300">
        <v>0.99472818836773902</v>
      </c>
      <c r="S2300" t="s">
        <v>5929</v>
      </c>
      <c r="T2300" t="s">
        <v>7256</v>
      </c>
      <c r="U2300" t="s">
        <v>7256</v>
      </c>
      <c r="V2300" t="s">
        <v>7256</v>
      </c>
      <c r="W2300">
        <v>5</v>
      </c>
      <c r="X2300" t="s">
        <v>9556</v>
      </c>
      <c r="Y2300">
        <v>0.4936136480538173</v>
      </c>
      <c r="Z2300" t="str">
        <f>HYPERLINK("Melting_Curves/meltCurve_sp_Q96PU8_5_QKI_HUMAN_.pdf", "Melting_Curves/meltCurve_sp_Q96PU8_5_QKI_HUMAN_.pdf")</f>
        <v>Melting_Curves/meltCurve_sp_Q96PU8_5_QKI_HUMAN_.pdf</v>
      </c>
      <c r="AA2300" t="s">
        <v>13151</v>
      </c>
      <c r="AB2300" t="s">
        <v>16725</v>
      </c>
    </row>
    <row r="2301" spans="1:28" x14ac:dyDescent="0.25">
      <c r="A2301" t="s">
        <v>2305</v>
      </c>
      <c r="B2301">
        <v>0.98018197421672304</v>
      </c>
      <c r="C2301">
        <v>0.96599930428463998</v>
      </c>
      <c r="D2301">
        <v>0.81218662543692299</v>
      </c>
      <c r="E2301">
        <v>0.53806891981847804</v>
      </c>
      <c r="F2301">
        <v>0.32156658105061903</v>
      </c>
      <c r="G2301">
        <v>0.199815710919371</v>
      </c>
      <c r="H2301">
        <v>0.109275872176385</v>
      </c>
      <c r="I2301">
        <v>8.8491984870607998E-2</v>
      </c>
      <c r="J2301">
        <v>0.15898455782861301</v>
      </c>
      <c r="K2301">
        <v>8.1007548192780707E-2</v>
      </c>
      <c r="L2301">
        <v>867.19321960280604</v>
      </c>
      <c r="M2301">
        <v>17.419754362822498</v>
      </c>
      <c r="N2301">
        <v>50.391314413045798</v>
      </c>
      <c r="O2301">
        <v>49.140011148287101</v>
      </c>
      <c r="P2301">
        <v>-8.0213669168879204E-2</v>
      </c>
      <c r="Q2301">
        <v>9.4940271400701104E-2</v>
      </c>
      <c r="R2301">
        <v>0.995722404255454</v>
      </c>
      <c r="S2301" t="s">
        <v>5930</v>
      </c>
      <c r="T2301" t="s">
        <v>7256</v>
      </c>
      <c r="U2301" t="s">
        <v>7256</v>
      </c>
      <c r="V2301" t="s">
        <v>7256</v>
      </c>
      <c r="W2301">
        <v>3</v>
      </c>
      <c r="X2301" t="s">
        <v>9557</v>
      </c>
      <c r="Y2301">
        <v>0.40653510249403713</v>
      </c>
      <c r="Z2301" t="str">
        <f>HYPERLINK("Melting_Curves/meltCurve_sp_Q96Q05_3_TPPC9_HUMAN_.pdf", "Melting_Curves/meltCurve_sp_Q96Q05_3_TPPC9_HUMAN_.pdf")</f>
        <v>Melting_Curves/meltCurve_sp_Q96Q05_3_TPPC9_HUMAN_.pdf</v>
      </c>
      <c r="AA2301" t="s">
        <v>13152</v>
      </c>
      <c r="AB2301" t="s">
        <v>16726</v>
      </c>
    </row>
    <row r="2302" spans="1:28" x14ac:dyDescent="0.25">
      <c r="A2302" t="s">
        <v>2306</v>
      </c>
      <c r="B2302">
        <v>0.98018197421672304</v>
      </c>
      <c r="C2302">
        <v>1.0029888859542699</v>
      </c>
      <c r="D2302">
        <v>1.0145326766938501</v>
      </c>
      <c r="E2302">
        <v>0.93770534001248995</v>
      </c>
      <c r="F2302">
        <v>0.69798595893336501</v>
      </c>
      <c r="G2302">
        <v>0.38182036573668898</v>
      </c>
      <c r="H2302">
        <v>0.55789326672498596</v>
      </c>
      <c r="I2302">
        <v>0.53836650708273903</v>
      </c>
      <c r="J2302">
        <v>0.548978115774164</v>
      </c>
      <c r="K2302">
        <v>0.50786796355910002</v>
      </c>
      <c r="L2302">
        <v>2865.3425878697499</v>
      </c>
      <c r="M2302">
        <v>54.653557350612303</v>
      </c>
      <c r="O2302">
        <v>52.357334593643301</v>
      </c>
      <c r="P2302">
        <v>-0.12850904743122801</v>
      </c>
      <c r="Q2302">
        <v>0.50756098825062501</v>
      </c>
      <c r="R2302">
        <v>0.95420404857923802</v>
      </c>
      <c r="S2302" t="s">
        <v>5931</v>
      </c>
      <c r="T2302" t="s">
        <v>7256</v>
      </c>
      <c r="U2302" t="s">
        <v>7256</v>
      </c>
      <c r="V2302" t="s">
        <v>7256</v>
      </c>
      <c r="W2302">
        <v>34</v>
      </c>
      <c r="X2302" t="s">
        <v>9558</v>
      </c>
      <c r="Y2302">
        <v>0.71250403968805276</v>
      </c>
      <c r="Z2302" t="str">
        <f>HYPERLINK("Melting_Curves/meltCurve_sp_Q96Q06_2_PLIN4_HUMAN_.pdf", "Melting_Curves/meltCurve_sp_Q96Q06_2_PLIN4_HUMAN_.pdf")</f>
        <v>Melting_Curves/meltCurve_sp_Q96Q06_2_PLIN4_HUMAN_.pdf</v>
      </c>
      <c r="AA2302" t="s">
        <v>13153</v>
      </c>
      <c r="AB2302" t="s">
        <v>16727</v>
      </c>
    </row>
    <row r="2303" spans="1:28" x14ac:dyDescent="0.25">
      <c r="A2303" t="s">
        <v>2307</v>
      </c>
      <c r="B2303">
        <v>0.98018197421672304</v>
      </c>
      <c r="C2303">
        <v>0.89856980611491599</v>
      </c>
      <c r="D2303">
        <v>0.90759792792840799</v>
      </c>
      <c r="E2303">
        <v>0.56012741061286997</v>
      </c>
      <c r="F2303">
        <v>0.26630319227426902</v>
      </c>
      <c r="G2303">
        <v>0.158661372194044</v>
      </c>
      <c r="H2303">
        <v>9.3836202840345898E-2</v>
      </c>
      <c r="I2303">
        <v>7.12111191639902E-2</v>
      </c>
      <c r="J2303">
        <v>6.8936360767217805E-2</v>
      </c>
      <c r="K2303">
        <v>5.6605615875361302E-2</v>
      </c>
      <c r="L2303">
        <v>1056.52870706308</v>
      </c>
      <c r="M2303">
        <v>21.054352284847401</v>
      </c>
      <c r="N2303">
        <v>50.5135487026172</v>
      </c>
      <c r="O2303">
        <v>49.734896304034798</v>
      </c>
      <c r="P2303">
        <v>-9.8986731432163994E-2</v>
      </c>
      <c r="Q2303">
        <v>6.4713271230434993E-2</v>
      </c>
      <c r="R2303">
        <v>0.99384866518500703</v>
      </c>
      <c r="S2303" t="s">
        <v>5932</v>
      </c>
      <c r="T2303" t="s">
        <v>7256</v>
      </c>
      <c r="U2303" t="s">
        <v>7256</v>
      </c>
      <c r="V2303" t="s">
        <v>7256</v>
      </c>
      <c r="W2303">
        <v>8</v>
      </c>
      <c r="X2303" t="s">
        <v>9559</v>
      </c>
      <c r="Y2303">
        <v>0.39389218587085401</v>
      </c>
      <c r="Z2303" t="str">
        <f>HYPERLINK("Melting_Curves/meltCurve_sp_Q96Q11_2_TRNT1_HUMAN_.pdf", "Melting_Curves/meltCurve_sp_Q96Q11_2_TRNT1_HUMAN_.pdf")</f>
        <v>Melting_Curves/meltCurve_sp_Q96Q11_2_TRNT1_HUMAN_.pdf</v>
      </c>
      <c r="AA2303" t="s">
        <v>13154</v>
      </c>
      <c r="AB2303" t="s">
        <v>16728</v>
      </c>
    </row>
    <row r="2304" spans="1:28" x14ac:dyDescent="0.25">
      <c r="A2304" t="s">
        <v>2308</v>
      </c>
      <c r="B2304">
        <v>0.98018197421672304</v>
      </c>
      <c r="C2304">
        <v>0.95506611990525903</v>
      </c>
      <c r="D2304">
        <v>0.90835955121816403</v>
      </c>
      <c r="E2304">
        <v>0.76329820065423304</v>
      </c>
      <c r="F2304">
        <v>0.53321778723640401</v>
      </c>
      <c r="G2304">
        <v>0.28557709654125801</v>
      </c>
      <c r="H2304">
        <v>0.31677033876722899</v>
      </c>
      <c r="I2304">
        <v>0.23874096712961301</v>
      </c>
      <c r="J2304">
        <v>0.19765102641700999</v>
      </c>
      <c r="K2304">
        <v>0.25254046110136102</v>
      </c>
      <c r="L2304">
        <v>1006.85122519635</v>
      </c>
      <c r="M2304">
        <v>19.4497576561165</v>
      </c>
      <c r="N2304">
        <v>53.4036543394419</v>
      </c>
      <c r="O2304">
        <v>51.228857276807297</v>
      </c>
      <c r="P2304">
        <v>-7.3606376608854704E-2</v>
      </c>
      <c r="Q2304">
        <v>0.22453871351415</v>
      </c>
      <c r="R2304">
        <v>0.989595336513728</v>
      </c>
      <c r="S2304" t="s">
        <v>5933</v>
      </c>
      <c r="T2304" t="s">
        <v>7256</v>
      </c>
      <c r="U2304" t="s">
        <v>7256</v>
      </c>
      <c r="V2304" t="s">
        <v>7256</v>
      </c>
      <c r="W2304">
        <v>3</v>
      </c>
      <c r="X2304" t="s">
        <v>9560</v>
      </c>
      <c r="Y2304">
        <v>0.53998913541498894</v>
      </c>
      <c r="Z2304" t="str">
        <f>HYPERLINK("Melting_Curves/meltCurve_sp_Q96QC0_PP1RA_HUMAN_.pdf", "Melting_Curves/meltCurve_sp_Q96QC0_PP1RA_HUMAN_.pdf")</f>
        <v>Melting_Curves/meltCurve_sp_Q96QC0_PP1RA_HUMAN_.pdf</v>
      </c>
      <c r="AA2304" t="s">
        <v>13155</v>
      </c>
      <c r="AB2304" t="s">
        <v>16729</v>
      </c>
    </row>
    <row r="2305" spans="1:28" x14ac:dyDescent="0.25">
      <c r="A2305" t="s">
        <v>2309</v>
      </c>
      <c r="B2305">
        <v>0.98018197421672304</v>
      </c>
      <c r="C2305">
        <v>0.83418360790955903</v>
      </c>
      <c r="D2305">
        <v>0.88909608844101295</v>
      </c>
      <c r="E2305">
        <v>0.72094822518849</v>
      </c>
      <c r="F2305">
        <v>0.237284166982526</v>
      </c>
      <c r="G2305">
        <v>0.13868004484622401</v>
      </c>
      <c r="H2305">
        <v>7.5058175849517905E-2</v>
      </c>
      <c r="I2305">
        <v>6.27682836566886E-2</v>
      </c>
      <c r="J2305">
        <v>3.29641396499211E-2</v>
      </c>
      <c r="K2305">
        <v>2.0343664604853401E-2</v>
      </c>
      <c r="L2305">
        <v>1461.8224043785699</v>
      </c>
      <c r="M2305">
        <v>28.623872837481599</v>
      </c>
      <c r="N2305">
        <v>51.251011783193903</v>
      </c>
      <c r="O2305">
        <v>50.822708002391103</v>
      </c>
      <c r="P2305">
        <v>-0.134035389195964</v>
      </c>
      <c r="Q2305">
        <v>4.8068676889364503E-2</v>
      </c>
      <c r="R2305">
        <v>0.97138973443809795</v>
      </c>
      <c r="S2305" t="s">
        <v>5934</v>
      </c>
      <c r="T2305" t="s">
        <v>7256</v>
      </c>
      <c r="U2305" t="s">
        <v>7256</v>
      </c>
      <c r="V2305" t="s">
        <v>7256</v>
      </c>
      <c r="W2305">
        <v>1</v>
      </c>
      <c r="X2305" t="s">
        <v>9561</v>
      </c>
      <c r="Y2305">
        <v>0.40591429948415148</v>
      </c>
      <c r="Z2305" t="str">
        <f>HYPERLINK("Melting_Curves/meltCurve_sp_Q96QG7_MTMR9_HUMAN_.pdf", "Melting_Curves/meltCurve_sp_Q96QG7_MTMR9_HUMAN_.pdf")</f>
        <v>Melting_Curves/meltCurve_sp_Q96QG7_MTMR9_HUMAN_.pdf</v>
      </c>
      <c r="AA2305" t="s">
        <v>13156</v>
      </c>
      <c r="AB2305" t="s">
        <v>16730</v>
      </c>
    </row>
    <row r="2306" spans="1:28" x14ac:dyDescent="0.25">
      <c r="A2306" t="s">
        <v>2310</v>
      </c>
      <c r="B2306">
        <v>0.98018197421672304</v>
      </c>
      <c r="C2306">
        <v>0.96978303805455901</v>
      </c>
      <c r="D2306">
        <v>0.92828305349335605</v>
      </c>
      <c r="E2306">
        <v>0.75178725958955095</v>
      </c>
      <c r="F2306">
        <v>0.42242155099378198</v>
      </c>
      <c r="G2306">
        <v>0.13517141356390699</v>
      </c>
      <c r="H2306">
        <v>7.6041947044436495E-2</v>
      </c>
      <c r="I2306">
        <v>5.5644693692734899E-2</v>
      </c>
      <c r="J2306">
        <v>6.4780837692364798E-2</v>
      </c>
      <c r="K2306">
        <v>4.7382571959905397E-2</v>
      </c>
      <c r="L2306">
        <v>1255.25598442</v>
      </c>
      <c r="M2306">
        <v>24.125727153963901</v>
      </c>
      <c r="N2306">
        <v>52.245361325527497</v>
      </c>
      <c r="O2306">
        <v>51.676248250131202</v>
      </c>
      <c r="P2306">
        <v>-0.11118742787538199</v>
      </c>
      <c r="Q2306">
        <v>4.7380398415971102E-2</v>
      </c>
      <c r="R2306">
        <v>0.99832311494741499</v>
      </c>
      <c r="S2306" t="s">
        <v>5935</v>
      </c>
      <c r="T2306" t="s">
        <v>7256</v>
      </c>
      <c r="U2306" t="s">
        <v>7256</v>
      </c>
      <c r="V2306" t="s">
        <v>7256</v>
      </c>
      <c r="W2306">
        <v>18</v>
      </c>
      <c r="X2306" t="s">
        <v>9562</v>
      </c>
      <c r="Y2306">
        <v>0.43868625749747442</v>
      </c>
      <c r="Z2306" t="str">
        <f>HYPERLINK("Melting_Curves/meltCurve_sp_Q96QK1_VPS35_HUMAN_.pdf", "Melting_Curves/meltCurve_sp_Q96QK1_VPS35_HUMAN_.pdf")</f>
        <v>Melting_Curves/meltCurve_sp_Q96QK1_VPS35_HUMAN_.pdf</v>
      </c>
      <c r="AA2306" t="s">
        <v>13157</v>
      </c>
      <c r="AB2306" t="s">
        <v>16731</v>
      </c>
    </row>
    <row r="2307" spans="1:28" x14ac:dyDescent="0.25">
      <c r="A2307" t="s">
        <v>2311</v>
      </c>
      <c r="B2307">
        <v>0.98018197421672304</v>
      </c>
      <c r="C2307">
        <v>0.96580330308454099</v>
      </c>
      <c r="D2307">
        <v>0.93064916844596202</v>
      </c>
      <c r="E2307">
        <v>0.85445807665381501</v>
      </c>
      <c r="F2307">
        <v>0.72149934198950905</v>
      </c>
      <c r="G2307">
        <v>0.59186327351228596</v>
      </c>
      <c r="H2307">
        <v>0.43083403259553998</v>
      </c>
      <c r="I2307">
        <v>0.38321902607481201</v>
      </c>
      <c r="J2307">
        <v>0.35598222597353701</v>
      </c>
      <c r="K2307">
        <v>0.151516644654241</v>
      </c>
      <c r="L2307">
        <v>504.00051359858202</v>
      </c>
      <c r="M2307">
        <v>8.4503453266050599</v>
      </c>
      <c r="N2307">
        <v>59.642593468516601</v>
      </c>
      <c r="O2307">
        <v>56.583472113779202</v>
      </c>
      <c r="P2307">
        <v>-3.7370141103395003E-2</v>
      </c>
      <c r="Q2307">
        <v>0</v>
      </c>
      <c r="R2307">
        <v>0.984521730368217</v>
      </c>
      <c r="S2307" t="s">
        <v>5936</v>
      </c>
      <c r="T2307" t="s">
        <v>7256</v>
      </c>
      <c r="U2307" t="s">
        <v>7256</v>
      </c>
      <c r="V2307" t="s">
        <v>7256</v>
      </c>
      <c r="W2307">
        <v>6</v>
      </c>
      <c r="X2307" t="s">
        <v>9563</v>
      </c>
      <c r="Y2307">
        <v>0.64602496444809687</v>
      </c>
      <c r="Z2307" t="str">
        <f>HYPERLINK("Melting_Curves/meltCurve_sp_Q96QR8_PURB_HUMAN_.pdf", "Melting_Curves/meltCurve_sp_Q96QR8_PURB_HUMAN_.pdf")</f>
        <v>Melting_Curves/meltCurve_sp_Q96QR8_PURB_HUMAN_.pdf</v>
      </c>
      <c r="AA2307" t="s">
        <v>13158</v>
      </c>
      <c r="AB2307" t="s">
        <v>16732</v>
      </c>
    </row>
    <row r="2308" spans="1:28" x14ac:dyDescent="0.25">
      <c r="A2308" t="s">
        <v>2312</v>
      </c>
      <c r="B2308">
        <v>0.98018197421672304</v>
      </c>
      <c r="C2308">
        <v>0.91464139685079404</v>
      </c>
      <c r="D2308">
        <v>0.84037415661516801</v>
      </c>
      <c r="E2308">
        <v>0.743059347699629</v>
      </c>
      <c r="F2308">
        <v>0.61872465253145104</v>
      </c>
      <c r="G2308">
        <v>0.39889925384076502</v>
      </c>
      <c r="H2308">
        <v>0.25909892957206199</v>
      </c>
      <c r="I2308">
        <v>0.217364758482924</v>
      </c>
      <c r="J2308">
        <v>0.25846376410031102</v>
      </c>
      <c r="K2308">
        <v>0.23157994202356699</v>
      </c>
      <c r="L2308">
        <v>622.54520549853203</v>
      </c>
      <c r="M2308">
        <v>11.759508812756099</v>
      </c>
      <c r="N2308">
        <v>54.705099678704599</v>
      </c>
      <c r="O2308">
        <v>51.478370466435699</v>
      </c>
      <c r="P2308">
        <v>-4.8104366324455597E-2</v>
      </c>
      <c r="Q2308">
        <v>0.15789376422944601</v>
      </c>
      <c r="R2308">
        <v>0.98733105263043297</v>
      </c>
      <c r="S2308" t="s">
        <v>5937</v>
      </c>
      <c r="T2308" t="s">
        <v>7256</v>
      </c>
      <c r="U2308" t="s">
        <v>7256</v>
      </c>
      <c r="V2308" t="s">
        <v>7256</v>
      </c>
      <c r="W2308">
        <v>6</v>
      </c>
      <c r="X2308" t="s">
        <v>9564</v>
      </c>
      <c r="Y2308">
        <v>0.54575288500618202</v>
      </c>
      <c r="Z2308" t="str">
        <f>HYPERLINK("Melting_Curves/meltCurve_sp_Q96QZ7_7_MAGI1_HUMAN_.pdf", "Melting_Curves/meltCurve_sp_Q96QZ7_7_MAGI1_HUMAN_.pdf")</f>
        <v>Melting_Curves/meltCurve_sp_Q96QZ7_7_MAGI1_HUMAN_.pdf</v>
      </c>
      <c r="AA2308" t="s">
        <v>13159</v>
      </c>
      <c r="AB2308" t="s">
        <v>16733</v>
      </c>
    </row>
    <row r="2309" spans="1:28" x14ac:dyDescent="0.25">
      <c r="A2309" t="s">
        <v>2313</v>
      </c>
      <c r="B2309">
        <v>0.98018197421672304</v>
      </c>
      <c r="C2309">
        <v>1.03575087773859</v>
      </c>
      <c r="D2309">
        <v>0.96619750072594901</v>
      </c>
      <c r="E2309">
        <v>0.84069549615704797</v>
      </c>
      <c r="F2309">
        <v>0.62692626869278001</v>
      </c>
      <c r="G2309">
        <v>0.40379709493367599</v>
      </c>
      <c r="H2309">
        <v>0.380856708531493</v>
      </c>
      <c r="I2309">
        <v>0.30138330828832699</v>
      </c>
      <c r="J2309">
        <v>0.28607832851618797</v>
      </c>
      <c r="K2309">
        <v>0.15841288467696399</v>
      </c>
      <c r="L2309">
        <v>885.26168925587001</v>
      </c>
      <c r="M2309">
        <v>16.506656633943301</v>
      </c>
      <c r="N2309">
        <v>55.654241807518503</v>
      </c>
      <c r="O2309">
        <v>52.861998465540402</v>
      </c>
      <c r="P2309">
        <v>-6.0453750773275097E-2</v>
      </c>
      <c r="Q2309">
        <v>0.225649523988673</v>
      </c>
      <c r="R2309">
        <v>0.98249213748420705</v>
      </c>
      <c r="S2309" t="s">
        <v>5938</v>
      </c>
      <c r="T2309" t="s">
        <v>7256</v>
      </c>
      <c r="U2309" t="s">
        <v>7256</v>
      </c>
      <c r="V2309" t="s">
        <v>7256</v>
      </c>
      <c r="W2309">
        <v>1</v>
      </c>
      <c r="X2309" t="s">
        <v>9565</v>
      </c>
      <c r="Y2309">
        <v>0.59169276761686729</v>
      </c>
      <c r="Z2309" t="str">
        <f>HYPERLINK("Melting_Curves/meltCurve_sp_Q96RE7_NACC1_HUMAN_.pdf", "Melting_Curves/meltCurve_sp_Q96RE7_NACC1_HUMAN_.pdf")</f>
        <v>Melting_Curves/meltCurve_sp_Q96RE7_NACC1_HUMAN_.pdf</v>
      </c>
      <c r="AA2309" t="s">
        <v>13160</v>
      </c>
      <c r="AB2309" t="s">
        <v>16734</v>
      </c>
    </row>
    <row r="2310" spans="1:28" x14ac:dyDescent="0.25">
      <c r="A2310" t="s">
        <v>2314</v>
      </c>
      <c r="B2310">
        <v>0.98018197421672304</v>
      </c>
      <c r="C2310">
        <v>0.87694561960819195</v>
      </c>
      <c r="D2310">
        <v>0.82707113414558597</v>
      </c>
      <c r="E2310">
        <v>0.58054780507385995</v>
      </c>
      <c r="F2310">
        <v>0.52194679750961703</v>
      </c>
      <c r="G2310">
        <v>0.37401532485633698</v>
      </c>
      <c r="H2310">
        <v>0.32335146483067001</v>
      </c>
      <c r="I2310">
        <v>0.36127615129343299</v>
      </c>
      <c r="J2310">
        <v>0.56138444703602297</v>
      </c>
      <c r="K2310">
        <v>0.59698234610588197</v>
      </c>
      <c r="L2310">
        <v>959.20516596990797</v>
      </c>
      <c r="M2310">
        <v>20.3181244431407</v>
      </c>
      <c r="N2310">
        <v>52.9192562252491</v>
      </c>
      <c r="O2310">
        <v>46.759162452508697</v>
      </c>
      <c r="P2310">
        <v>-6.0382631980537602E-2</v>
      </c>
      <c r="Q2310">
        <v>0.44417016189881198</v>
      </c>
      <c r="R2310">
        <v>0.84426187429104305</v>
      </c>
      <c r="S2310" t="s">
        <v>5939</v>
      </c>
      <c r="T2310" t="s">
        <v>7256</v>
      </c>
      <c r="U2310" t="s">
        <v>7256</v>
      </c>
      <c r="V2310" t="s">
        <v>7256</v>
      </c>
      <c r="W2310">
        <v>3</v>
      </c>
      <c r="X2310" t="s">
        <v>9566</v>
      </c>
      <c r="Y2310">
        <v>0.58554058865110059</v>
      </c>
      <c r="Z2310" t="str">
        <f>HYPERLINK("Melting_Curves/meltCurve_sp_Q96RF0_2_SNX18_HUMAN_.pdf", "Melting_Curves/meltCurve_sp_Q96RF0_2_SNX18_HUMAN_.pdf")</f>
        <v>Melting_Curves/meltCurve_sp_Q96RF0_2_SNX18_HUMAN_.pdf</v>
      </c>
      <c r="AA2310" t="s">
        <v>13161</v>
      </c>
      <c r="AB2310" t="s">
        <v>16735</v>
      </c>
    </row>
    <row r="2311" spans="1:28" x14ac:dyDescent="0.25">
      <c r="A2311" t="s">
        <v>2315</v>
      </c>
      <c r="B2311">
        <v>0.98018197421672304</v>
      </c>
      <c r="C2311">
        <v>0.91233158253872504</v>
      </c>
      <c r="D2311">
        <v>0.87779296998902701</v>
      </c>
      <c r="E2311">
        <v>0.41650892625106301</v>
      </c>
      <c r="F2311">
        <v>0.110826614380614</v>
      </c>
      <c r="G2311">
        <v>7.1755810751503293E-2</v>
      </c>
      <c r="H2311">
        <v>4.7783043850870302E-2</v>
      </c>
      <c r="I2311">
        <v>3.7111728033529197E-2</v>
      </c>
      <c r="J2311">
        <v>4.1639882996666898E-2</v>
      </c>
      <c r="K2311">
        <v>3.1129147292075599E-2</v>
      </c>
      <c r="L2311">
        <v>1369.6729013526001</v>
      </c>
      <c r="M2311">
        <v>27.893626438348399</v>
      </c>
      <c r="N2311">
        <v>49.2362873003039</v>
      </c>
      <c r="O2311">
        <v>48.853145063917502</v>
      </c>
      <c r="P2311">
        <v>-0.13756899081653801</v>
      </c>
      <c r="Q2311">
        <v>3.6250361991858E-2</v>
      </c>
      <c r="R2311">
        <v>0.99522094696447305</v>
      </c>
      <c r="S2311" t="s">
        <v>5940</v>
      </c>
      <c r="T2311" t="s">
        <v>7256</v>
      </c>
      <c r="U2311" t="s">
        <v>7256</v>
      </c>
      <c r="V2311" t="s">
        <v>7256</v>
      </c>
      <c r="W2311">
        <v>19</v>
      </c>
      <c r="X2311" t="s">
        <v>9567</v>
      </c>
      <c r="Y2311">
        <v>0.33552257428976362</v>
      </c>
      <c r="Z2311" t="str">
        <f>HYPERLINK("Melting_Curves/meltCurve_sp_Q96RP9_EFGM_HUMAN_.pdf", "Melting_Curves/meltCurve_sp_Q96RP9_EFGM_HUMAN_.pdf")</f>
        <v>Melting_Curves/meltCurve_sp_Q96RP9_EFGM_HUMAN_.pdf</v>
      </c>
      <c r="AA2311" t="s">
        <v>13162</v>
      </c>
      <c r="AB2311" t="s">
        <v>16736</v>
      </c>
    </row>
    <row r="2312" spans="1:28" x14ac:dyDescent="0.25">
      <c r="A2312" t="s">
        <v>2316</v>
      </c>
      <c r="B2312">
        <v>0.98018197421672304</v>
      </c>
      <c r="C2312">
        <v>0.98914331746520001</v>
      </c>
      <c r="D2312">
        <v>0.83420597462322899</v>
      </c>
      <c r="E2312">
        <v>0.48856455538863502</v>
      </c>
      <c r="F2312">
        <v>0.19847344954459001</v>
      </c>
      <c r="G2312">
        <v>0.13179928255293999</v>
      </c>
      <c r="H2312">
        <v>8.4566914764752393E-2</v>
      </c>
      <c r="I2312">
        <v>7.8340275448970306E-2</v>
      </c>
      <c r="J2312">
        <v>7.8392027799990105E-2</v>
      </c>
      <c r="K2312">
        <v>5.7938430708791497E-2</v>
      </c>
      <c r="L2312">
        <v>1130.4986047781599</v>
      </c>
      <c r="M2312">
        <v>22.910204691394998</v>
      </c>
      <c r="N2312">
        <v>49.676026645887099</v>
      </c>
      <c r="O2312">
        <v>48.9734375887111</v>
      </c>
      <c r="P2312">
        <v>-0.108669523491984</v>
      </c>
      <c r="Q2312">
        <v>7.0838985938611598E-2</v>
      </c>
      <c r="R2312">
        <v>0.997888502102529</v>
      </c>
      <c r="S2312" t="s">
        <v>5941</v>
      </c>
      <c r="T2312" t="s">
        <v>7256</v>
      </c>
      <c r="U2312" t="s">
        <v>7256</v>
      </c>
      <c r="V2312" t="s">
        <v>7256</v>
      </c>
      <c r="W2312">
        <v>19</v>
      </c>
      <c r="X2312" t="s">
        <v>9568</v>
      </c>
      <c r="Y2312">
        <v>0.37012788083748288</v>
      </c>
      <c r="Z2312" t="str">
        <f>HYPERLINK("Melting_Curves/meltCurve_sp_Q96RQ3_MCCA_HUMAN_.pdf", "Melting_Curves/meltCurve_sp_Q96RQ3_MCCA_HUMAN_.pdf")</f>
        <v>Melting_Curves/meltCurve_sp_Q96RQ3_MCCA_HUMAN_.pdf</v>
      </c>
      <c r="AA2312" t="s">
        <v>13163</v>
      </c>
      <c r="AB2312" t="s">
        <v>16737</v>
      </c>
    </row>
    <row r="2313" spans="1:28" x14ac:dyDescent="0.25">
      <c r="A2313" t="s">
        <v>2317</v>
      </c>
      <c r="B2313">
        <v>0.98018197421672304</v>
      </c>
      <c r="C2313">
        <v>0.87794875486430002</v>
      </c>
      <c r="D2313">
        <v>0.89143093922297301</v>
      </c>
      <c r="E2313">
        <v>0.79787548865207003</v>
      </c>
      <c r="F2313">
        <v>0.63938865110380605</v>
      </c>
      <c r="G2313">
        <v>0.270184471331818</v>
      </c>
      <c r="H2313">
        <v>9.6152584891823406E-2</v>
      </c>
      <c r="I2313">
        <v>6.5805615455224301E-2</v>
      </c>
      <c r="J2313">
        <v>7.4589792073877295E-2</v>
      </c>
      <c r="K2313">
        <v>5.51375125942219E-2</v>
      </c>
      <c r="L2313">
        <v>930.34565755604297</v>
      </c>
      <c r="M2313">
        <v>17.2398007550477</v>
      </c>
      <c r="N2313">
        <v>54.065562290283303</v>
      </c>
      <c r="O2313">
        <v>53.254581979426099</v>
      </c>
      <c r="P2313">
        <v>-7.9658608206523193E-2</v>
      </c>
      <c r="Q2313">
        <v>1.5780272077878001E-2</v>
      </c>
      <c r="R2313">
        <v>0.98392457834271896</v>
      </c>
      <c r="S2313" t="s">
        <v>5942</v>
      </c>
      <c r="T2313" t="s">
        <v>7256</v>
      </c>
      <c r="U2313" t="s">
        <v>7256</v>
      </c>
      <c r="V2313" t="s">
        <v>7256</v>
      </c>
      <c r="W2313">
        <v>3</v>
      </c>
      <c r="X2313" t="s">
        <v>9569</v>
      </c>
      <c r="Y2313">
        <v>0.49072269194634571</v>
      </c>
      <c r="Z2313" t="str">
        <f>HYPERLINK("Melting_Curves/meltCurve_sp_Q96RS6_3_NUDC1_HUMAN_.pdf", "Melting_Curves/meltCurve_sp_Q96RS6_3_NUDC1_HUMAN_.pdf")</f>
        <v>Melting_Curves/meltCurve_sp_Q96RS6_3_NUDC1_HUMAN_.pdf</v>
      </c>
      <c r="AA2313" t="s">
        <v>13164</v>
      </c>
      <c r="AB2313" t="s">
        <v>16738</v>
      </c>
    </row>
    <row r="2314" spans="1:28" x14ac:dyDescent="0.25">
      <c r="A2314" t="s">
        <v>2318</v>
      </c>
      <c r="B2314">
        <v>0.98018197421672304</v>
      </c>
      <c r="C2314">
        <v>1.0092460578811899</v>
      </c>
      <c r="D2314">
        <v>0.95604015233863204</v>
      </c>
      <c r="E2314">
        <v>0.85383594575619504</v>
      </c>
      <c r="F2314">
        <v>0.72510638984508302</v>
      </c>
      <c r="G2314">
        <v>0.55356017851660799</v>
      </c>
      <c r="H2314">
        <v>0.52125881991340495</v>
      </c>
      <c r="I2314">
        <v>0.58721590174702099</v>
      </c>
      <c r="J2314">
        <v>0.583752031984349</v>
      </c>
      <c r="K2314">
        <v>0.55724031230593596</v>
      </c>
      <c r="L2314">
        <v>1323.80315593869</v>
      </c>
      <c r="M2314">
        <v>25.693042077512398</v>
      </c>
      <c r="O2314">
        <v>51.214729756264397</v>
      </c>
      <c r="P2314">
        <v>-5.5884191907732798E-2</v>
      </c>
      <c r="Q2314">
        <v>0.55442281172187602</v>
      </c>
      <c r="R2314">
        <v>0.98183715984298403</v>
      </c>
      <c r="S2314" t="s">
        <v>5943</v>
      </c>
      <c r="T2314" t="s">
        <v>7256</v>
      </c>
      <c r="U2314" t="s">
        <v>7256</v>
      </c>
      <c r="V2314" t="s">
        <v>7256</v>
      </c>
      <c r="W2314">
        <v>1</v>
      </c>
      <c r="X2314" t="s">
        <v>9570</v>
      </c>
      <c r="Y2314">
        <v>0.72941871738313224</v>
      </c>
      <c r="Z2314" t="str">
        <f>HYPERLINK("Melting_Curves/meltCurve_sp_Q96RW7_2_HMCN1_HUMAN_.pdf", "Melting_Curves/meltCurve_sp_Q96RW7_2_HMCN1_HUMAN_.pdf")</f>
        <v>Melting_Curves/meltCurve_sp_Q96RW7_2_HMCN1_HUMAN_.pdf</v>
      </c>
      <c r="AA2314" t="s">
        <v>13165</v>
      </c>
      <c r="AB2314" t="s">
        <v>16739</v>
      </c>
    </row>
    <row r="2315" spans="1:28" x14ac:dyDescent="0.25">
      <c r="A2315" t="s">
        <v>2319</v>
      </c>
      <c r="B2315">
        <v>0.98018197421672304</v>
      </c>
      <c r="C2315">
        <v>0.99372693191494199</v>
      </c>
      <c r="D2315">
        <v>0.89236942977701605</v>
      </c>
      <c r="E2315">
        <v>0.62720996586467004</v>
      </c>
      <c r="F2315">
        <v>0.18002983172180301</v>
      </c>
      <c r="G2315">
        <v>0.13075568738194401</v>
      </c>
      <c r="H2315">
        <v>7.6310702026207405E-2</v>
      </c>
      <c r="I2315">
        <v>4.3901268830686298E-2</v>
      </c>
      <c r="J2315">
        <v>4.9573592388532497E-2</v>
      </c>
      <c r="K2315">
        <v>2.4930251199464501E-2</v>
      </c>
      <c r="L2315">
        <v>1523.6470534022999</v>
      </c>
      <c r="M2315">
        <v>30.2025220742876</v>
      </c>
      <c r="N2315">
        <v>50.6313900045404</v>
      </c>
      <c r="O2315">
        <v>50.228064350750003</v>
      </c>
      <c r="P2315">
        <v>-0.14252620700975899</v>
      </c>
      <c r="Q2315">
        <v>5.1897709582281903E-2</v>
      </c>
      <c r="R2315">
        <v>0.99270402227779397</v>
      </c>
      <c r="S2315" t="s">
        <v>5944</v>
      </c>
      <c r="T2315" t="s">
        <v>7256</v>
      </c>
      <c r="U2315" t="s">
        <v>7256</v>
      </c>
      <c r="V2315" t="s">
        <v>7256</v>
      </c>
      <c r="W2315">
        <v>3</v>
      </c>
      <c r="X2315" t="s">
        <v>9571</v>
      </c>
      <c r="Y2315">
        <v>0.38790759868824543</v>
      </c>
      <c r="Z2315" t="str">
        <f>HYPERLINK("Melting_Curves/meltCurve_sp_Q96S19_CP013_HUMAN_.pdf", "Melting_Curves/meltCurve_sp_Q96S19_CP013_HUMAN_.pdf")</f>
        <v>Melting_Curves/meltCurve_sp_Q96S19_CP013_HUMAN_.pdf</v>
      </c>
      <c r="AA2315" t="s">
        <v>13166</v>
      </c>
      <c r="AB2315" t="s">
        <v>16740</v>
      </c>
    </row>
    <row r="2316" spans="1:28" x14ac:dyDescent="0.25">
      <c r="A2316" t="s">
        <v>2320</v>
      </c>
      <c r="B2316">
        <v>0.98018197421672304</v>
      </c>
      <c r="C2316">
        <v>0.886872487383502</v>
      </c>
      <c r="D2316">
        <v>0.78718151820509297</v>
      </c>
      <c r="E2316">
        <v>0.44050551527380499</v>
      </c>
      <c r="F2316">
        <v>0.168920441898606</v>
      </c>
      <c r="G2316">
        <v>6.4117960656460596E-2</v>
      </c>
      <c r="H2316">
        <v>4.3744327886784402E-2</v>
      </c>
      <c r="I2316">
        <v>2.69808473741679E-2</v>
      </c>
      <c r="J2316">
        <v>7.2891841055910594E-2</v>
      </c>
      <c r="K2316">
        <v>2.22743541257985E-2</v>
      </c>
      <c r="L2316">
        <v>948.34685161505695</v>
      </c>
      <c r="M2316">
        <v>19.3965490684546</v>
      </c>
      <c r="N2316">
        <v>49.022256139828499</v>
      </c>
      <c r="O2316">
        <v>48.3817673597541</v>
      </c>
      <c r="P2316">
        <v>-9.7723285187867104E-2</v>
      </c>
      <c r="Q2316">
        <v>2.50119291478723E-2</v>
      </c>
      <c r="R2316">
        <v>0.99475575193528099</v>
      </c>
      <c r="S2316" t="s">
        <v>5945</v>
      </c>
      <c r="T2316" t="s">
        <v>7256</v>
      </c>
      <c r="U2316" t="s">
        <v>7256</v>
      </c>
      <c r="V2316" t="s">
        <v>7256</v>
      </c>
      <c r="W2316">
        <v>2</v>
      </c>
      <c r="X2316" t="s">
        <v>9572</v>
      </c>
      <c r="Y2316">
        <v>0.32856886185039619</v>
      </c>
      <c r="Z2316" t="str">
        <f>HYPERLINK("Melting_Curves/meltCurve_sp_Q96S44_PRPK_HUMAN_.pdf", "Melting_Curves/meltCurve_sp_Q96S44_PRPK_HUMAN_.pdf")</f>
        <v>Melting_Curves/meltCurve_sp_Q96S44_PRPK_HUMAN_.pdf</v>
      </c>
      <c r="AA2316" t="s">
        <v>13167</v>
      </c>
      <c r="AB2316" t="s">
        <v>16741</v>
      </c>
    </row>
    <row r="2317" spans="1:28" x14ac:dyDescent="0.25">
      <c r="A2317" t="s">
        <v>2321</v>
      </c>
      <c r="B2317">
        <v>0.98018197421672304</v>
      </c>
      <c r="C2317">
        <v>1.04253270237025</v>
      </c>
      <c r="D2317">
        <v>0.95348086460698001</v>
      </c>
      <c r="E2317">
        <v>0.94635672176006502</v>
      </c>
      <c r="F2317">
        <v>0.99510377335123001</v>
      </c>
      <c r="G2317">
        <v>0.78557661700381698</v>
      </c>
      <c r="H2317">
        <v>7.8522116845503406E-2</v>
      </c>
      <c r="I2317">
        <v>0.101624065560493</v>
      </c>
      <c r="J2317">
        <v>1.83865174829363E-2</v>
      </c>
      <c r="K2317">
        <v>3.8200895606058299E-2</v>
      </c>
      <c r="L2317">
        <v>3993.3449643110598</v>
      </c>
      <c r="M2317">
        <v>68.829319531026599</v>
      </c>
      <c r="N2317">
        <v>58.108685524619503</v>
      </c>
      <c r="O2317">
        <v>57.969142334620997</v>
      </c>
      <c r="P2317">
        <v>-0.28173248153438901</v>
      </c>
      <c r="Q2317">
        <v>5.0881677501294499E-2</v>
      </c>
      <c r="R2317">
        <v>0.99440098017574496</v>
      </c>
      <c r="S2317" t="s">
        <v>5946</v>
      </c>
      <c r="T2317" t="s">
        <v>7256</v>
      </c>
      <c r="U2317" t="s">
        <v>7256</v>
      </c>
      <c r="V2317" t="s">
        <v>7256</v>
      </c>
      <c r="W2317">
        <v>4</v>
      </c>
      <c r="X2317" t="s">
        <v>9573</v>
      </c>
      <c r="Y2317">
        <v>0.62220276547201669</v>
      </c>
      <c r="Z2317" t="str">
        <f>HYPERLINK("Melting_Curves/meltCurve_sp_Q96S66_4_CLCC1_HUMAN_.pdf", "Melting_Curves/meltCurve_sp_Q96S66_4_CLCC1_HUMAN_.pdf")</f>
        <v>Melting_Curves/meltCurve_sp_Q96S66_4_CLCC1_HUMAN_.pdf</v>
      </c>
      <c r="AA2317" t="s">
        <v>13168</v>
      </c>
      <c r="AB2317" t="s">
        <v>16742</v>
      </c>
    </row>
    <row r="2318" spans="1:28" x14ac:dyDescent="0.25">
      <c r="A2318" t="s">
        <v>2322</v>
      </c>
      <c r="B2318">
        <v>0.98018197421672304</v>
      </c>
      <c r="C2318">
        <v>1.0571569629300499</v>
      </c>
      <c r="D2318">
        <v>0.89884240778906799</v>
      </c>
      <c r="E2318">
        <v>0.80716569311565101</v>
      </c>
      <c r="F2318">
        <v>0.72822452139957905</v>
      </c>
      <c r="G2318">
        <v>0.63599935887915704</v>
      </c>
      <c r="H2318">
        <v>0.49512019895614701</v>
      </c>
      <c r="I2318">
        <v>0.49009544120586201</v>
      </c>
      <c r="J2318">
        <v>0.57673762647753801</v>
      </c>
      <c r="K2318">
        <v>0.62405365975199001</v>
      </c>
      <c r="L2318">
        <v>897.504099074436</v>
      </c>
      <c r="M2318">
        <v>17.5646758745516</v>
      </c>
      <c r="O2318">
        <v>50.448589911649599</v>
      </c>
      <c r="P2318">
        <v>-3.9677173719448899E-2</v>
      </c>
      <c r="Q2318">
        <v>0.54418773591534197</v>
      </c>
      <c r="R2318">
        <v>0.92958425087694097</v>
      </c>
      <c r="S2318" t="s">
        <v>5947</v>
      </c>
      <c r="T2318" t="s">
        <v>7256</v>
      </c>
      <c r="U2318" t="s">
        <v>7256</v>
      </c>
      <c r="V2318" t="s">
        <v>7256</v>
      </c>
      <c r="W2318">
        <v>5</v>
      </c>
      <c r="X2318" t="s">
        <v>9574</v>
      </c>
      <c r="Y2318">
        <v>0.72080844923366116</v>
      </c>
      <c r="Z2318" t="str">
        <f>HYPERLINK("Melting_Curves/meltCurve_sp_Q96ST2_2_IWS1_HUMAN_.pdf", "Melting_Curves/meltCurve_sp_Q96ST2_2_IWS1_HUMAN_.pdf")</f>
        <v>Melting_Curves/meltCurve_sp_Q96ST2_2_IWS1_HUMAN_.pdf</v>
      </c>
      <c r="AA2318" t="s">
        <v>13169</v>
      </c>
      <c r="AB2318" t="s">
        <v>16743</v>
      </c>
    </row>
    <row r="2319" spans="1:28" x14ac:dyDescent="0.25">
      <c r="A2319" t="s">
        <v>2323</v>
      </c>
      <c r="B2319">
        <v>0.98018197421672304</v>
      </c>
      <c r="C2319">
        <v>0.95720104946150597</v>
      </c>
      <c r="D2319">
        <v>0.81790673761188104</v>
      </c>
      <c r="E2319">
        <v>0.77620785404020298</v>
      </c>
      <c r="F2319">
        <v>0.58656633605186104</v>
      </c>
      <c r="G2319">
        <v>0.38884369945348901</v>
      </c>
      <c r="H2319">
        <v>0.35182931176032101</v>
      </c>
      <c r="I2319">
        <v>0.33140329582626898</v>
      </c>
      <c r="J2319">
        <v>0.68808387809018801</v>
      </c>
      <c r="K2319">
        <v>0.520740319897953</v>
      </c>
      <c r="L2319">
        <v>934.98738352497105</v>
      </c>
      <c r="M2319">
        <v>18.929029937606099</v>
      </c>
      <c r="N2319">
        <v>56.446453646317202</v>
      </c>
      <c r="O2319">
        <v>48.8529881626107</v>
      </c>
      <c r="P2319">
        <v>-5.2986636623325097E-2</v>
      </c>
      <c r="Q2319">
        <v>0.45301984505818799</v>
      </c>
      <c r="R2319">
        <v>0.78889825388082102</v>
      </c>
      <c r="S2319" t="s">
        <v>5948</v>
      </c>
      <c r="T2319" t="s">
        <v>7256</v>
      </c>
      <c r="U2319" t="s">
        <v>7256</v>
      </c>
      <c r="V2319" t="s">
        <v>7256</v>
      </c>
      <c r="W2319">
        <v>2</v>
      </c>
      <c r="X2319" t="s">
        <v>9575</v>
      </c>
      <c r="Y2319">
        <v>0.63282638765739441</v>
      </c>
      <c r="Z2319" t="str">
        <f>HYPERLINK("Melting_Curves/meltCurve_sp_Q96ST3_SIN3A_HUMAN_.pdf", "Melting_Curves/meltCurve_sp_Q96ST3_SIN3A_HUMAN_.pdf")</f>
        <v>Melting_Curves/meltCurve_sp_Q96ST3_SIN3A_HUMAN_.pdf</v>
      </c>
      <c r="AA2319" t="s">
        <v>13170</v>
      </c>
      <c r="AB2319" t="s">
        <v>16744</v>
      </c>
    </row>
    <row r="2320" spans="1:28" x14ac:dyDescent="0.25">
      <c r="A2320" t="s">
        <v>2324</v>
      </c>
      <c r="B2320">
        <v>0.98018197421672304</v>
      </c>
      <c r="C2320">
        <v>0.95804602818346896</v>
      </c>
      <c r="D2320">
        <v>0.820933994582003</v>
      </c>
      <c r="E2320">
        <v>0.50812718438484195</v>
      </c>
      <c r="F2320">
        <v>0.26214342946998298</v>
      </c>
      <c r="G2320">
        <v>0.13175661426715901</v>
      </c>
      <c r="H2320">
        <v>8.7189046916778701E-2</v>
      </c>
      <c r="I2320">
        <v>7.5155402413134301E-2</v>
      </c>
      <c r="J2320">
        <v>6.09208599008507E-2</v>
      </c>
      <c r="K2320">
        <v>4.8617587991437901E-2</v>
      </c>
      <c r="L2320">
        <v>936.17866550981103</v>
      </c>
      <c r="M2320">
        <v>18.8516716930142</v>
      </c>
      <c r="N2320">
        <v>49.962484511486799</v>
      </c>
      <c r="O2320">
        <v>49.111564791972398</v>
      </c>
      <c r="P2320">
        <v>-9.0795904401060695E-2</v>
      </c>
      <c r="Q2320">
        <v>5.3888539999437199E-2</v>
      </c>
      <c r="R2320">
        <v>0.99954039931860295</v>
      </c>
      <c r="S2320" t="s">
        <v>5949</v>
      </c>
      <c r="T2320" t="s">
        <v>7256</v>
      </c>
      <c r="U2320" t="s">
        <v>7256</v>
      </c>
      <c r="V2320" t="s">
        <v>7256</v>
      </c>
      <c r="W2320">
        <v>8</v>
      </c>
      <c r="X2320" t="s">
        <v>9576</v>
      </c>
      <c r="Y2320">
        <v>0.37336184411719392</v>
      </c>
      <c r="Z2320" t="str">
        <f>HYPERLINK("Melting_Curves/meltCurve_sp_Q96SU4_7_OSBL9_HUMAN_.pdf", "Melting_Curves/meltCurve_sp_Q96SU4_7_OSBL9_HUMAN_.pdf")</f>
        <v>Melting_Curves/meltCurve_sp_Q96SU4_7_OSBL9_HUMAN_.pdf</v>
      </c>
      <c r="AA2320" t="s">
        <v>13171</v>
      </c>
      <c r="AB2320" t="s">
        <v>16745</v>
      </c>
    </row>
    <row r="2321" spans="1:28" x14ac:dyDescent="0.25">
      <c r="A2321" t="s">
        <v>2325</v>
      </c>
      <c r="B2321">
        <v>0.98018197421672304</v>
      </c>
      <c r="C2321">
        <v>1.00902078650397</v>
      </c>
      <c r="D2321">
        <v>0.98849155490776397</v>
      </c>
      <c r="E2321">
        <v>0.83895442198902104</v>
      </c>
      <c r="F2321">
        <v>0.89285189479278204</v>
      </c>
      <c r="G2321">
        <v>0.69637661907357995</v>
      </c>
      <c r="H2321">
        <v>0.44692431931044002</v>
      </c>
      <c r="I2321">
        <v>0.31263483651506901</v>
      </c>
      <c r="J2321">
        <v>0.176232034647991</v>
      </c>
      <c r="K2321">
        <v>8.5996000638448103E-2</v>
      </c>
      <c r="L2321">
        <v>842.48703787735997</v>
      </c>
      <c r="M2321">
        <v>14.032008149914599</v>
      </c>
      <c r="N2321">
        <v>60.040375631045002</v>
      </c>
      <c r="O2321">
        <v>58.860399932314003</v>
      </c>
      <c r="P2321">
        <v>-5.9606497659725997E-2</v>
      </c>
      <c r="Q2321">
        <v>0</v>
      </c>
      <c r="R2321">
        <v>0.98770064395901003</v>
      </c>
      <c r="S2321" t="s">
        <v>5950</v>
      </c>
      <c r="T2321" t="s">
        <v>7256</v>
      </c>
      <c r="U2321" t="s">
        <v>7256</v>
      </c>
      <c r="V2321" t="s">
        <v>7256</v>
      </c>
      <c r="W2321">
        <v>4</v>
      </c>
      <c r="X2321" t="s">
        <v>9577</v>
      </c>
      <c r="Y2321">
        <v>0.67370862923013397</v>
      </c>
      <c r="Z2321" t="str">
        <f>HYPERLINK("Melting_Curves/meltCurve_sp_Q96SZ5_AEDO_HUMAN_.pdf", "Melting_Curves/meltCurve_sp_Q96SZ5_AEDO_HUMAN_.pdf")</f>
        <v>Melting_Curves/meltCurve_sp_Q96SZ5_AEDO_HUMAN_.pdf</v>
      </c>
      <c r="AA2321" t="s">
        <v>13172</v>
      </c>
      <c r="AB2321" t="s">
        <v>16746</v>
      </c>
    </row>
    <row r="2322" spans="1:28" x14ac:dyDescent="0.25">
      <c r="A2322" t="s">
        <v>2326</v>
      </c>
      <c r="B2322">
        <v>0.98018197421672304</v>
      </c>
      <c r="C2322">
        <v>0.99596981460794498</v>
      </c>
      <c r="D2322">
        <v>0.81901306008882602</v>
      </c>
      <c r="E2322">
        <v>0.82149343212438097</v>
      </c>
      <c r="F2322">
        <v>0.73901174532364899</v>
      </c>
      <c r="G2322">
        <v>0.59510745872734805</v>
      </c>
      <c r="H2322">
        <v>0.60308188814539998</v>
      </c>
      <c r="I2322">
        <v>0.569059061594962</v>
      </c>
      <c r="J2322">
        <v>0.69793520474423598</v>
      </c>
      <c r="K2322">
        <v>0.63024680412834</v>
      </c>
      <c r="L2322">
        <v>704.58843162095002</v>
      </c>
      <c r="M2322">
        <v>14.400794462589401</v>
      </c>
      <c r="O2322">
        <v>48.012595532747397</v>
      </c>
      <c r="P2322">
        <v>-2.9279271097021799E-2</v>
      </c>
      <c r="Q2322">
        <v>0.60957501766574695</v>
      </c>
      <c r="R2322">
        <v>0.89177414237459796</v>
      </c>
      <c r="S2322" t="s">
        <v>5951</v>
      </c>
      <c r="T2322" t="s">
        <v>7256</v>
      </c>
      <c r="U2322" t="s">
        <v>7256</v>
      </c>
      <c r="V2322" t="s">
        <v>7256</v>
      </c>
      <c r="W2322">
        <v>1</v>
      </c>
      <c r="X2322" t="s">
        <v>9578</v>
      </c>
      <c r="Y2322">
        <v>0.7361818708385538</v>
      </c>
      <c r="Z2322" t="str">
        <f>HYPERLINK("Melting_Curves/meltCurve_sp_Q96T37_2_RBM15_HUMAN_.pdf", "Melting_Curves/meltCurve_sp_Q96T37_2_RBM15_HUMAN_.pdf")</f>
        <v>Melting_Curves/meltCurve_sp_Q96T37_2_RBM15_HUMAN_.pdf</v>
      </c>
      <c r="AA2322" t="s">
        <v>13173</v>
      </c>
      <c r="AB2322" t="s">
        <v>16747</v>
      </c>
    </row>
    <row r="2323" spans="1:28" x14ac:dyDescent="0.25">
      <c r="A2323" t="s">
        <v>2327</v>
      </c>
      <c r="B2323">
        <v>0.98018197421672304</v>
      </c>
      <c r="C2323">
        <v>0.95338671644453399</v>
      </c>
      <c r="D2323">
        <v>0.87181589570245699</v>
      </c>
      <c r="E2323">
        <v>0.68898033953053295</v>
      </c>
      <c r="F2323">
        <v>0.57225578564664703</v>
      </c>
      <c r="G2323">
        <v>0.33938142117419601</v>
      </c>
      <c r="H2323">
        <v>0.23325616526713699</v>
      </c>
      <c r="I2323">
        <v>0.174256577413958</v>
      </c>
      <c r="J2323">
        <v>0.24639337607022799</v>
      </c>
      <c r="K2323">
        <v>0.193460232119677</v>
      </c>
      <c r="L2323">
        <v>728.29526947329396</v>
      </c>
      <c r="M2323">
        <v>13.9803958242177</v>
      </c>
      <c r="N2323">
        <v>53.5809706713286</v>
      </c>
      <c r="O2323">
        <v>51.062903733519398</v>
      </c>
      <c r="P2323">
        <v>-5.7449500098214597E-2</v>
      </c>
      <c r="Q2323">
        <v>0.16078255464858901</v>
      </c>
      <c r="R2323">
        <v>0.99223335095785203</v>
      </c>
      <c r="S2323" t="s">
        <v>5952</v>
      </c>
      <c r="T2323" t="s">
        <v>7256</v>
      </c>
      <c r="U2323" t="s">
        <v>7256</v>
      </c>
      <c r="V2323" t="s">
        <v>7256</v>
      </c>
      <c r="W2323">
        <v>11</v>
      </c>
      <c r="X2323" t="s">
        <v>9579</v>
      </c>
      <c r="Y2323">
        <v>0.51985057313537242</v>
      </c>
      <c r="Z2323" t="str">
        <f>HYPERLINK("Melting_Curves/meltCurve_sp_Q96T51_RUFY1_HUMAN_.pdf", "Melting_Curves/meltCurve_sp_Q96T51_RUFY1_HUMAN_.pdf")</f>
        <v>Melting_Curves/meltCurve_sp_Q96T51_RUFY1_HUMAN_.pdf</v>
      </c>
      <c r="AA2323" t="s">
        <v>13174</v>
      </c>
      <c r="AB2323" t="s">
        <v>16748</v>
      </c>
    </row>
    <row r="2324" spans="1:28" x14ac:dyDescent="0.25">
      <c r="A2324" t="s">
        <v>2328</v>
      </c>
      <c r="B2324">
        <v>0.98018197421672304</v>
      </c>
      <c r="C2324">
        <v>0.978265710052169</v>
      </c>
      <c r="D2324">
        <v>0.83188283220977999</v>
      </c>
      <c r="E2324">
        <v>0.72187143104016105</v>
      </c>
      <c r="F2324">
        <v>0.50796745478640704</v>
      </c>
      <c r="G2324">
        <v>0.28253215344965399</v>
      </c>
      <c r="H2324">
        <v>0.195986780877411</v>
      </c>
      <c r="I2324">
        <v>0.10710213254397299</v>
      </c>
      <c r="J2324">
        <v>2.2929981103546999E-2</v>
      </c>
      <c r="K2324">
        <v>0.136407015746944</v>
      </c>
      <c r="L2324">
        <v>705.96810647722305</v>
      </c>
      <c r="M2324">
        <v>13.3724045641213</v>
      </c>
      <c r="N2324">
        <v>53.095890483953497</v>
      </c>
      <c r="O2324">
        <v>51.654215154489002</v>
      </c>
      <c r="P2324">
        <v>-6.2353109866208199E-2</v>
      </c>
      <c r="Q2324">
        <v>3.6735306658504198E-2</v>
      </c>
      <c r="R2324">
        <v>0.98916738235028501</v>
      </c>
      <c r="S2324" t="s">
        <v>5953</v>
      </c>
      <c r="T2324" t="s">
        <v>7256</v>
      </c>
      <c r="U2324" t="s">
        <v>7256</v>
      </c>
      <c r="V2324" t="s">
        <v>7256</v>
      </c>
      <c r="W2324">
        <v>2</v>
      </c>
      <c r="X2324" t="s">
        <v>9580</v>
      </c>
      <c r="Y2324">
        <v>0.47192098097277352</v>
      </c>
      <c r="Z2324" t="str">
        <f>HYPERLINK("Melting_Curves/meltCurve_sp_Q96T58_MINT_HUMAN_.pdf", "Melting_Curves/meltCurve_sp_Q96T58_MINT_HUMAN_.pdf")</f>
        <v>Melting_Curves/meltCurve_sp_Q96T58_MINT_HUMAN_.pdf</v>
      </c>
      <c r="AA2324" t="s">
        <v>13175</v>
      </c>
      <c r="AB2324" t="s">
        <v>16749</v>
      </c>
    </row>
    <row r="2325" spans="1:28" x14ac:dyDescent="0.25">
      <c r="A2325" t="s">
        <v>2329</v>
      </c>
      <c r="B2325">
        <v>0.98018197421672304</v>
      </c>
      <c r="C2325">
        <v>1.0990540345703099</v>
      </c>
      <c r="D2325">
        <v>0.79334041144497003</v>
      </c>
      <c r="E2325">
        <v>0.43463134447788698</v>
      </c>
      <c r="F2325">
        <v>0.293221675708288</v>
      </c>
      <c r="G2325">
        <v>0.15203391217491599</v>
      </c>
      <c r="H2325">
        <v>6.02769852585937E-2</v>
      </c>
      <c r="I2325">
        <v>9.7946741205492405E-2</v>
      </c>
      <c r="J2325">
        <v>4.4315450446728702E-2</v>
      </c>
      <c r="K2325">
        <v>0.132317396780959</v>
      </c>
      <c r="L2325">
        <v>1060.5235834336399</v>
      </c>
      <c r="M2325">
        <v>21.5733550849606</v>
      </c>
      <c r="N2325">
        <v>49.6034229411231</v>
      </c>
      <c r="O2325">
        <v>48.7424075741488</v>
      </c>
      <c r="P2325">
        <v>-0.10092777989329101</v>
      </c>
      <c r="Q2325">
        <v>8.7885156498422295E-2</v>
      </c>
      <c r="R2325">
        <v>0.979855357680254</v>
      </c>
      <c r="S2325" t="s">
        <v>5954</v>
      </c>
      <c r="T2325" t="s">
        <v>7256</v>
      </c>
      <c r="U2325" t="s">
        <v>7256</v>
      </c>
      <c r="V2325" t="s">
        <v>7256</v>
      </c>
      <c r="W2325">
        <v>2</v>
      </c>
      <c r="X2325" t="s">
        <v>9581</v>
      </c>
      <c r="Y2325">
        <v>0.37729387786073509</v>
      </c>
      <c r="Z2325" t="str">
        <f>HYPERLINK("Melting_Curves/meltCurve_sp_Q96T76_MMS19_HUMAN_.pdf", "Melting_Curves/meltCurve_sp_Q96T76_MMS19_HUMAN_.pdf")</f>
        <v>Melting_Curves/meltCurve_sp_Q96T76_MMS19_HUMAN_.pdf</v>
      </c>
      <c r="AA2325" t="s">
        <v>13176</v>
      </c>
      <c r="AB2325" t="s">
        <v>16750</v>
      </c>
    </row>
    <row r="2326" spans="1:28" x14ac:dyDescent="0.25">
      <c r="A2326" t="s">
        <v>2330</v>
      </c>
      <c r="B2326">
        <v>0.98018197421672304</v>
      </c>
      <c r="C2326">
        <v>0.86852695449298001</v>
      </c>
      <c r="D2326">
        <v>0.82485818264894195</v>
      </c>
      <c r="E2326">
        <v>0.581494482339736</v>
      </c>
      <c r="F2326">
        <v>0.42632663202358401</v>
      </c>
      <c r="G2326">
        <v>0.30772307705447699</v>
      </c>
      <c r="H2326">
        <v>0.296793935861492</v>
      </c>
      <c r="I2326">
        <v>0.29780996410746402</v>
      </c>
      <c r="J2326">
        <v>0.24976235433898</v>
      </c>
      <c r="K2326">
        <v>0.30778033082730699</v>
      </c>
      <c r="L2326">
        <v>756.39274776471098</v>
      </c>
      <c r="M2326">
        <v>15.480885674325499</v>
      </c>
      <c r="N2326">
        <v>51.366405128713403</v>
      </c>
      <c r="O2326">
        <v>48.066274917719902</v>
      </c>
      <c r="P2326">
        <v>-5.91783325182344E-2</v>
      </c>
      <c r="Q2326">
        <v>0.26509939166739799</v>
      </c>
      <c r="R2326">
        <v>0.98984520016258803</v>
      </c>
      <c r="S2326" t="s">
        <v>5955</v>
      </c>
      <c r="T2326" t="s">
        <v>7256</v>
      </c>
      <c r="U2326" t="s">
        <v>7256</v>
      </c>
      <c r="V2326" t="s">
        <v>7256</v>
      </c>
      <c r="W2326">
        <v>6</v>
      </c>
      <c r="X2326" t="s">
        <v>9582</v>
      </c>
      <c r="Y2326">
        <v>0.49930373157210772</v>
      </c>
      <c r="Z2326" t="str">
        <f>HYPERLINK("Melting_Curves/meltCurve_sp_Q99417_MYCBP_HUMAN_.pdf", "Melting_Curves/meltCurve_sp_Q99417_MYCBP_HUMAN_.pdf")</f>
        <v>Melting_Curves/meltCurve_sp_Q99417_MYCBP_HUMAN_.pdf</v>
      </c>
      <c r="AA2326" t="s">
        <v>13177</v>
      </c>
      <c r="AB2326" t="s">
        <v>16751</v>
      </c>
    </row>
    <row r="2327" spans="1:28" x14ac:dyDescent="0.25">
      <c r="A2327" t="s">
        <v>2331</v>
      </c>
      <c r="B2327">
        <v>0.98018197421672304</v>
      </c>
      <c r="C2327">
        <v>0.92840815396483201</v>
      </c>
      <c r="D2327">
        <v>0.86317940807115001</v>
      </c>
      <c r="E2327">
        <v>0.712980186103219</v>
      </c>
      <c r="F2327">
        <v>0.54248316693611898</v>
      </c>
      <c r="G2327">
        <v>0.358012138542398</v>
      </c>
      <c r="H2327">
        <v>0.212307497144678</v>
      </c>
      <c r="I2327">
        <v>0.151750400390056</v>
      </c>
      <c r="J2327">
        <v>0.20378766545229501</v>
      </c>
      <c r="K2327">
        <v>8.0638716937445801E-2</v>
      </c>
      <c r="L2327">
        <v>617.18680420729595</v>
      </c>
      <c r="M2327">
        <v>11.5890879655015</v>
      </c>
      <c r="N2327">
        <v>53.8115415367105</v>
      </c>
      <c r="O2327">
        <v>51.744249309893704</v>
      </c>
      <c r="P2327">
        <v>-5.2848965035179898E-2</v>
      </c>
      <c r="Q2327">
        <v>5.6396553822726098E-2</v>
      </c>
      <c r="R2327">
        <v>0.99353480358197999</v>
      </c>
      <c r="S2327" t="s">
        <v>5956</v>
      </c>
      <c r="T2327" t="s">
        <v>7256</v>
      </c>
      <c r="U2327" t="s">
        <v>7256</v>
      </c>
      <c r="V2327" t="s">
        <v>7256</v>
      </c>
      <c r="W2327">
        <v>31</v>
      </c>
      <c r="X2327" t="s">
        <v>9583</v>
      </c>
      <c r="Y2327">
        <v>0.50063852970180533</v>
      </c>
      <c r="Z2327" t="str">
        <f>HYPERLINK("Melting_Curves/meltCurve_sp_Q99424_ACOX2_HUMAN_.pdf", "Melting_Curves/meltCurve_sp_Q99424_ACOX2_HUMAN_.pdf")</f>
        <v>Melting_Curves/meltCurve_sp_Q99424_ACOX2_HUMAN_.pdf</v>
      </c>
      <c r="AA2327" t="s">
        <v>13178</v>
      </c>
      <c r="AB2327" t="s">
        <v>16752</v>
      </c>
    </row>
    <row r="2328" spans="1:28" x14ac:dyDescent="0.25">
      <c r="A2328" t="s">
        <v>2332</v>
      </c>
      <c r="B2328">
        <v>0.98018197421672304</v>
      </c>
      <c r="C2328">
        <v>0.96797167615014501</v>
      </c>
      <c r="D2328">
        <v>0.93782619644062304</v>
      </c>
      <c r="E2328">
        <v>0.82785810489600897</v>
      </c>
      <c r="F2328">
        <v>0.74937646289802495</v>
      </c>
      <c r="G2328">
        <v>0.34090668735419699</v>
      </c>
      <c r="H2328">
        <v>0.140608657032152</v>
      </c>
      <c r="I2328">
        <v>0.11396659062711301</v>
      </c>
      <c r="J2328">
        <v>0.115277214591337</v>
      </c>
      <c r="K2328">
        <v>0.111234337519551</v>
      </c>
      <c r="L2328">
        <v>1162.06378606614</v>
      </c>
      <c r="M2328">
        <v>21.248429594839202</v>
      </c>
      <c r="N2328">
        <v>55.1535834531254</v>
      </c>
      <c r="O2328">
        <v>54.211914100286101</v>
      </c>
      <c r="P2328">
        <v>-8.9967276571484095E-2</v>
      </c>
      <c r="Q2328">
        <v>8.1876003524175706E-2</v>
      </c>
      <c r="R2328">
        <v>0.99101486301087705</v>
      </c>
      <c r="S2328" t="s">
        <v>5957</v>
      </c>
      <c r="T2328" t="s">
        <v>7256</v>
      </c>
      <c r="U2328" t="s">
        <v>7256</v>
      </c>
      <c r="V2328" t="s">
        <v>7256</v>
      </c>
      <c r="W2328">
        <v>8</v>
      </c>
      <c r="X2328" t="s">
        <v>9584</v>
      </c>
      <c r="Y2328">
        <v>0.54263094084157037</v>
      </c>
      <c r="Z2328" t="str">
        <f>HYPERLINK("Melting_Curves/meltCurve_sp_Q99426_TBCB_HUMAN_.pdf", "Melting_Curves/meltCurve_sp_Q99426_TBCB_HUMAN_.pdf")</f>
        <v>Melting_Curves/meltCurve_sp_Q99426_TBCB_HUMAN_.pdf</v>
      </c>
      <c r="AA2328" t="s">
        <v>13179</v>
      </c>
      <c r="AB2328" t="s">
        <v>16753</v>
      </c>
    </row>
    <row r="2329" spans="1:28" x14ac:dyDescent="0.25">
      <c r="A2329" t="s">
        <v>2333</v>
      </c>
      <c r="B2329">
        <v>0.98018197421672304</v>
      </c>
      <c r="C2329">
        <v>0.94437078292652399</v>
      </c>
      <c r="D2329">
        <v>0.91381335178287904</v>
      </c>
      <c r="E2329">
        <v>0.85558753871030202</v>
      </c>
      <c r="F2329">
        <v>0.79027325128125003</v>
      </c>
      <c r="G2329">
        <v>0.68296779081589098</v>
      </c>
      <c r="H2329">
        <v>0.51644179454974903</v>
      </c>
      <c r="I2329">
        <v>0.53939750943056397</v>
      </c>
      <c r="J2329">
        <v>0.45310698446673697</v>
      </c>
      <c r="K2329">
        <v>0.34212972253287999</v>
      </c>
      <c r="L2329">
        <v>396.20428482694302</v>
      </c>
      <c r="M2329">
        <v>6.2032316372205596</v>
      </c>
      <c r="N2329">
        <v>63.870625499598198</v>
      </c>
      <c r="O2329">
        <v>58.192121203419603</v>
      </c>
      <c r="P2329">
        <v>-2.6726404402726799E-2</v>
      </c>
      <c r="Q2329">
        <v>0</v>
      </c>
      <c r="R2329">
        <v>0.986030026345179</v>
      </c>
      <c r="S2329" t="s">
        <v>5958</v>
      </c>
      <c r="T2329" t="s">
        <v>7256</v>
      </c>
      <c r="U2329" t="s">
        <v>7256</v>
      </c>
      <c r="V2329" t="s">
        <v>7256</v>
      </c>
      <c r="W2329">
        <v>5</v>
      </c>
      <c r="X2329" t="s">
        <v>9585</v>
      </c>
      <c r="Y2329">
        <v>0.70987625216424655</v>
      </c>
      <c r="Z2329" t="str">
        <f>HYPERLINK("Melting_Curves/meltCurve_sp_Q99436_PSB7_HUMAN_.pdf", "Melting_Curves/meltCurve_sp_Q99436_PSB7_HUMAN_.pdf")</f>
        <v>Melting_Curves/meltCurve_sp_Q99436_PSB7_HUMAN_.pdf</v>
      </c>
      <c r="AA2329" t="s">
        <v>13180</v>
      </c>
      <c r="AB2329" t="s">
        <v>16754</v>
      </c>
    </row>
    <row r="2330" spans="1:28" x14ac:dyDescent="0.25">
      <c r="A2330" t="s">
        <v>2334</v>
      </c>
      <c r="B2330">
        <v>0.98018197421672304</v>
      </c>
      <c r="C2330">
        <v>0.88128913272030096</v>
      </c>
      <c r="D2330">
        <v>0.88241049696989204</v>
      </c>
      <c r="E2330">
        <v>0.53344663626105404</v>
      </c>
      <c r="F2330">
        <v>0.18817747821927999</v>
      </c>
      <c r="G2330">
        <v>0.101279082406887</v>
      </c>
      <c r="H2330">
        <v>6.8059611389899993E-2</v>
      </c>
      <c r="I2330">
        <v>4.9632410517450098E-2</v>
      </c>
      <c r="J2330">
        <v>8.5995982056579406E-2</v>
      </c>
      <c r="K2330">
        <v>4.19093836554192E-2</v>
      </c>
      <c r="L2330">
        <v>1180.97947583563</v>
      </c>
      <c r="M2330">
        <v>23.734009639876099</v>
      </c>
      <c r="N2330">
        <v>49.992985380170602</v>
      </c>
      <c r="O2330">
        <v>49.40974248621</v>
      </c>
      <c r="P2330">
        <v>-0.113775614478877</v>
      </c>
      <c r="Q2330">
        <v>5.2577979716573103E-2</v>
      </c>
      <c r="R2330">
        <v>0.98992043972883303</v>
      </c>
      <c r="S2330" t="s">
        <v>5959</v>
      </c>
      <c r="T2330" t="s">
        <v>7256</v>
      </c>
      <c r="U2330" t="s">
        <v>7256</v>
      </c>
      <c r="V2330" t="s">
        <v>7256</v>
      </c>
      <c r="W2330">
        <v>20</v>
      </c>
      <c r="X2330" t="s">
        <v>9586</v>
      </c>
      <c r="Y2330">
        <v>0.37015501570288162</v>
      </c>
      <c r="Z2330" t="str">
        <f>HYPERLINK("Melting_Curves/meltCurve_sp_Q99447_3_PCY2_HUMAN_.pdf", "Melting_Curves/meltCurve_sp_Q99447_3_PCY2_HUMAN_.pdf")</f>
        <v>Melting_Curves/meltCurve_sp_Q99447_3_PCY2_HUMAN_.pdf</v>
      </c>
      <c r="AA2330" t="s">
        <v>13181</v>
      </c>
      <c r="AB2330" t="s">
        <v>16755</v>
      </c>
    </row>
    <row r="2331" spans="1:28" x14ac:dyDescent="0.25">
      <c r="A2331" t="s">
        <v>2335</v>
      </c>
      <c r="B2331">
        <v>0.98018197421672304</v>
      </c>
      <c r="C2331">
        <v>0.91397264647652099</v>
      </c>
      <c r="D2331">
        <v>0.83835825604438796</v>
      </c>
      <c r="E2331">
        <v>0.57173211602958496</v>
      </c>
      <c r="F2331">
        <v>0.42121127157809402</v>
      </c>
      <c r="G2331">
        <v>0.259556486089348</v>
      </c>
      <c r="H2331">
        <v>0.240544197444124</v>
      </c>
      <c r="I2331">
        <v>0.21729513870388301</v>
      </c>
      <c r="J2331">
        <v>0.33024338692834598</v>
      </c>
      <c r="K2331">
        <v>0.28563889916332302</v>
      </c>
      <c r="L2331">
        <v>912.73334137678103</v>
      </c>
      <c r="M2331">
        <v>18.602635243771498</v>
      </c>
      <c r="N2331">
        <v>51.002797416226798</v>
      </c>
      <c r="O2331">
        <v>48.508295217856599</v>
      </c>
      <c r="P2331">
        <v>-7.1581117967866106E-2</v>
      </c>
      <c r="Q2331">
        <v>0.25341168361757999</v>
      </c>
      <c r="R2331">
        <v>0.98366546414635803</v>
      </c>
      <c r="S2331" t="s">
        <v>5960</v>
      </c>
      <c r="T2331" t="s">
        <v>7256</v>
      </c>
      <c r="U2331" t="s">
        <v>7256</v>
      </c>
      <c r="V2331" t="s">
        <v>7256</v>
      </c>
      <c r="W2331">
        <v>11</v>
      </c>
      <c r="X2331" t="s">
        <v>9587</v>
      </c>
      <c r="Y2331">
        <v>0.49109377830169088</v>
      </c>
      <c r="Z2331" t="str">
        <f>HYPERLINK("Melting_Curves/meltCurve_sp_Q99459_CDC5L_HUMAN_.pdf", "Melting_Curves/meltCurve_sp_Q99459_CDC5L_HUMAN_.pdf")</f>
        <v>Melting_Curves/meltCurve_sp_Q99459_CDC5L_HUMAN_.pdf</v>
      </c>
      <c r="AA2331" t="s">
        <v>13182</v>
      </c>
      <c r="AB2331" t="s">
        <v>16756</v>
      </c>
    </row>
    <row r="2332" spans="1:28" x14ac:dyDescent="0.25">
      <c r="A2332" t="s">
        <v>2336</v>
      </c>
      <c r="B2332">
        <v>0.98018197421672304</v>
      </c>
      <c r="C2332">
        <v>0.85419509338486099</v>
      </c>
      <c r="D2332">
        <v>0.67246625064237597</v>
      </c>
      <c r="E2332">
        <v>0.33642751421060002</v>
      </c>
      <c r="F2332">
        <v>0.15935497867317699</v>
      </c>
      <c r="G2332">
        <v>9.1105787598090598E-2</v>
      </c>
      <c r="H2332">
        <v>6.1160241392919E-2</v>
      </c>
      <c r="I2332">
        <v>3.8573636103468603E-2</v>
      </c>
      <c r="J2332">
        <v>4.9189666571800898E-2</v>
      </c>
      <c r="K2332">
        <v>2.9628439950687799E-2</v>
      </c>
      <c r="L2332">
        <v>823.93938965108498</v>
      </c>
      <c r="M2332">
        <v>17.290465190912201</v>
      </c>
      <c r="N2332">
        <v>47.8397329379345</v>
      </c>
      <c r="O2332">
        <v>47.029101844865103</v>
      </c>
      <c r="P2332">
        <v>-8.8916674543433202E-2</v>
      </c>
      <c r="Q2332">
        <v>3.26623742132389E-2</v>
      </c>
      <c r="R2332">
        <v>0.99888258677050601</v>
      </c>
      <c r="S2332" t="s">
        <v>5961</v>
      </c>
      <c r="T2332" t="s">
        <v>7256</v>
      </c>
      <c r="U2332" t="s">
        <v>7256</v>
      </c>
      <c r="V2332" t="s">
        <v>7256</v>
      </c>
      <c r="W2332">
        <v>19</v>
      </c>
      <c r="X2332" t="s">
        <v>9588</v>
      </c>
      <c r="Y2332">
        <v>0.29832411577501022</v>
      </c>
      <c r="Z2332" t="str">
        <f>HYPERLINK("Melting_Curves/meltCurve_sp_Q99460_PSMD1_HUMAN_.pdf", "Melting_Curves/meltCurve_sp_Q99460_PSMD1_HUMAN_.pdf")</f>
        <v>Melting_Curves/meltCurve_sp_Q99460_PSMD1_HUMAN_.pdf</v>
      </c>
      <c r="AA2332" t="s">
        <v>13183</v>
      </c>
      <c r="AB2332" t="s">
        <v>16757</v>
      </c>
    </row>
    <row r="2333" spans="1:28" x14ac:dyDescent="0.25">
      <c r="A2333" t="s">
        <v>2337</v>
      </c>
      <c r="B2333">
        <v>0.98018197421672304</v>
      </c>
      <c r="C2333">
        <v>0.95389425672378803</v>
      </c>
      <c r="D2333">
        <v>0.95388493833902099</v>
      </c>
      <c r="E2333">
        <v>0.85299612809607095</v>
      </c>
      <c r="F2333">
        <v>0.750740850488266</v>
      </c>
      <c r="G2333">
        <v>0.59069845857113701</v>
      </c>
      <c r="H2333">
        <v>0.43297855515911199</v>
      </c>
      <c r="I2333">
        <v>0.34458929316432502</v>
      </c>
      <c r="J2333">
        <v>0.33576432413504897</v>
      </c>
      <c r="K2333">
        <v>0.43168589162920801</v>
      </c>
      <c r="L2333">
        <v>830.61068990136096</v>
      </c>
      <c r="M2333">
        <v>15.226439886016401</v>
      </c>
      <c r="N2333">
        <v>58.814415694898798</v>
      </c>
      <c r="O2333">
        <v>53.635590139337403</v>
      </c>
      <c r="P2333">
        <v>-4.7256951668469001E-2</v>
      </c>
      <c r="Q2333">
        <v>0.33420731630911998</v>
      </c>
      <c r="R2333">
        <v>0.98000883439153497</v>
      </c>
      <c r="S2333" t="s">
        <v>5962</v>
      </c>
      <c r="T2333" t="s">
        <v>7256</v>
      </c>
      <c r="U2333" t="s">
        <v>7256</v>
      </c>
      <c r="V2333" t="s">
        <v>7256</v>
      </c>
      <c r="W2333">
        <v>7</v>
      </c>
      <c r="X2333" t="s">
        <v>9589</v>
      </c>
      <c r="Y2333">
        <v>0.67013155524967805</v>
      </c>
      <c r="Z2333" t="str">
        <f>HYPERLINK("Melting_Curves/meltCurve_sp_Q99471_PFD5_HUMAN_.pdf", "Melting_Curves/meltCurve_sp_Q99471_PFD5_HUMAN_.pdf")</f>
        <v>Melting_Curves/meltCurve_sp_Q99471_PFD5_HUMAN_.pdf</v>
      </c>
      <c r="AA2333" t="s">
        <v>13184</v>
      </c>
      <c r="AB2333" t="s">
        <v>16758</v>
      </c>
    </row>
    <row r="2334" spans="1:28" x14ac:dyDescent="0.25">
      <c r="A2334" t="s">
        <v>2338</v>
      </c>
      <c r="B2334">
        <v>0.98018197421672304</v>
      </c>
      <c r="C2334">
        <v>0.92160047396736999</v>
      </c>
      <c r="D2334">
        <v>0.81269149088847303</v>
      </c>
      <c r="E2334">
        <v>0.60445382145975501</v>
      </c>
      <c r="F2334">
        <v>0.37102498525990801</v>
      </c>
      <c r="G2334">
        <v>0.19874999432417201</v>
      </c>
      <c r="H2334">
        <v>0.101226227714742</v>
      </c>
      <c r="I2334">
        <v>7.5591278388503894E-2</v>
      </c>
      <c r="J2334">
        <v>9.3621809293981006E-2</v>
      </c>
      <c r="K2334">
        <v>6.4432661465806507E-2</v>
      </c>
      <c r="L2334">
        <v>739.66371174848098</v>
      </c>
      <c r="M2334">
        <v>14.5635683561969</v>
      </c>
      <c r="N2334">
        <v>51.095779469324597</v>
      </c>
      <c r="O2334">
        <v>49.859853609985599</v>
      </c>
      <c r="P2334">
        <v>-6.9970003111602702E-2</v>
      </c>
      <c r="Q2334">
        <v>4.1911044104257202E-2</v>
      </c>
      <c r="R2334">
        <v>0.99801434008444101</v>
      </c>
      <c r="S2334" t="s">
        <v>5963</v>
      </c>
      <c r="T2334" t="s">
        <v>7256</v>
      </c>
      <c r="U2334" t="s">
        <v>7256</v>
      </c>
      <c r="V2334" t="s">
        <v>7256</v>
      </c>
      <c r="W2334">
        <v>7</v>
      </c>
      <c r="X2334" t="s">
        <v>9590</v>
      </c>
      <c r="Y2334">
        <v>0.40986773084761641</v>
      </c>
      <c r="Z2334" t="str">
        <f>HYPERLINK("Melting_Curves/meltCurve_sp_Q99487_PAFA2_HUMAN_.pdf", "Melting_Curves/meltCurve_sp_Q99487_PAFA2_HUMAN_.pdf")</f>
        <v>Melting_Curves/meltCurve_sp_Q99487_PAFA2_HUMAN_.pdf</v>
      </c>
      <c r="AA2334" t="s">
        <v>13185</v>
      </c>
      <c r="AB2334" t="s">
        <v>16759</v>
      </c>
    </row>
    <row r="2335" spans="1:28" x14ac:dyDescent="0.25">
      <c r="A2335" t="s">
        <v>2339</v>
      </c>
      <c r="B2335">
        <v>0.98018197421672304</v>
      </c>
      <c r="C2335">
        <v>0.99166656256357399</v>
      </c>
      <c r="D2335">
        <v>0.92721962108271105</v>
      </c>
      <c r="E2335">
        <v>0.55945354658683899</v>
      </c>
      <c r="F2335">
        <v>0.24986023624166501</v>
      </c>
      <c r="G2335">
        <v>0.15916417257905199</v>
      </c>
      <c r="H2335">
        <v>0.110967895625716</v>
      </c>
      <c r="I2335">
        <v>7.9102370273686703E-2</v>
      </c>
      <c r="J2335">
        <v>7.6525937122474103E-2</v>
      </c>
      <c r="K2335">
        <v>7.4940176411052398E-2</v>
      </c>
      <c r="L2335">
        <v>1314.9901785087</v>
      </c>
      <c r="M2335">
        <v>26.237178673551199</v>
      </c>
      <c r="N2335">
        <v>50.490581710048701</v>
      </c>
      <c r="O2335">
        <v>49.830904312024799</v>
      </c>
      <c r="P2335">
        <v>-0.120085511407117</v>
      </c>
      <c r="Q2335">
        <v>8.7721505636930597E-2</v>
      </c>
      <c r="R2335">
        <v>0.99829370265591699</v>
      </c>
      <c r="S2335" t="s">
        <v>5964</v>
      </c>
      <c r="T2335" t="s">
        <v>7256</v>
      </c>
      <c r="U2335" t="s">
        <v>7256</v>
      </c>
      <c r="V2335" t="s">
        <v>7256</v>
      </c>
      <c r="W2335">
        <v>2</v>
      </c>
      <c r="X2335" t="s">
        <v>9591</v>
      </c>
      <c r="Y2335">
        <v>0.40285224836358091</v>
      </c>
      <c r="Z2335" t="str">
        <f>HYPERLINK("Melting_Curves/meltCurve_sp_Q99489_OXDD_HUMAN_.pdf", "Melting_Curves/meltCurve_sp_Q99489_OXDD_HUMAN_.pdf")</f>
        <v>Melting_Curves/meltCurve_sp_Q99489_OXDD_HUMAN_.pdf</v>
      </c>
      <c r="AA2335" t="s">
        <v>13186</v>
      </c>
      <c r="AB2335" t="s">
        <v>16760</v>
      </c>
    </row>
    <row r="2336" spans="1:28" x14ac:dyDescent="0.25">
      <c r="A2336" t="s">
        <v>2340</v>
      </c>
      <c r="B2336">
        <v>0.98018197421672304</v>
      </c>
      <c r="C2336">
        <v>0.94206873937923996</v>
      </c>
      <c r="D2336">
        <v>0.98896418049555901</v>
      </c>
      <c r="E2336">
        <v>0.89783223483723296</v>
      </c>
      <c r="F2336">
        <v>0.96370026964364597</v>
      </c>
      <c r="G2336">
        <v>0.89510258097320505</v>
      </c>
      <c r="H2336">
        <v>0.59286269174236805</v>
      </c>
      <c r="I2336">
        <v>0.50479759619116205</v>
      </c>
      <c r="J2336">
        <v>0.41923071778149401</v>
      </c>
      <c r="K2336">
        <v>0.46938499664602001</v>
      </c>
      <c r="L2336">
        <v>1952.13487393794</v>
      </c>
      <c r="M2336">
        <v>32.9140127091677</v>
      </c>
      <c r="N2336">
        <v>63.4619335415154</v>
      </c>
      <c r="O2336">
        <v>59.092496690261399</v>
      </c>
      <c r="P2336">
        <v>-7.7707797022316297E-2</v>
      </c>
      <c r="Q2336">
        <v>0.44194872624834303</v>
      </c>
      <c r="R2336">
        <v>0.96638726109821005</v>
      </c>
      <c r="S2336" t="s">
        <v>5965</v>
      </c>
      <c r="T2336" t="s">
        <v>7256</v>
      </c>
      <c r="U2336" t="s">
        <v>7256</v>
      </c>
      <c r="V2336" t="s">
        <v>7256</v>
      </c>
      <c r="W2336">
        <v>15</v>
      </c>
      <c r="X2336" t="s">
        <v>9592</v>
      </c>
      <c r="Y2336">
        <v>0.80421474823503525</v>
      </c>
      <c r="Z2336" t="str">
        <f>HYPERLINK("Melting_Curves/meltCurve_sp_Q99497_PARK7_HUMAN_.pdf", "Melting_Curves/meltCurve_sp_Q99497_PARK7_HUMAN_.pdf")</f>
        <v>Melting_Curves/meltCurve_sp_Q99497_PARK7_HUMAN_.pdf</v>
      </c>
      <c r="AA2336" t="s">
        <v>13187</v>
      </c>
      <c r="AB2336" t="s">
        <v>16761</v>
      </c>
    </row>
    <row r="2337" spans="1:28" x14ac:dyDescent="0.25">
      <c r="A2337" t="s">
        <v>2341</v>
      </c>
      <c r="B2337">
        <v>0.98018197421672304</v>
      </c>
      <c r="C2337">
        <v>0.93564442098485201</v>
      </c>
      <c r="D2337">
        <v>0.77927061478932702</v>
      </c>
      <c r="E2337">
        <v>0.60077980742322501</v>
      </c>
      <c r="F2337">
        <v>0.393901541429652</v>
      </c>
      <c r="G2337">
        <v>0.258767825806068</v>
      </c>
      <c r="H2337">
        <v>0.145325322418837</v>
      </c>
      <c r="I2337">
        <v>0.10361288735816</v>
      </c>
      <c r="J2337">
        <v>0.13110675306966599</v>
      </c>
      <c r="K2337">
        <v>8.6018342196190894E-2</v>
      </c>
      <c r="L2337">
        <v>661.21165330724705</v>
      </c>
      <c r="M2337">
        <v>13.0273931721959</v>
      </c>
      <c r="N2337">
        <v>51.301930548626402</v>
      </c>
      <c r="O2337">
        <v>49.604179804377303</v>
      </c>
      <c r="P2337">
        <v>-6.1414083254150501E-2</v>
      </c>
      <c r="Q2337">
        <v>6.4782472030065694E-2</v>
      </c>
      <c r="R2337">
        <v>0.99710494012055795</v>
      </c>
      <c r="S2337" t="s">
        <v>5966</v>
      </c>
      <c r="T2337" t="s">
        <v>7256</v>
      </c>
      <c r="U2337" t="s">
        <v>7256</v>
      </c>
      <c r="V2337" t="s">
        <v>7256</v>
      </c>
      <c r="W2337">
        <v>4</v>
      </c>
      <c r="X2337" t="s">
        <v>9593</v>
      </c>
      <c r="Y2337">
        <v>0.42742495682358078</v>
      </c>
      <c r="Z2337" t="str">
        <f>HYPERLINK("Melting_Curves/meltCurve_sp_Q99536_VAT1_HUMAN_.pdf", "Melting_Curves/meltCurve_sp_Q99536_VAT1_HUMAN_.pdf")</f>
        <v>Melting_Curves/meltCurve_sp_Q99536_VAT1_HUMAN_.pdf</v>
      </c>
      <c r="AA2337" t="s">
        <v>13188</v>
      </c>
      <c r="AB2337" t="s">
        <v>16762</v>
      </c>
    </row>
    <row r="2338" spans="1:28" x14ac:dyDescent="0.25">
      <c r="A2338" t="s">
        <v>2342</v>
      </c>
      <c r="B2338">
        <v>0.98018197421672304</v>
      </c>
      <c r="C2338">
        <v>0.93372053082469197</v>
      </c>
      <c r="D2338">
        <v>0.82200617235349605</v>
      </c>
      <c r="E2338">
        <v>0.588591609772389</v>
      </c>
      <c r="F2338">
        <v>0.54031910713227504</v>
      </c>
      <c r="G2338">
        <v>0.39773410499951301</v>
      </c>
      <c r="H2338">
        <v>0.32590878359376102</v>
      </c>
      <c r="I2338">
        <v>0.30232521736102203</v>
      </c>
      <c r="J2338">
        <v>0.42095495481571898</v>
      </c>
      <c r="K2338">
        <v>0.47919059219881699</v>
      </c>
      <c r="L2338">
        <v>844.66300018069501</v>
      </c>
      <c r="M2338">
        <v>17.452380666512401</v>
      </c>
      <c r="N2338">
        <v>52.635799806763302</v>
      </c>
      <c r="O2338">
        <v>47.776130215133001</v>
      </c>
      <c r="P2338">
        <v>-5.6868153027006298E-2</v>
      </c>
      <c r="Q2338">
        <v>0.37732532149801501</v>
      </c>
      <c r="R2338">
        <v>0.95276683760325198</v>
      </c>
      <c r="S2338" t="s">
        <v>5967</v>
      </c>
      <c r="T2338" t="s">
        <v>7256</v>
      </c>
      <c r="U2338" t="s">
        <v>7256</v>
      </c>
      <c r="V2338" t="s">
        <v>7256</v>
      </c>
      <c r="W2338">
        <v>5</v>
      </c>
      <c r="X2338" t="s">
        <v>9594</v>
      </c>
      <c r="Y2338">
        <v>0.56327554569494442</v>
      </c>
      <c r="Z2338" t="str">
        <f>HYPERLINK("Melting_Curves/meltCurve_sp_Q99543_DNJC2_HUMAN_.pdf", "Melting_Curves/meltCurve_sp_Q99543_DNJC2_HUMAN_.pdf")</f>
        <v>Melting_Curves/meltCurve_sp_Q99543_DNJC2_HUMAN_.pdf</v>
      </c>
      <c r="AA2338" t="s">
        <v>13189</v>
      </c>
      <c r="AB2338" t="s">
        <v>16763</v>
      </c>
    </row>
    <row r="2339" spans="1:28" x14ac:dyDescent="0.25">
      <c r="A2339" t="s">
        <v>2343</v>
      </c>
      <c r="B2339">
        <v>0.98018197421672304</v>
      </c>
      <c r="C2339">
        <v>0.87552826627264302</v>
      </c>
      <c r="D2339">
        <v>0.85915909270739599</v>
      </c>
      <c r="E2339">
        <v>0.55665186904446295</v>
      </c>
      <c r="F2339">
        <v>0.31516302850793698</v>
      </c>
      <c r="G2339">
        <v>0.10545992209664599</v>
      </c>
      <c r="H2339">
        <v>8.3739882972863902E-2</v>
      </c>
      <c r="I2339">
        <v>3.5738547478663403E-2</v>
      </c>
      <c r="J2339">
        <v>6.3229381034907106E-2</v>
      </c>
      <c r="K2339">
        <v>8.8076338280328403E-2</v>
      </c>
      <c r="L2339">
        <v>895.599600328419</v>
      </c>
      <c r="M2339">
        <v>17.839135380613499</v>
      </c>
      <c r="N2339">
        <v>50.455733780347003</v>
      </c>
      <c r="O2339">
        <v>49.5860847211733</v>
      </c>
      <c r="P2339">
        <v>-8.6118086926245896E-2</v>
      </c>
      <c r="Q2339">
        <v>4.2545521841352303E-2</v>
      </c>
      <c r="R2339">
        <v>0.99169184488344297</v>
      </c>
      <c r="S2339" t="s">
        <v>5968</v>
      </c>
      <c r="T2339" t="s">
        <v>7256</v>
      </c>
      <c r="U2339" t="s">
        <v>7256</v>
      </c>
      <c r="V2339" t="s">
        <v>7256</v>
      </c>
      <c r="W2339">
        <v>3</v>
      </c>
      <c r="X2339" t="s">
        <v>9595</v>
      </c>
      <c r="Y2339">
        <v>0.3847764617592721</v>
      </c>
      <c r="Z2339" t="str">
        <f>HYPERLINK("Melting_Curves/meltCurve_sp_Q99567_NUP88_HUMAN_.pdf", "Melting_Curves/meltCurve_sp_Q99567_NUP88_HUMAN_.pdf")</f>
        <v>Melting_Curves/meltCurve_sp_Q99567_NUP88_HUMAN_.pdf</v>
      </c>
      <c r="AA2339" t="s">
        <v>13190</v>
      </c>
      <c r="AB2339" t="s">
        <v>16764</v>
      </c>
    </row>
    <row r="2340" spans="1:28" x14ac:dyDescent="0.25">
      <c r="A2340" t="s">
        <v>2344</v>
      </c>
      <c r="B2340">
        <v>0.98018197421672304</v>
      </c>
      <c r="C2340">
        <v>0.90852346193421296</v>
      </c>
      <c r="D2340">
        <v>0.85493786011088502</v>
      </c>
      <c r="E2340">
        <v>0.78919519349240896</v>
      </c>
      <c r="F2340">
        <v>0.80621639556689495</v>
      </c>
      <c r="G2340">
        <v>0.63793994269488197</v>
      </c>
      <c r="H2340">
        <v>0.53908805753534395</v>
      </c>
      <c r="I2340">
        <v>0.54638639692356905</v>
      </c>
      <c r="J2340">
        <v>0.65717823322575597</v>
      </c>
      <c r="K2340">
        <v>0.91651682452983196</v>
      </c>
      <c r="L2340">
        <v>661.27879215412497</v>
      </c>
      <c r="M2340">
        <v>14.0112896939299</v>
      </c>
      <c r="O2340">
        <v>46.265936661247302</v>
      </c>
      <c r="P2340">
        <v>-2.5404800229449E-2</v>
      </c>
      <c r="Q2340">
        <v>0.66449289725415495</v>
      </c>
      <c r="R2340">
        <v>0.52375551296020395</v>
      </c>
      <c r="S2340" t="s">
        <v>5969</v>
      </c>
      <c r="T2340" t="s">
        <v>7256</v>
      </c>
      <c r="U2340" t="s">
        <v>7256</v>
      </c>
      <c r="V2340" t="s">
        <v>7256</v>
      </c>
      <c r="W2340">
        <v>3</v>
      </c>
      <c r="X2340" t="s">
        <v>9596</v>
      </c>
      <c r="Y2340">
        <v>0.75530581561529009</v>
      </c>
      <c r="Z2340" t="str">
        <f>HYPERLINK("Melting_Curves/meltCurve_sp_Q99569_2_PKP4_HUMAN_.pdf", "Melting_Curves/meltCurve_sp_Q99569_2_PKP4_HUMAN_.pdf")</f>
        <v>Melting_Curves/meltCurve_sp_Q99569_2_PKP4_HUMAN_.pdf</v>
      </c>
      <c r="AA2340" t="s">
        <v>13191</v>
      </c>
      <c r="AB2340" t="s">
        <v>16765</v>
      </c>
    </row>
    <row r="2341" spans="1:28" x14ac:dyDescent="0.25">
      <c r="A2341" t="s">
        <v>2345</v>
      </c>
      <c r="B2341">
        <v>0.98018197421672304</v>
      </c>
      <c r="C2341">
        <v>0.94039716222579595</v>
      </c>
      <c r="D2341">
        <v>0.74618244588953297</v>
      </c>
      <c r="E2341">
        <v>0.49043789218737099</v>
      </c>
      <c r="F2341">
        <v>0.29575245911947101</v>
      </c>
      <c r="G2341">
        <v>0.13488449825227</v>
      </c>
      <c r="H2341">
        <v>9.8972429950629603E-2</v>
      </c>
      <c r="I2341">
        <v>9.1757385131429794E-2</v>
      </c>
      <c r="J2341">
        <v>0.111511348071153</v>
      </c>
      <c r="K2341">
        <v>8.2376888929697994E-2</v>
      </c>
      <c r="L2341">
        <v>811.01486772892895</v>
      </c>
      <c r="M2341">
        <v>16.507262741765999</v>
      </c>
      <c r="N2341">
        <v>49.618507900027801</v>
      </c>
      <c r="O2341">
        <v>48.426738452859603</v>
      </c>
      <c r="P2341">
        <v>-7.8841390583579904E-2</v>
      </c>
      <c r="Q2341">
        <v>7.4888022528946094E-2</v>
      </c>
      <c r="R2341">
        <v>0.99759226797838496</v>
      </c>
      <c r="S2341" t="s">
        <v>5970</v>
      </c>
      <c r="T2341" t="s">
        <v>7256</v>
      </c>
      <c r="U2341" t="s">
        <v>7256</v>
      </c>
      <c r="V2341" t="s">
        <v>7256</v>
      </c>
      <c r="W2341">
        <v>4</v>
      </c>
      <c r="X2341" t="s">
        <v>9597</v>
      </c>
      <c r="Y2341">
        <v>0.37539439860771667</v>
      </c>
      <c r="Z2341" t="str">
        <f>HYPERLINK("Melting_Curves/meltCurve_sp_Q99570_PI3R4_HUMAN_.pdf", "Melting_Curves/meltCurve_sp_Q99570_PI3R4_HUMAN_.pdf")</f>
        <v>Melting_Curves/meltCurve_sp_Q99570_PI3R4_HUMAN_.pdf</v>
      </c>
      <c r="AA2341" t="s">
        <v>13192</v>
      </c>
      <c r="AB2341" t="s">
        <v>16766</v>
      </c>
    </row>
    <row r="2342" spans="1:28" x14ac:dyDescent="0.25">
      <c r="A2342" t="s">
        <v>2346</v>
      </c>
      <c r="B2342">
        <v>0.98018197421672304</v>
      </c>
      <c r="C2342">
        <v>1.0110095609336101</v>
      </c>
      <c r="D2342">
        <v>0.95974928017092098</v>
      </c>
      <c r="E2342">
        <v>0.821569482363529</v>
      </c>
      <c r="F2342">
        <v>0.74055296058113795</v>
      </c>
      <c r="G2342">
        <v>0.48920975426978203</v>
      </c>
      <c r="H2342">
        <v>0.319492307013097</v>
      </c>
      <c r="I2342">
        <v>9.8205981874732506E-2</v>
      </c>
      <c r="J2342">
        <v>6.2310633605677998E-2</v>
      </c>
      <c r="K2342">
        <v>9.2938849310115798E-2</v>
      </c>
      <c r="L2342">
        <v>802.36137512962102</v>
      </c>
      <c r="M2342">
        <v>14.164668126673501</v>
      </c>
      <c r="N2342">
        <v>56.645250286497102</v>
      </c>
      <c r="O2342">
        <v>55.552117419025102</v>
      </c>
      <c r="P2342">
        <v>-6.3753024830581304E-2</v>
      </c>
      <c r="Q2342">
        <v>0</v>
      </c>
      <c r="R2342">
        <v>0.99076397869990696</v>
      </c>
      <c r="S2342" t="s">
        <v>5971</v>
      </c>
      <c r="T2342" t="s">
        <v>7256</v>
      </c>
      <c r="U2342" t="s">
        <v>7256</v>
      </c>
      <c r="V2342" t="s">
        <v>7256</v>
      </c>
      <c r="W2342">
        <v>2</v>
      </c>
      <c r="X2342" t="s">
        <v>9598</v>
      </c>
      <c r="Y2342">
        <v>0.57198452781498033</v>
      </c>
      <c r="Z2342" t="str">
        <f>HYPERLINK("Melting_Curves/meltCurve_sp_Q99575_POP1_HUMAN_.pdf", "Melting_Curves/meltCurve_sp_Q99575_POP1_HUMAN_.pdf")</f>
        <v>Melting_Curves/meltCurve_sp_Q99575_POP1_HUMAN_.pdf</v>
      </c>
      <c r="AA2342" t="s">
        <v>13193</v>
      </c>
      <c r="AB2342" t="s">
        <v>16767</v>
      </c>
    </row>
    <row r="2343" spans="1:28" x14ac:dyDescent="0.25">
      <c r="A2343" t="s">
        <v>2347</v>
      </c>
      <c r="B2343">
        <v>0.98018197421672304</v>
      </c>
      <c r="C2343">
        <v>0.98647389417339304</v>
      </c>
      <c r="D2343">
        <v>0.95140808885330497</v>
      </c>
      <c r="E2343">
        <v>0.74797520795731598</v>
      </c>
      <c r="F2343">
        <v>0.64340009094485695</v>
      </c>
      <c r="G2343">
        <v>0.42140299328490899</v>
      </c>
      <c r="H2343">
        <v>0.35472239698040497</v>
      </c>
      <c r="I2343">
        <v>0.34746308856430103</v>
      </c>
      <c r="J2343">
        <v>0.349901353349092</v>
      </c>
      <c r="K2343">
        <v>0.435701904582597</v>
      </c>
      <c r="L2343">
        <v>1026.3964730145501</v>
      </c>
      <c r="M2343">
        <v>19.894343454607199</v>
      </c>
      <c r="N2343">
        <v>55.1065673590549</v>
      </c>
      <c r="O2343">
        <v>51.079574336374698</v>
      </c>
      <c r="P2343">
        <v>-6.2377142361516397E-2</v>
      </c>
      <c r="Q2343">
        <v>0.35939740614856502</v>
      </c>
      <c r="R2343">
        <v>0.98359205513451098</v>
      </c>
      <c r="S2343" t="s">
        <v>5972</v>
      </c>
      <c r="T2343" t="s">
        <v>7256</v>
      </c>
      <c r="U2343" t="s">
        <v>7256</v>
      </c>
      <c r="V2343" t="s">
        <v>7256</v>
      </c>
      <c r="W2343">
        <v>3</v>
      </c>
      <c r="X2343" t="s">
        <v>9599</v>
      </c>
      <c r="Y2343">
        <v>0.61589870649301526</v>
      </c>
      <c r="Z2343" t="str">
        <f>HYPERLINK("Melting_Curves/meltCurve_sp_Q99584_S10AD_HUMAN_.pdf", "Melting_Curves/meltCurve_sp_Q99584_S10AD_HUMAN_.pdf")</f>
        <v>Melting_Curves/meltCurve_sp_Q99584_S10AD_HUMAN_.pdf</v>
      </c>
      <c r="AA2343" t="s">
        <v>13194</v>
      </c>
      <c r="AB2343" t="s">
        <v>16768</v>
      </c>
    </row>
    <row r="2344" spans="1:28" x14ac:dyDescent="0.25">
      <c r="A2344" t="s">
        <v>2348</v>
      </c>
      <c r="B2344">
        <v>0.98018197421672304</v>
      </c>
      <c r="C2344">
        <v>0.70943545736315605</v>
      </c>
      <c r="D2344">
        <v>0.87333487609913096</v>
      </c>
      <c r="E2344">
        <v>0.77879558128387405</v>
      </c>
      <c r="F2344">
        <v>0.76114662692486701</v>
      </c>
      <c r="G2344">
        <v>0.55467600504874304</v>
      </c>
      <c r="H2344">
        <v>0.40993598721830299</v>
      </c>
      <c r="I2344">
        <v>0.45936079594846002</v>
      </c>
      <c r="J2344">
        <v>0.42085724130242802</v>
      </c>
      <c r="K2344">
        <v>0.29110103100844698</v>
      </c>
      <c r="L2344">
        <v>308.45242880823997</v>
      </c>
      <c r="M2344">
        <v>5.1011366917496597</v>
      </c>
      <c r="N2344">
        <v>60.467400864642002</v>
      </c>
      <c r="O2344">
        <v>53.018220225506397</v>
      </c>
      <c r="P2344">
        <v>-2.4191306740220402E-2</v>
      </c>
      <c r="Q2344">
        <v>0</v>
      </c>
      <c r="R2344">
        <v>0.87884440046535095</v>
      </c>
      <c r="S2344" t="s">
        <v>5973</v>
      </c>
      <c r="T2344" t="s">
        <v>7256</v>
      </c>
      <c r="U2344" t="s">
        <v>7256</v>
      </c>
      <c r="V2344" t="s">
        <v>7256</v>
      </c>
      <c r="W2344">
        <v>4</v>
      </c>
      <c r="X2344" t="s">
        <v>9600</v>
      </c>
      <c r="Y2344">
        <v>0.62926414551221099</v>
      </c>
      <c r="Z2344" t="str">
        <f>HYPERLINK("Melting_Curves/meltCurve_sp_Q99590_2_SCAFB_HUMAN_.pdf", "Melting_Curves/meltCurve_sp_Q99590_2_SCAFB_HUMAN_.pdf")</f>
        <v>Melting_Curves/meltCurve_sp_Q99590_2_SCAFB_HUMAN_.pdf</v>
      </c>
      <c r="AA2344" t="s">
        <v>13195</v>
      </c>
      <c r="AB2344" t="s">
        <v>16769</v>
      </c>
    </row>
    <row r="2345" spans="1:28" x14ac:dyDescent="0.25">
      <c r="A2345" t="s">
        <v>2349</v>
      </c>
      <c r="B2345">
        <v>0.98018197421672304</v>
      </c>
      <c r="C2345">
        <v>0.94393350670691201</v>
      </c>
      <c r="D2345">
        <v>0.88779490550626206</v>
      </c>
      <c r="E2345">
        <v>0.81177864433199498</v>
      </c>
      <c r="F2345">
        <v>0.679794013361394</v>
      </c>
      <c r="G2345">
        <v>0.55766583274143</v>
      </c>
      <c r="H2345">
        <v>0.50366015830522604</v>
      </c>
      <c r="I2345">
        <v>0.47363601275394301</v>
      </c>
      <c r="J2345">
        <v>0.31986488764624299</v>
      </c>
      <c r="K2345">
        <v>0.120205417312558</v>
      </c>
      <c r="L2345">
        <v>443.09894924225603</v>
      </c>
      <c r="M2345">
        <v>7.43613269996069</v>
      </c>
      <c r="N2345">
        <v>59.5872860984421</v>
      </c>
      <c r="O2345">
        <v>55.733654740434297</v>
      </c>
      <c r="P2345">
        <v>-3.34051667775771E-2</v>
      </c>
      <c r="Q2345">
        <v>0</v>
      </c>
      <c r="R2345">
        <v>0.95738917966172599</v>
      </c>
      <c r="S2345" t="s">
        <v>5974</v>
      </c>
      <c r="T2345" t="s">
        <v>7256</v>
      </c>
      <c r="U2345" t="s">
        <v>7256</v>
      </c>
      <c r="V2345" t="s">
        <v>7256</v>
      </c>
      <c r="W2345">
        <v>9</v>
      </c>
      <c r="X2345" t="s">
        <v>9601</v>
      </c>
      <c r="Y2345">
        <v>0.63783810354156434</v>
      </c>
      <c r="Z2345" t="str">
        <f>HYPERLINK("Melting_Curves/meltCurve_sp_Q99598_TSNAX_HUMAN_.pdf", "Melting_Curves/meltCurve_sp_Q99598_TSNAX_HUMAN_.pdf")</f>
        <v>Melting_Curves/meltCurve_sp_Q99598_TSNAX_HUMAN_.pdf</v>
      </c>
      <c r="AA2345" t="s">
        <v>13196</v>
      </c>
      <c r="AB2345" t="s">
        <v>16770</v>
      </c>
    </row>
    <row r="2346" spans="1:28" x14ac:dyDescent="0.25">
      <c r="A2346" t="s">
        <v>2350</v>
      </c>
      <c r="B2346">
        <v>0.98018197421672304</v>
      </c>
      <c r="C2346">
        <v>1.1221511549272101</v>
      </c>
      <c r="D2346">
        <v>0.96396757371993003</v>
      </c>
      <c r="E2346">
        <v>0.85148971270476004</v>
      </c>
      <c r="F2346">
        <v>0.68305775802479296</v>
      </c>
      <c r="G2346">
        <v>0.506406579919077</v>
      </c>
      <c r="H2346">
        <v>0.45260390934992301</v>
      </c>
      <c r="I2346">
        <v>0.38679576948398398</v>
      </c>
      <c r="J2346">
        <v>0.21684359194092201</v>
      </c>
      <c r="K2346">
        <v>9.1814975103668095E-2</v>
      </c>
      <c r="L2346">
        <v>582.62028919560601</v>
      </c>
      <c r="M2346">
        <v>9.9512703872630901</v>
      </c>
      <c r="N2346">
        <v>58.547325377613603</v>
      </c>
      <c r="O2346">
        <v>56.330244831940298</v>
      </c>
      <c r="P2346">
        <v>-4.4186749474418502E-2</v>
      </c>
      <c r="Q2346">
        <v>0</v>
      </c>
      <c r="R2346">
        <v>0.95889168682589199</v>
      </c>
      <c r="S2346" t="s">
        <v>5975</v>
      </c>
      <c r="T2346" t="s">
        <v>7256</v>
      </c>
      <c r="U2346" t="s">
        <v>7256</v>
      </c>
      <c r="V2346" t="s">
        <v>7256</v>
      </c>
      <c r="W2346">
        <v>7</v>
      </c>
      <c r="X2346" t="s">
        <v>9602</v>
      </c>
      <c r="Y2346">
        <v>0.62451618345818383</v>
      </c>
      <c r="Z2346" t="str">
        <f>HYPERLINK("Melting_Curves/meltCurve_sp_Q99611_SPS2_HUMAN_.pdf", "Melting_Curves/meltCurve_sp_Q99611_SPS2_HUMAN_.pdf")</f>
        <v>Melting_Curves/meltCurve_sp_Q99611_SPS2_HUMAN_.pdf</v>
      </c>
      <c r="AA2346" t="s">
        <v>13197</v>
      </c>
      <c r="AB2346" t="s">
        <v>16771</v>
      </c>
    </row>
    <row r="2347" spans="1:28" x14ac:dyDescent="0.25">
      <c r="A2347" t="s">
        <v>2351</v>
      </c>
      <c r="B2347">
        <v>0.98018197421672304</v>
      </c>
      <c r="C2347">
        <v>0.97574879523193003</v>
      </c>
      <c r="D2347">
        <v>0.78934819787889299</v>
      </c>
      <c r="E2347">
        <v>0.68624650833414003</v>
      </c>
      <c r="F2347">
        <v>0.44018725724128999</v>
      </c>
      <c r="G2347">
        <v>0.25750750889014901</v>
      </c>
      <c r="H2347">
        <v>0.318474994901353</v>
      </c>
      <c r="I2347">
        <v>0.37832671758921299</v>
      </c>
      <c r="J2347">
        <v>0.41759645060402301</v>
      </c>
      <c r="K2347">
        <v>0.48379876836980401</v>
      </c>
      <c r="L2347">
        <v>1020.2398067081</v>
      </c>
      <c r="M2347">
        <v>20.967111404616301</v>
      </c>
      <c r="N2347">
        <v>51.958518884509999</v>
      </c>
      <c r="O2347">
        <v>48.222894655169597</v>
      </c>
      <c r="P2347">
        <v>-6.8704650422117305E-2</v>
      </c>
      <c r="Q2347">
        <v>0.36795317262415</v>
      </c>
      <c r="R2347">
        <v>0.91998168036453298</v>
      </c>
      <c r="S2347" t="s">
        <v>5976</v>
      </c>
      <c r="T2347" t="s">
        <v>7256</v>
      </c>
      <c r="U2347" t="s">
        <v>7256</v>
      </c>
      <c r="V2347" t="s">
        <v>7256</v>
      </c>
      <c r="W2347">
        <v>7</v>
      </c>
      <c r="X2347" t="s">
        <v>9603</v>
      </c>
      <c r="Y2347">
        <v>0.55844386941239843</v>
      </c>
      <c r="Z2347" t="str">
        <f>HYPERLINK("Melting_Curves/meltCurve_sp_Q99614_TTC1_HUMAN_.pdf", "Melting_Curves/meltCurve_sp_Q99614_TTC1_HUMAN_.pdf")</f>
        <v>Melting_Curves/meltCurve_sp_Q99614_TTC1_HUMAN_.pdf</v>
      </c>
      <c r="AA2347" t="s">
        <v>13198</v>
      </c>
      <c r="AB2347" t="s">
        <v>16772</v>
      </c>
    </row>
    <row r="2348" spans="1:28" x14ac:dyDescent="0.25">
      <c r="A2348" t="s">
        <v>2352</v>
      </c>
      <c r="B2348">
        <v>0.98018197421672304</v>
      </c>
      <c r="C2348">
        <v>0.91239785389878503</v>
      </c>
      <c r="D2348">
        <v>0.892474718736607</v>
      </c>
      <c r="E2348">
        <v>0.54813164526856895</v>
      </c>
      <c r="F2348">
        <v>0.16783751268625499</v>
      </c>
      <c r="G2348">
        <v>0.10860881095517599</v>
      </c>
      <c r="H2348">
        <v>7.3749737432187004E-2</v>
      </c>
      <c r="I2348">
        <v>6.1375254082392999E-2</v>
      </c>
      <c r="J2348">
        <v>6.0817823028356997E-2</v>
      </c>
      <c r="K2348">
        <v>5.9584319954716899E-2</v>
      </c>
      <c r="L2348">
        <v>1353.96359451376</v>
      </c>
      <c r="M2348">
        <v>27.1516048279472</v>
      </c>
      <c r="N2348">
        <v>50.100620672679703</v>
      </c>
      <c r="O2348">
        <v>49.598654051367397</v>
      </c>
      <c r="P2348">
        <v>-0.128713645093988</v>
      </c>
      <c r="Q2348">
        <v>5.9508840337494699E-2</v>
      </c>
      <c r="R2348">
        <v>0.99267119735556797</v>
      </c>
      <c r="S2348" t="s">
        <v>5977</v>
      </c>
      <c r="T2348" t="s">
        <v>7256</v>
      </c>
      <c r="U2348" t="s">
        <v>7256</v>
      </c>
      <c r="V2348" t="s">
        <v>7256</v>
      </c>
      <c r="W2348">
        <v>9</v>
      </c>
      <c r="X2348" t="s">
        <v>9604</v>
      </c>
      <c r="Y2348">
        <v>0.37593469491156573</v>
      </c>
      <c r="Z2348" t="str">
        <f>HYPERLINK("Melting_Curves/meltCurve_sp_Q99615_DNJC7_HUMAN_.pdf", "Melting_Curves/meltCurve_sp_Q99615_DNJC7_HUMAN_.pdf")</f>
        <v>Melting_Curves/meltCurve_sp_Q99615_DNJC7_HUMAN_.pdf</v>
      </c>
      <c r="AA2348" t="s">
        <v>13199</v>
      </c>
      <c r="AB2348" t="s">
        <v>16773</v>
      </c>
    </row>
    <row r="2349" spans="1:28" x14ac:dyDescent="0.25">
      <c r="A2349" t="s">
        <v>2353</v>
      </c>
      <c r="B2349">
        <v>0.98018197421672304</v>
      </c>
      <c r="C2349">
        <v>1.0573364624594299</v>
      </c>
      <c r="D2349">
        <v>0.97043010166719301</v>
      </c>
      <c r="E2349">
        <v>0.81452364751823803</v>
      </c>
      <c r="F2349">
        <v>0.63263360651682998</v>
      </c>
      <c r="G2349">
        <v>0.267981309891418</v>
      </c>
      <c r="H2349">
        <v>0.248417623573577</v>
      </c>
      <c r="I2349">
        <v>0.102216995611724</v>
      </c>
      <c r="J2349">
        <v>3.9114689217920502E-2</v>
      </c>
      <c r="K2349">
        <v>7.2679395006438205E-2</v>
      </c>
      <c r="L2349">
        <v>982.89302848189698</v>
      </c>
      <c r="M2349">
        <v>18.175145447960499</v>
      </c>
      <c r="N2349">
        <v>54.427198301966897</v>
      </c>
      <c r="O2349">
        <v>53.437038149848298</v>
      </c>
      <c r="P2349">
        <v>-8.0367182894994699E-2</v>
      </c>
      <c r="Q2349">
        <v>5.4889394232364899E-2</v>
      </c>
      <c r="R2349">
        <v>0.98865019308587898</v>
      </c>
      <c r="S2349" t="s">
        <v>5978</v>
      </c>
      <c r="T2349" t="s">
        <v>7256</v>
      </c>
      <c r="U2349" t="s">
        <v>7256</v>
      </c>
      <c r="V2349" t="s">
        <v>7256</v>
      </c>
      <c r="W2349">
        <v>3</v>
      </c>
      <c r="X2349" t="s">
        <v>9605</v>
      </c>
      <c r="Y2349">
        <v>0.513302001682299</v>
      </c>
      <c r="Z2349" t="str">
        <f>HYPERLINK("Melting_Curves/meltCurve_sp_Q99627_2_CSN8_HUMAN_.pdf", "Melting_Curves/meltCurve_sp_Q99627_2_CSN8_HUMAN_.pdf")</f>
        <v>Melting_Curves/meltCurve_sp_Q99627_2_CSN8_HUMAN_.pdf</v>
      </c>
      <c r="AA2349" t="s">
        <v>13200</v>
      </c>
      <c r="AB2349" t="s">
        <v>16774</v>
      </c>
    </row>
    <row r="2350" spans="1:28" x14ac:dyDescent="0.25">
      <c r="A2350" t="s">
        <v>2354</v>
      </c>
      <c r="B2350">
        <v>0.98018197421672304</v>
      </c>
      <c r="C2350">
        <v>0.98776889129281398</v>
      </c>
      <c r="D2350">
        <v>0.88165496036713398</v>
      </c>
      <c r="E2350">
        <v>0.70267621513034095</v>
      </c>
      <c r="F2350">
        <v>0.35363232433650998</v>
      </c>
      <c r="G2350">
        <v>0.19700978385551199</v>
      </c>
      <c r="H2350">
        <v>8.4875002950380404E-2</v>
      </c>
      <c r="I2350">
        <v>9.2294525919242407E-2</v>
      </c>
      <c r="J2350">
        <v>7.4101877680751299E-2</v>
      </c>
      <c r="K2350">
        <v>6.7878722525449006E-2</v>
      </c>
      <c r="L2350">
        <v>1052.05570453835</v>
      </c>
      <c r="M2350">
        <v>20.478443520720798</v>
      </c>
      <c r="N2350">
        <v>51.730110229407899</v>
      </c>
      <c r="O2350">
        <v>50.8914456998018</v>
      </c>
      <c r="P2350">
        <v>-9.3984562540273597E-2</v>
      </c>
      <c r="Q2350">
        <v>6.5774952824687996E-2</v>
      </c>
      <c r="R2350">
        <v>0.99590977531068503</v>
      </c>
      <c r="S2350" t="s">
        <v>5979</v>
      </c>
      <c r="T2350" t="s">
        <v>7256</v>
      </c>
      <c r="U2350" t="s">
        <v>7256</v>
      </c>
      <c r="V2350" t="s">
        <v>7256</v>
      </c>
      <c r="W2350">
        <v>3</v>
      </c>
      <c r="X2350" t="s">
        <v>9606</v>
      </c>
      <c r="Y2350">
        <v>0.43236655725880418</v>
      </c>
      <c r="Z2350" t="str">
        <f>HYPERLINK("Melting_Curves/meltCurve_sp_Q99685_MGLL_HUMAN_.pdf", "Melting_Curves/meltCurve_sp_Q99685_MGLL_HUMAN_.pdf")</f>
        <v>Melting_Curves/meltCurve_sp_Q99685_MGLL_HUMAN_.pdf</v>
      </c>
      <c r="AA2350" t="s">
        <v>13201</v>
      </c>
      <c r="AB2350" t="s">
        <v>16775</v>
      </c>
    </row>
    <row r="2351" spans="1:28" x14ac:dyDescent="0.25">
      <c r="A2351" t="s">
        <v>2355</v>
      </c>
      <c r="B2351">
        <v>0.98018197421672304</v>
      </c>
      <c r="C2351">
        <v>0.82896101805350597</v>
      </c>
      <c r="D2351">
        <v>0.75129588731851504</v>
      </c>
      <c r="E2351">
        <v>0.42608743413751299</v>
      </c>
      <c r="F2351">
        <v>0.24444167238473499</v>
      </c>
      <c r="G2351">
        <v>0.14532699260762599</v>
      </c>
      <c r="H2351">
        <v>0.100258255956072</v>
      </c>
      <c r="I2351">
        <v>6.6970441676274695E-2</v>
      </c>
      <c r="J2351">
        <v>6.9417873279380898E-2</v>
      </c>
      <c r="K2351">
        <v>4.9394152517577797E-2</v>
      </c>
      <c r="L2351">
        <v>717.70821276774495</v>
      </c>
      <c r="M2351">
        <v>14.7578967643989</v>
      </c>
      <c r="N2351">
        <v>48.943024534469501</v>
      </c>
      <c r="O2351">
        <v>47.765393777226002</v>
      </c>
      <c r="P2351">
        <v>-7.3793740757769705E-2</v>
      </c>
      <c r="Q2351">
        <v>4.4739999044155897E-2</v>
      </c>
      <c r="R2351">
        <v>0.99538315190615301</v>
      </c>
      <c r="S2351" t="s">
        <v>5980</v>
      </c>
      <c r="T2351" t="s">
        <v>7256</v>
      </c>
      <c r="U2351" t="s">
        <v>7256</v>
      </c>
      <c r="V2351" t="s">
        <v>7256</v>
      </c>
      <c r="W2351">
        <v>4</v>
      </c>
      <c r="X2351" t="s">
        <v>9607</v>
      </c>
      <c r="Y2351">
        <v>0.3442752880681515</v>
      </c>
      <c r="Z2351" t="str">
        <f>HYPERLINK("Melting_Curves/meltCurve_sp_Q99707_METH_HUMAN_.pdf", "Melting_Curves/meltCurve_sp_Q99707_METH_HUMAN_.pdf")</f>
        <v>Melting_Curves/meltCurve_sp_Q99707_METH_HUMAN_.pdf</v>
      </c>
      <c r="AA2351" t="s">
        <v>13202</v>
      </c>
      <c r="AB2351" t="s">
        <v>16776</v>
      </c>
    </row>
    <row r="2352" spans="1:28" x14ac:dyDescent="0.25">
      <c r="A2352" t="s">
        <v>2356</v>
      </c>
      <c r="B2352">
        <v>0.98018197421672304</v>
      </c>
      <c r="C2352">
        <v>0.91979518171526897</v>
      </c>
      <c r="D2352">
        <v>0.77722448141657596</v>
      </c>
      <c r="E2352">
        <v>0.45428255264899903</v>
      </c>
      <c r="F2352">
        <v>0.16929116029541</v>
      </c>
      <c r="G2352">
        <v>9.7327384465292599E-2</v>
      </c>
      <c r="H2352">
        <v>5.04362368192608E-2</v>
      </c>
      <c r="I2352">
        <v>3.3048776500767603E-2</v>
      </c>
      <c r="J2352">
        <v>3.3349008560963699E-2</v>
      </c>
      <c r="K2352">
        <v>1.9566480296686801E-2</v>
      </c>
      <c r="L2352">
        <v>927.21840398899701</v>
      </c>
      <c r="M2352">
        <v>18.9104887123782</v>
      </c>
      <c r="N2352">
        <v>49.144147117541799</v>
      </c>
      <c r="O2352">
        <v>48.493528075409699</v>
      </c>
      <c r="P2352">
        <v>-9.5434201995222498E-2</v>
      </c>
      <c r="Q2352">
        <v>2.1124569205520999E-2</v>
      </c>
      <c r="R2352">
        <v>0.99750016819490395</v>
      </c>
      <c r="S2352" t="s">
        <v>5981</v>
      </c>
      <c r="T2352" t="s">
        <v>7256</v>
      </c>
      <c r="U2352" t="s">
        <v>7256</v>
      </c>
      <c r="V2352" t="s">
        <v>7256</v>
      </c>
      <c r="W2352">
        <v>12</v>
      </c>
      <c r="X2352" t="s">
        <v>9608</v>
      </c>
      <c r="Y2352">
        <v>0.33118129396303048</v>
      </c>
      <c r="Z2352" t="str">
        <f>HYPERLINK("Melting_Curves/meltCurve_sp_Q99714_HCD2_HUMAN_.pdf", "Melting_Curves/meltCurve_sp_Q99714_HCD2_HUMAN_.pdf")</f>
        <v>Melting_Curves/meltCurve_sp_Q99714_HCD2_HUMAN_.pdf</v>
      </c>
      <c r="AA2352" t="s">
        <v>13203</v>
      </c>
      <c r="AB2352" t="s">
        <v>16777</v>
      </c>
    </row>
    <row r="2353" spans="1:28" x14ac:dyDescent="0.25">
      <c r="A2353" t="s">
        <v>2357</v>
      </c>
      <c r="B2353">
        <v>0.98018197421672304</v>
      </c>
      <c r="C2353">
        <v>0.99555685756051204</v>
      </c>
      <c r="D2353">
        <v>0.90612165601021299</v>
      </c>
      <c r="E2353">
        <v>0.74012671849685996</v>
      </c>
      <c r="F2353">
        <v>0.49481622941260101</v>
      </c>
      <c r="G2353">
        <v>0.22551995347388701</v>
      </c>
      <c r="H2353">
        <v>0.19335315327763999</v>
      </c>
      <c r="I2353">
        <v>0.175238918632621</v>
      </c>
      <c r="J2353">
        <v>0.193572135487179</v>
      </c>
      <c r="K2353">
        <v>0.18407775802774001</v>
      </c>
      <c r="L2353">
        <v>1136.09678400857</v>
      </c>
      <c r="M2353">
        <v>21.9782535547366</v>
      </c>
      <c r="N2353">
        <v>52.681765977466497</v>
      </c>
      <c r="O2353">
        <v>51.269623550333797</v>
      </c>
      <c r="P2353">
        <v>-8.9042898402863904E-2</v>
      </c>
      <c r="Q2353">
        <v>0.16916173205874299</v>
      </c>
      <c r="R2353">
        <v>0.99597469145811102</v>
      </c>
      <c r="S2353" t="s">
        <v>5982</v>
      </c>
      <c r="T2353" t="s">
        <v>7256</v>
      </c>
      <c r="U2353" t="s">
        <v>7256</v>
      </c>
      <c r="V2353" t="s">
        <v>7256</v>
      </c>
      <c r="W2353">
        <v>9</v>
      </c>
      <c r="X2353" t="s">
        <v>9609</v>
      </c>
      <c r="Y2353">
        <v>0.50263304170248757</v>
      </c>
      <c r="Z2353" t="str">
        <f>HYPERLINK("Melting_Curves/meltCurve_sp_Q99733_NP1L4_HUMAN_.pdf", "Melting_Curves/meltCurve_sp_Q99733_NP1L4_HUMAN_.pdf")</f>
        <v>Melting_Curves/meltCurve_sp_Q99733_NP1L4_HUMAN_.pdf</v>
      </c>
      <c r="AA2353" t="s">
        <v>13204</v>
      </c>
      <c r="AB2353" t="s">
        <v>16778</v>
      </c>
    </row>
    <row r="2354" spans="1:28" x14ac:dyDescent="0.25">
      <c r="A2354" t="s">
        <v>2358</v>
      </c>
      <c r="B2354">
        <v>0.98018197421672304</v>
      </c>
      <c r="C2354">
        <v>0.97994782337959896</v>
      </c>
      <c r="D2354">
        <v>0.94554688903111905</v>
      </c>
      <c r="E2354">
        <v>0.84001856859260904</v>
      </c>
      <c r="F2354">
        <v>0.78897973308250902</v>
      </c>
      <c r="G2354">
        <v>0.69582815122439501</v>
      </c>
      <c r="H2354">
        <v>0.41289465559356697</v>
      </c>
      <c r="I2354">
        <v>0.44413921809437101</v>
      </c>
      <c r="J2354">
        <v>0.44339365146397403</v>
      </c>
      <c r="K2354">
        <v>0.54514357734938201</v>
      </c>
      <c r="L2354">
        <v>840.06128413709496</v>
      </c>
      <c r="M2354">
        <v>15.5001020304916</v>
      </c>
      <c r="N2354">
        <v>62.418209727471698</v>
      </c>
      <c r="O2354">
        <v>53.319075686370702</v>
      </c>
      <c r="P2354">
        <v>-4.1059594591140301E-2</v>
      </c>
      <c r="Q2354">
        <v>0.435083675460047</v>
      </c>
      <c r="R2354">
        <v>0.93436812972390904</v>
      </c>
      <c r="S2354" t="s">
        <v>5983</v>
      </c>
      <c r="T2354" t="s">
        <v>7256</v>
      </c>
      <c r="U2354" t="s">
        <v>7256</v>
      </c>
      <c r="V2354" t="s">
        <v>7256</v>
      </c>
      <c r="W2354">
        <v>3</v>
      </c>
      <c r="X2354" t="s">
        <v>9610</v>
      </c>
      <c r="Y2354">
        <v>0.71343500428988349</v>
      </c>
      <c r="Z2354" t="str">
        <f>HYPERLINK("Melting_Curves/meltCurve_sp_Q99757_THIOM_HUMAN_.pdf", "Melting_Curves/meltCurve_sp_Q99757_THIOM_HUMAN_.pdf")</f>
        <v>Melting_Curves/meltCurve_sp_Q99757_THIOM_HUMAN_.pdf</v>
      </c>
      <c r="AA2354" t="s">
        <v>13205</v>
      </c>
      <c r="AB2354" t="s">
        <v>16779</v>
      </c>
    </row>
    <row r="2355" spans="1:28" x14ac:dyDescent="0.25">
      <c r="A2355" t="s">
        <v>2359</v>
      </c>
      <c r="B2355">
        <v>0.98018197421672304</v>
      </c>
      <c r="C2355">
        <v>1.0659918447330601</v>
      </c>
      <c r="D2355">
        <v>0.93358228416640998</v>
      </c>
      <c r="E2355">
        <v>0.73410637381322696</v>
      </c>
      <c r="F2355">
        <v>0.38002560280089498</v>
      </c>
      <c r="G2355">
        <v>0.13174537546248899</v>
      </c>
      <c r="H2355">
        <v>5.5400520155212303E-2</v>
      </c>
      <c r="I2355">
        <v>4.5858197190552598E-2</v>
      </c>
      <c r="J2355">
        <v>4.8810183300533001E-2</v>
      </c>
      <c r="K2355">
        <v>2.64902097394271E-2</v>
      </c>
      <c r="L2355">
        <v>1303.0425282954</v>
      </c>
      <c r="M2355">
        <v>25.1433589923071</v>
      </c>
      <c r="N2355">
        <v>51.980598344255903</v>
      </c>
      <c r="O2355">
        <v>51.500032910932298</v>
      </c>
      <c r="P2355">
        <v>-0.117618918075581</v>
      </c>
      <c r="Q2355">
        <v>3.6358128753539998E-2</v>
      </c>
      <c r="R2355">
        <v>0.99619930809306301</v>
      </c>
      <c r="S2355" t="s">
        <v>5984</v>
      </c>
      <c r="T2355" t="s">
        <v>7256</v>
      </c>
      <c r="U2355" t="s">
        <v>7256</v>
      </c>
      <c r="V2355" t="s">
        <v>7256</v>
      </c>
      <c r="W2355">
        <v>5</v>
      </c>
      <c r="X2355" t="s">
        <v>9611</v>
      </c>
      <c r="Y2355">
        <v>0.42486348019953601</v>
      </c>
      <c r="Z2355" t="str">
        <f>HYPERLINK("Melting_Curves/meltCurve_sp_Q99766_ATP5S_HUMAN_.pdf", "Melting_Curves/meltCurve_sp_Q99766_ATP5S_HUMAN_.pdf")</f>
        <v>Melting_Curves/meltCurve_sp_Q99766_ATP5S_HUMAN_.pdf</v>
      </c>
      <c r="AA2355" t="s">
        <v>13206</v>
      </c>
      <c r="AB2355" t="s">
        <v>16780</v>
      </c>
    </row>
    <row r="2356" spans="1:28" x14ac:dyDescent="0.25">
      <c r="A2356" t="s">
        <v>2360</v>
      </c>
      <c r="B2356">
        <v>0.98018197421672304</v>
      </c>
      <c r="C2356">
        <v>0.80135448142100396</v>
      </c>
      <c r="D2356">
        <v>0.80219799573511297</v>
      </c>
      <c r="E2356">
        <v>0.63636793432329897</v>
      </c>
      <c r="F2356">
        <v>0.47017054524978602</v>
      </c>
      <c r="G2356">
        <v>0.17977326704377999</v>
      </c>
      <c r="H2356">
        <v>6.2606408546043504E-2</v>
      </c>
      <c r="I2356">
        <v>4.3722909850863897E-2</v>
      </c>
      <c r="J2356">
        <v>4.8812735676389801E-2</v>
      </c>
      <c r="K2356">
        <v>2.6895831591463901E-2</v>
      </c>
      <c r="L2356">
        <v>659.00040424764302</v>
      </c>
      <c r="M2356">
        <v>12.8128008839036</v>
      </c>
      <c r="N2356">
        <v>51.4329700880592</v>
      </c>
      <c r="O2356">
        <v>50.228412737482103</v>
      </c>
      <c r="P2356">
        <v>-6.3784595079175999E-2</v>
      </c>
      <c r="Q2356">
        <v>0</v>
      </c>
      <c r="R2356">
        <v>0.97776064475258095</v>
      </c>
      <c r="S2356" t="s">
        <v>5985</v>
      </c>
      <c r="T2356" t="s">
        <v>7256</v>
      </c>
      <c r="U2356" t="s">
        <v>7256</v>
      </c>
      <c r="V2356" t="s">
        <v>7256</v>
      </c>
      <c r="W2356">
        <v>15</v>
      </c>
      <c r="X2356" t="s">
        <v>9612</v>
      </c>
      <c r="Y2356">
        <v>0.41005880213626078</v>
      </c>
      <c r="Z2356" t="str">
        <f>HYPERLINK("Melting_Curves/meltCurve_sp_Q99797_MIPEP_HUMAN_.pdf", "Melting_Curves/meltCurve_sp_Q99797_MIPEP_HUMAN_.pdf")</f>
        <v>Melting_Curves/meltCurve_sp_Q99797_MIPEP_HUMAN_.pdf</v>
      </c>
      <c r="AA2356" t="s">
        <v>13207</v>
      </c>
      <c r="AB2356" t="s">
        <v>16781</v>
      </c>
    </row>
    <row r="2357" spans="1:28" x14ac:dyDescent="0.25">
      <c r="A2357" t="s">
        <v>2361</v>
      </c>
      <c r="B2357">
        <v>0.98018197421672304</v>
      </c>
      <c r="C2357">
        <v>0.98531199656296997</v>
      </c>
      <c r="D2357">
        <v>0.93921449017107494</v>
      </c>
      <c r="E2357">
        <v>0.81842322781438903</v>
      </c>
      <c r="F2357">
        <v>0.50665114517868304</v>
      </c>
      <c r="G2357">
        <v>0.11752831269064801</v>
      </c>
      <c r="H2357">
        <v>6.8937108571832398E-2</v>
      </c>
      <c r="I2357">
        <v>5.0454887506187603E-2</v>
      </c>
      <c r="J2357">
        <v>6.32598131263509E-2</v>
      </c>
      <c r="K2357">
        <v>3.8764233678148199E-2</v>
      </c>
      <c r="L2357">
        <v>1460.2466048314</v>
      </c>
      <c r="M2357">
        <v>27.695391900972101</v>
      </c>
      <c r="N2357">
        <v>52.893871842675203</v>
      </c>
      <c r="O2357">
        <v>52.452665390429502</v>
      </c>
      <c r="P2357">
        <v>-0.126425686784228</v>
      </c>
      <c r="Q2357">
        <v>4.2251527149715799E-2</v>
      </c>
      <c r="R2357">
        <v>0.99740807858943503</v>
      </c>
      <c r="S2357" t="s">
        <v>5986</v>
      </c>
      <c r="T2357" t="s">
        <v>7256</v>
      </c>
      <c r="U2357" t="s">
        <v>7256</v>
      </c>
      <c r="V2357" t="s">
        <v>7256</v>
      </c>
      <c r="W2357">
        <v>40</v>
      </c>
      <c r="X2357" t="s">
        <v>9613</v>
      </c>
      <c r="Y2357">
        <v>0.45573675722145651</v>
      </c>
      <c r="Z2357" t="str">
        <f>HYPERLINK("Melting_Curves/meltCurve_sp_Q99798_ACON_HUMAN_.pdf", "Melting_Curves/meltCurve_sp_Q99798_ACON_HUMAN_.pdf")</f>
        <v>Melting_Curves/meltCurve_sp_Q99798_ACON_HUMAN_.pdf</v>
      </c>
      <c r="AA2357" t="s">
        <v>13208</v>
      </c>
      <c r="AB2357" t="s">
        <v>16782</v>
      </c>
    </row>
    <row r="2358" spans="1:28" x14ac:dyDescent="0.25">
      <c r="A2358" t="s">
        <v>2362</v>
      </c>
      <c r="B2358">
        <v>0.98018197421672304</v>
      </c>
      <c r="C2358">
        <v>0.89639972773646404</v>
      </c>
      <c r="D2358">
        <v>0.68002734517769503</v>
      </c>
      <c r="E2358">
        <v>0.30623257317830199</v>
      </c>
      <c r="F2358">
        <v>0.17269039727185101</v>
      </c>
      <c r="G2358">
        <v>8.9650825974147502E-2</v>
      </c>
      <c r="H2358">
        <v>5.2960138248321E-2</v>
      </c>
      <c r="I2358">
        <v>4.7633818311801399E-2</v>
      </c>
      <c r="J2358">
        <v>4.2110287312797597E-2</v>
      </c>
      <c r="K2358">
        <v>4.9618303883619E-2</v>
      </c>
      <c r="L2358">
        <v>916.33633729960502</v>
      </c>
      <c r="M2358">
        <v>19.2476137648585</v>
      </c>
      <c r="N2358">
        <v>47.836844841566197</v>
      </c>
      <c r="O2358">
        <v>47.102840965539599</v>
      </c>
      <c r="P2358">
        <v>-9.7663982013071499E-2</v>
      </c>
      <c r="Q2358">
        <v>4.4021679971558397E-2</v>
      </c>
      <c r="R2358">
        <v>0.99971195478757002</v>
      </c>
      <c r="S2358" t="s">
        <v>5987</v>
      </c>
      <c r="T2358" t="s">
        <v>7256</v>
      </c>
      <c r="U2358" t="s">
        <v>7256</v>
      </c>
      <c r="V2358" t="s">
        <v>7256</v>
      </c>
      <c r="W2358">
        <v>3</v>
      </c>
      <c r="X2358" t="s">
        <v>9614</v>
      </c>
      <c r="Y2358">
        <v>0.30134397463393608</v>
      </c>
      <c r="Z2358" t="str">
        <f>HYPERLINK("Melting_Curves/meltCurve_sp_Q99807_2_COQ7_HUMAN_.pdf", "Melting_Curves/meltCurve_sp_Q99807_2_COQ7_HUMAN_.pdf")</f>
        <v>Melting_Curves/meltCurve_sp_Q99807_2_COQ7_HUMAN_.pdf</v>
      </c>
      <c r="AA2358" t="s">
        <v>13209</v>
      </c>
      <c r="AB2358" t="s">
        <v>16783</v>
      </c>
    </row>
    <row r="2359" spans="1:28" x14ac:dyDescent="0.25">
      <c r="A2359" t="s">
        <v>2363</v>
      </c>
      <c r="B2359">
        <v>0.98018197421672304</v>
      </c>
      <c r="C2359">
        <v>0.98367525315569004</v>
      </c>
      <c r="D2359">
        <v>0.91956597285132602</v>
      </c>
      <c r="E2359">
        <v>0.76741964235068405</v>
      </c>
      <c r="F2359">
        <v>0.58769280674357605</v>
      </c>
      <c r="G2359">
        <v>0.17072566579340401</v>
      </c>
      <c r="H2359">
        <v>6.9784008456059504E-2</v>
      </c>
      <c r="I2359">
        <v>4.8509248870096902E-2</v>
      </c>
      <c r="J2359">
        <v>4.8167527189576398E-2</v>
      </c>
      <c r="K2359">
        <v>4.1171276641960602E-2</v>
      </c>
      <c r="L2359">
        <v>1111.1756336010701</v>
      </c>
      <c r="M2359">
        <v>20.881729033721498</v>
      </c>
      <c r="N2359">
        <v>53.317203413099897</v>
      </c>
      <c r="O2359">
        <v>52.7320112856017</v>
      </c>
      <c r="P2359">
        <v>-9.7019376440068902E-2</v>
      </c>
      <c r="Q2359">
        <v>2.0026249312061602E-2</v>
      </c>
      <c r="R2359">
        <v>0.99427548937550203</v>
      </c>
      <c r="S2359" t="s">
        <v>5988</v>
      </c>
      <c r="T2359" t="s">
        <v>7256</v>
      </c>
      <c r="U2359" t="s">
        <v>7256</v>
      </c>
      <c r="V2359" t="s">
        <v>7256</v>
      </c>
      <c r="W2359">
        <v>24</v>
      </c>
      <c r="X2359" t="s">
        <v>9615</v>
      </c>
      <c r="Y2359">
        <v>0.46412993155333648</v>
      </c>
      <c r="Z2359" t="str">
        <f>HYPERLINK("Melting_Curves/meltCurve_sp_Q99832_TCPH_HUMAN_.pdf", "Melting_Curves/meltCurve_sp_Q99832_TCPH_HUMAN_.pdf")</f>
        <v>Melting_Curves/meltCurve_sp_Q99832_TCPH_HUMAN_.pdf</v>
      </c>
      <c r="AA2359" t="s">
        <v>13210</v>
      </c>
      <c r="AB2359" t="s">
        <v>16784</v>
      </c>
    </row>
    <row r="2360" spans="1:28" x14ac:dyDescent="0.25">
      <c r="A2360" t="s">
        <v>2364</v>
      </c>
      <c r="B2360">
        <v>0.98018197421672304</v>
      </c>
      <c r="C2360">
        <v>0.95412038675591704</v>
      </c>
      <c r="D2360">
        <v>0.83298192264443705</v>
      </c>
      <c r="E2360">
        <v>0.48022468644518801</v>
      </c>
      <c r="F2360">
        <v>0.28086141770966699</v>
      </c>
      <c r="G2360">
        <v>0.123242815551799</v>
      </c>
      <c r="H2360">
        <v>6.3667870167800497E-2</v>
      </c>
      <c r="I2360">
        <v>0.100651778193435</v>
      </c>
      <c r="J2360">
        <v>9.1834525095273498E-2</v>
      </c>
      <c r="K2360">
        <v>6.6784650639245102E-2</v>
      </c>
      <c r="L2360">
        <v>978.476863121272</v>
      </c>
      <c r="M2360">
        <v>19.778563517119998</v>
      </c>
      <c r="N2360">
        <v>49.853668937875703</v>
      </c>
      <c r="O2360">
        <v>48.974183485403998</v>
      </c>
      <c r="P2360">
        <v>-9.3866844244991296E-2</v>
      </c>
      <c r="Q2360">
        <v>7.0327693614084502E-2</v>
      </c>
      <c r="R2360">
        <v>0.99849868104399497</v>
      </c>
      <c r="S2360" t="s">
        <v>5989</v>
      </c>
      <c r="T2360" t="s">
        <v>7256</v>
      </c>
      <c r="U2360" t="s">
        <v>7256</v>
      </c>
      <c r="V2360" t="s">
        <v>7256</v>
      </c>
      <c r="W2360">
        <v>2</v>
      </c>
      <c r="X2360" t="s">
        <v>9616</v>
      </c>
      <c r="Y2360">
        <v>0.37710999675066892</v>
      </c>
      <c r="Z2360" t="str">
        <f>HYPERLINK("Melting_Curves/meltCurve_sp_Q99836_MYD88_HUMAN_.pdf", "Melting_Curves/meltCurve_sp_Q99836_MYD88_HUMAN_.pdf")</f>
        <v>Melting_Curves/meltCurve_sp_Q99836_MYD88_HUMAN_.pdf</v>
      </c>
      <c r="AA2360" t="s">
        <v>13211</v>
      </c>
      <c r="AB2360" t="s">
        <v>16785</v>
      </c>
    </row>
    <row r="2361" spans="1:28" x14ac:dyDescent="0.25">
      <c r="A2361" t="s">
        <v>2365</v>
      </c>
      <c r="B2361">
        <v>0.98018197421672304</v>
      </c>
      <c r="C2361">
        <v>0.96671869700940205</v>
      </c>
      <c r="D2361">
        <v>0.78187416325475101</v>
      </c>
      <c r="E2361">
        <v>0.49444419557442698</v>
      </c>
      <c r="F2361">
        <v>0.32236532412116597</v>
      </c>
      <c r="G2361">
        <v>0.25875463707687901</v>
      </c>
      <c r="H2361">
        <v>0.13543097057692599</v>
      </c>
      <c r="I2361">
        <v>0.121887549938774</v>
      </c>
      <c r="J2361">
        <v>0.13092188238664501</v>
      </c>
      <c r="K2361">
        <v>0.110694801696558</v>
      </c>
      <c r="L2361">
        <v>802.38723152369596</v>
      </c>
      <c r="M2361">
        <v>16.268358498284801</v>
      </c>
      <c r="N2361">
        <v>50.124354286085897</v>
      </c>
      <c r="O2361">
        <v>48.594766156473597</v>
      </c>
      <c r="P2361">
        <v>-7.41048690225245E-2</v>
      </c>
      <c r="Q2361">
        <v>0.114638647290844</v>
      </c>
      <c r="R2361">
        <v>0.99518701615933902</v>
      </c>
      <c r="S2361" t="s">
        <v>5990</v>
      </c>
      <c r="T2361" t="s">
        <v>7256</v>
      </c>
      <c r="U2361" t="s">
        <v>7256</v>
      </c>
      <c r="V2361" t="s">
        <v>7256</v>
      </c>
      <c r="W2361">
        <v>4</v>
      </c>
      <c r="X2361" t="s">
        <v>9617</v>
      </c>
      <c r="Y2361">
        <v>0.40829487408629711</v>
      </c>
      <c r="Z2361" t="str">
        <f>HYPERLINK("Melting_Curves/meltCurve_sp_Q99880_H2B1L_HUMAN_.pdf", "Melting_Curves/meltCurve_sp_Q99880_H2B1L_HUMAN_.pdf")</f>
        <v>Melting_Curves/meltCurve_sp_Q99880_H2B1L_HUMAN_.pdf</v>
      </c>
      <c r="AA2361" t="s">
        <v>13212</v>
      </c>
      <c r="AB2361" t="s">
        <v>16786</v>
      </c>
    </row>
    <row r="2362" spans="1:28" x14ac:dyDescent="0.25">
      <c r="A2362" t="s">
        <v>2366</v>
      </c>
      <c r="B2362">
        <v>0.98018197421672304</v>
      </c>
      <c r="C2362">
        <v>0.91412406899843501</v>
      </c>
      <c r="D2362">
        <v>0.90579789223481899</v>
      </c>
      <c r="E2362">
        <v>0.73554931015114999</v>
      </c>
      <c r="F2362">
        <v>0.59505173887973195</v>
      </c>
      <c r="G2362">
        <v>0.40319987505835497</v>
      </c>
      <c r="H2362">
        <v>0.34261756930341902</v>
      </c>
      <c r="I2362">
        <v>0.315041152055067</v>
      </c>
      <c r="J2362">
        <v>0.33744417047166603</v>
      </c>
      <c r="K2362">
        <v>0.446589024870024</v>
      </c>
      <c r="L2362">
        <v>886.58967489277904</v>
      </c>
      <c r="M2362">
        <v>17.395493932210702</v>
      </c>
      <c r="N2362">
        <v>54.589055027023903</v>
      </c>
      <c r="O2362">
        <v>50.307402476336897</v>
      </c>
      <c r="P2362">
        <v>-5.6853043787067001E-2</v>
      </c>
      <c r="Q2362">
        <v>0.34236599343817897</v>
      </c>
      <c r="R2362">
        <v>0.96975043249883797</v>
      </c>
      <c r="S2362" t="s">
        <v>5991</v>
      </c>
      <c r="T2362" t="s">
        <v>7256</v>
      </c>
      <c r="U2362" t="s">
        <v>7256</v>
      </c>
      <c r="V2362" t="s">
        <v>7256</v>
      </c>
      <c r="W2362">
        <v>2</v>
      </c>
      <c r="X2362" t="s">
        <v>9618</v>
      </c>
      <c r="Y2362">
        <v>0.59455270383567993</v>
      </c>
      <c r="Z2362" t="str">
        <f>HYPERLINK("Melting_Curves/meltCurve_sp_Q99933_4_BAG1_HUMAN_.pdf", "Melting_Curves/meltCurve_sp_Q99933_4_BAG1_HUMAN_.pdf")</f>
        <v>Melting_Curves/meltCurve_sp_Q99933_4_BAG1_HUMAN_.pdf</v>
      </c>
      <c r="AA2362" t="s">
        <v>13213</v>
      </c>
      <c r="AB2362" t="s">
        <v>16787</v>
      </c>
    </row>
    <row r="2363" spans="1:28" x14ac:dyDescent="0.25">
      <c r="A2363" t="s">
        <v>2367</v>
      </c>
      <c r="B2363">
        <v>0.98018197421672304</v>
      </c>
      <c r="C2363">
        <v>1.51537840632637</v>
      </c>
      <c r="D2363">
        <v>1.2235525886851799</v>
      </c>
      <c r="E2363">
        <v>1.0216464432097101</v>
      </c>
      <c r="F2363">
        <v>0.87193561856424395</v>
      </c>
      <c r="G2363">
        <v>0.61605627224855197</v>
      </c>
      <c r="H2363">
        <v>0.905722837803703</v>
      </c>
      <c r="I2363">
        <v>0.86283978598532196</v>
      </c>
      <c r="J2363">
        <v>1.13011883146873</v>
      </c>
      <c r="K2363">
        <v>1.07451729052831</v>
      </c>
      <c r="L2363">
        <v>5515.9361236306204</v>
      </c>
      <c r="M2363">
        <v>107.41742723159599</v>
      </c>
      <c r="O2363">
        <v>51.3326824539866</v>
      </c>
      <c r="P2363">
        <v>-4.6995306139298199E-2</v>
      </c>
      <c r="Q2363">
        <v>0.91016745604007099</v>
      </c>
      <c r="R2363">
        <v>8.3283134867224495E-2</v>
      </c>
      <c r="S2363" t="s">
        <v>5992</v>
      </c>
      <c r="T2363" t="s">
        <v>7256</v>
      </c>
      <c r="U2363" t="s">
        <v>7256</v>
      </c>
      <c r="V2363" t="s">
        <v>7256</v>
      </c>
      <c r="W2363">
        <v>1</v>
      </c>
      <c r="X2363" t="s">
        <v>9619</v>
      </c>
      <c r="Y2363">
        <v>0.94419942429270232</v>
      </c>
      <c r="Z2363" t="str">
        <f>HYPERLINK("Melting_Curves/meltCurve_sp_Q99942_RNF5_HUMAN_.pdf", "Melting_Curves/meltCurve_sp_Q99942_RNF5_HUMAN_.pdf")</f>
        <v>Melting_Curves/meltCurve_sp_Q99942_RNF5_HUMAN_.pdf</v>
      </c>
      <c r="AA2363" t="s">
        <v>13214</v>
      </c>
      <c r="AB2363" t="s">
        <v>16788</v>
      </c>
    </row>
    <row r="2364" spans="1:28" x14ac:dyDescent="0.25">
      <c r="A2364" t="s">
        <v>2368</v>
      </c>
      <c r="B2364">
        <v>0.98018197421672304</v>
      </c>
      <c r="C2364">
        <v>0.72055164107438996</v>
      </c>
      <c r="D2364">
        <v>0.70908108793815605</v>
      </c>
      <c r="E2364">
        <v>0.36108370917485899</v>
      </c>
      <c r="F2364">
        <v>0.28783398765257401</v>
      </c>
      <c r="G2364">
        <v>0.170391451886412</v>
      </c>
      <c r="H2364">
        <v>0.15389540179467601</v>
      </c>
      <c r="I2364">
        <v>0.114205827871782</v>
      </c>
      <c r="J2364">
        <v>0.23556646423354199</v>
      </c>
      <c r="K2364">
        <v>0.209012298526117</v>
      </c>
      <c r="L2364">
        <v>704.20150095912504</v>
      </c>
      <c r="M2364">
        <v>15.0865247105504</v>
      </c>
      <c r="N2364">
        <v>47.888838315256898</v>
      </c>
      <c r="O2364">
        <v>45.880445302416298</v>
      </c>
      <c r="P2364">
        <v>-6.9173212680596494E-2</v>
      </c>
      <c r="Q2364">
        <v>0.15861780825076299</v>
      </c>
      <c r="R2364">
        <v>0.959674871470374</v>
      </c>
      <c r="S2364" t="s">
        <v>5993</v>
      </c>
      <c r="T2364" t="s">
        <v>7256</v>
      </c>
      <c r="U2364" t="s">
        <v>7256</v>
      </c>
      <c r="V2364" t="s">
        <v>7256</v>
      </c>
      <c r="W2364">
        <v>2</v>
      </c>
      <c r="X2364" t="s">
        <v>9620</v>
      </c>
      <c r="Y2364">
        <v>0.36896537188663431</v>
      </c>
      <c r="Z2364" t="str">
        <f>HYPERLINK("Melting_Curves/meltCurve_sp_Q99952_PTN18_HUMAN_.pdf", "Melting_Curves/meltCurve_sp_Q99952_PTN18_HUMAN_.pdf")</f>
        <v>Melting_Curves/meltCurve_sp_Q99952_PTN18_HUMAN_.pdf</v>
      </c>
      <c r="AA2364" t="s">
        <v>13215</v>
      </c>
      <c r="AB2364" t="s">
        <v>16789</v>
      </c>
    </row>
    <row r="2365" spans="1:28" x14ac:dyDescent="0.25">
      <c r="A2365" t="s">
        <v>2369</v>
      </c>
      <c r="B2365">
        <v>0.98018197421672304</v>
      </c>
      <c r="C2365">
        <v>0.90273547302400503</v>
      </c>
      <c r="D2365">
        <v>0.82438614073474503</v>
      </c>
      <c r="E2365">
        <v>0.48069758964090498</v>
      </c>
      <c r="F2365">
        <v>0.20649605642016899</v>
      </c>
      <c r="G2365">
        <v>0.14442989141689999</v>
      </c>
      <c r="H2365">
        <v>0.15317813648138801</v>
      </c>
      <c r="I2365">
        <v>0.15096254876227</v>
      </c>
      <c r="J2365">
        <v>0.24640302868741201</v>
      </c>
      <c r="K2365">
        <v>0.27765186596983399</v>
      </c>
      <c r="L2365">
        <v>1228.8594055206399</v>
      </c>
      <c r="M2365">
        <v>25.394026181460799</v>
      </c>
      <c r="N2365">
        <v>49.288454959974302</v>
      </c>
      <c r="O2365">
        <v>48.094573500370899</v>
      </c>
      <c r="P2365">
        <v>-0.10758216233543599</v>
      </c>
      <c r="Q2365">
        <v>0.184996920747066</v>
      </c>
      <c r="R2365">
        <v>0.97225951584366299</v>
      </c>
      <c r="S2365" t="s">
        <v>5994</v>
      </c>
      <c r="T2365" t="s">
        <v>7256</v>
      </c>
      <c r="U2365" t="s">
        <v>7256</v>
      </c>
      <c r="V2365" t="s">
        <v>7256</v>
      </c>
      <c r="W2365">
        <v>4</v>
      </c>
      <c r="X2365" t="s">
        <v>9621</v>
      </c>
      <c r="Y2365">
        <v>0.41994239075682832</v>
      </c>
      <c r="Z2365" t="str">
        <f>HYPERLINK("Melting_Curves/meltCurve_sp_Q99959_2_PKP2_HUMAN_.pdf", "Melting_Curves/meltCurve_sp_Q99959_2_PKP2_HUMAN_.pdf")</f>
        <v>Melting_Curves/meltCurve_sp_Q99959_2_PKP2_HUMAN_.pdf</v>
      </c>
      <c r="AA2365" t="s">
        <v>13216</v>
      </c>
      <c r="AB2365" t="s">
        <v>16790</v>
      </c>
    </row>
    <row r="2366" spans="1:28" x14ac:dyDescent="0.25">
      <c r="A2366" t="s">
        <v>2370</v>
      </c>
      <c r="B2366">
        <v>0.98018197421672304</v>
      </c>
      <c r="C2366">
        <v>0.94172102689760695</v>
      </c>
      <c r="D2366">
        <v>0.87233058632642402</v>
      </c>
      <c r="E2366">
        <v>0.72864706425272097</v>
      </c>
      <c r="F2366">
        <v>0.57955491944830495</v>
      </c>
      <c r="G2366">
        <v>0.35168918025521201</v>
      </c>
      <c r="H2366">
        <v>0.29876303915456298</v>
      </c>
      <c r="I2366">
        <v>0.32800544351100103</v>
      </c>
      <c r="J2366">
        <v>0.36787164174444098</v>
      </c>
      <c r="K2366">
        <v>0.39724522541893698</v>
      </c>
      <c r="L2366">
        <v>915.48618240783401</v>
      </c>
      <c r="M2366">
        <v>18.0529839407534</v>
      </c>
      <c r="N2366">
        <v>53.910765514779897</v>
      </c>
      <c r="O2366">
        <v>50.101118360251498</v>
      </c>
      <c r="P2366">
        <v>-6.0471061200560998E-2</v>
      </c>
      <c r="Q2366">
        <v>0.32874918669836301</v>
      </c>
      <c r="R2366">
        <v>0.97465492166353596</v>
      </c>
      <c r="S2366" t="s">
        <v>5995</v>
      </c>
      <c r="T2366" t="s">
        <v>7256</v>
      </c>
      <c r="U2366" t="s">
        <v>7256</v>
      </c>
      <c r="V2366" t="s">
        <v>7256</v>
      </c>
      <c r="W2366">
        <v>12</v>
      </c>
      <c r="X2366" t="s">
        <v>9622</v>
      </c>
      <c r="Y2366">
        <v>0.57969705135126581</v>
      </c>
      <c r="Z2366" t="str">
        <f>HYPERLINK("Melting_Curves/meltCurve_sp_Q99961_SH3G1_HUMAN_.pdf", "Melting_Curves/meltCurve_sp_Q99961_SH3G1_HUMAN_.pdf")</f>
        <v>Melting_Curves/meltCurve_sp_Q99961_SH3G1_HUMAN_.pdf</v>
      </c>
      <c r="AA2366" t="s">
        <v>13217</v>
      </c>
      <c r="AB2366" t="s">
        <v>16791</v>
      </c>
    </row>
    <row r="2367" spans="1:28" x14ac:dyDescent="0.25">
      <c r="A2367" t="s">
        <v>2371</v>
      </c>
      <c r="B2367">
        <v>0.98018197421672304</v>
      </c>
      <c r="C2367">
        <v>1.050483526586</v>
      </c>
      <c r="D2367">
        <v>0.80109474223001598</v>
      </c>
      <c r="E2367">
        <v>0.63452731348295</v>
      </c>
      <c r="F2367">
        <v>0.44165537037803099</v>
      </c>
      <c r="G2367">
        <v>0.27995613768994398</v>
      </c>
      <c r="H2367">
        <v>0.13656722140393501</v>
      </c>
      <c r="I2367">
        <v>8.4169239610528301E-2</v>
      </c>
      <c r="J2367">
        <v>0.100007837549101</v>
      </c>
      <c r="K2367">
        <v>5.7692598002761497E-2</v>
      </c>
      <c r="L2367">
        <v>715.25366977053704</v>
      </c>
      <c r="M2367">
        <v>13.809962977399</v>
      </c>
      <c r="N2367">
        <v>52.107780915153498</v>
      </c>
      <c r="O2367">
        <v>50.742807852726401</v>
      </c>
      <c r="P2367">
        <v>-6.5321753382946504E-2</v>
      </c>
      <c r="Q2367">
        <v>4.0070819843880702E-2</v>
      </c>
      <c r="R2367">
        <v>0.988524971822339</v>
      </c>
      <c r="S2367" t="s">
        <v>5996</v>
      </c>
      <c r="T2367" t="s">
        <v>7256</v>
      </c>
      <c r="U2367" t="s">
        <v>7256</v>
      </c>
      <c r="V2367" t="s">
        <v>7256</v>
      </c>
      <c r="W2367">
        <v>1</v>
      </c>
      <c r="X2367" t="s">
        <v>9623</v>
      </c>
      <c r="Y2367">
        <v>0.44189756064712638</v>
      </c>
      <c r="Z2367" t="str">
        <f>HYPERLINK("Melting_Curves/meltCurve_sp_Q99969_RARR2_HUMAN_.pdf", "Melting_Curves/meltCurve_sp_Q99969_RARR2_HUMAN_.pdf")</f>
        <v>Melting_Curves/meltCurve_sp_Q99969_RARR2_HUMAN_.pdf</v>
      </c>
      <c r="AA2367" t="s">
        <v>13218</v>
      </c>
      <c r="AB2367" t="s">
        <v>16792</v>
      </c>
    </row>
    <row r="2368" spans="1:28" x14ac:dyDescent="0.25">
      <c r="A2368" t="s">
        <v>2372</v>
      </c>
      <c r="B2368">
        <v>0.98018197421672304</v>
      </c>
      <c r="C2368">
        <v>0.90998340698402302</v>
      </c>
      <c r="D2368">
        <v>0.81827676391804405</v>
      </c>
      <c r="E2368">
        <v>0.64180751751736698</v>
      </c>
      <c r="F2368">
        <v>0.445604532963714</v>
      </c>
      <c r="G2368">
        <v>0.28838261184855402</v>
      </c>
      <c r="H2368">
        <v>0.21874664398808899</v>
      </c>
      <c r="I2368">
        <v>0.223536485536597</v>
      </c>
      <c r="J2368">
        <v>0.21143321443700899</v>
      </c>
      <c r="K2368">
        <v>0.204096371896512</v>
      </c>
      <c r="L2368">
        <v>714.23259652181105</v>
      </c>
      <c r="M2368">
        <v>14.1829105797362</v>
      </c>
      <c r="N2368">
        <v>51.961963273971598</v>
      </c>
      <c r="O2368">
        <v>49.389254786796997</v>
      </c>
      <c r="P2368">
        <v>-5.9076631608290298E-2</v>
      </c>
      <c r="Q2368">
        <v>0.177211510236915</v>
      </c>
      <c r="R2368">
        <v>0.99652334030188605</v>
      </c>
      <c r="S2368" t="s">
        <v>5997</v>
      </c>
      <c r="T2368" t="s">
        <v>7256</v>
      </c>
      <c r="U2368" t="s">
        <v>7256</v>
      </c>
      <c r="V2368" t="s">
        <v>7256</v>
      </c>
      <c r="W2368">
        <v>11</v>
      </c>
      <c r="X2368" t="s">
        <v>9624</v>
      </c>
      <c r="Y2368">
        <v>0.48265335890595018</v>
      </c>
      <c r="Z2368" t="str">
        <f>HYPERLINK("Melting_Curves/meltCurve_sp_Q99996_5_AKAP9_HUMAN_.pdf", "Melting_Curves/meltCurve_sp_Q99996_5_AKAP9_HUMAN_.pdf")</f>
        <v>Melting_Curves/meltCurve_sp_Q99996_5_AKAP9_HUMAN_.pdf</v>
      </c>
      <c r="AA2368" t="s">
        <v>13219</v>
      </c>
      <c r="AB2368" t="s">
        <v>16793</v>
      </c>
    </row>
    <row r="2369" spans="1:28" x14ac:dyDescent="0.25">
      <c r="A2369" t="s">
        <v>2373</v>
      </c>
      <c r="B2369">
        <v>0.98018197421672304</v>
      </c>
      <c r="C2369">
        <v>1.0299417926769201</v>
      </c>
      <c r="D2369">
        <v>0.91687620299418304</v>
      </c>
      <c r="E2369">
        <v>0.77204306389499699</v>
      </c>
      <c r="F2369">
        <v>0.38679890645960302</v>
      </c>
      <c r="G2369">
        <v>0.119642046247446</v>
      </c>
      <c r="H2369">
        <v>6.5399390702359506E-2</v>
      </c>
      <c r="I2369">
        <v>5.0807334568912399E-2</v>
      </c>
      <c r="J2369">
        <v>5.0559727861640001E-2</v>
      </c>
      <c r="K2369">
        <v>3.4972866713305899E-2</v>
      </c>
      <c r="L2369">
        <v>1409.06217713704</v>
      </c>
      <c r="M2369">
        <v>27.124136693062699</v>
      </c>
      <c r="N2369">
        <v>52.120841552731797</v>
      </c>
      <c r="O2369">
        <v>51.668741452946399</v>
      </c>
      <c r="P2369">
        <v>-0.12561719423299</v>
      </c>
      <c r="Q2369">
        <v>4.2857028074130402E-2</v>
      </c>
      <c r="R2369">
        <v>0.99697322234274</v>
      </c>
      <c r="S2369" t="s">
        <v>5998</v>
      </c>
      <c r="T2369" t="s">
        <v>7256</v>
      </c>
      <c r="U2369" t="s">
        <v>7256</v>
      </c>
      <c r="V2369" t="s">
        <v>7256</v>
      </c>
      <c r="W2369">
        <v>14</v>
      </c>
      <c r="X2369" t="s">
        <v>9625</v>
      </c>
      <c r="Y2369">
        <v>0.43152944791334102</v>
      </c>
      <c r="Z2369" t="str">
        <f>HYPERLINK("Melting_Curves/meltCurve_sp_Q9BPW8_NIPS1_HUMAN_.pdf", "Melting_Curves/meltCurve_sp_Q9BPW8_NIPS1_HUMAN_.pdf")</f>
        <v>Melting_Curves/meltCurve_sp_Q9BPW8_NIPS1_HUMAN_.pdf</v>
      </c>
      <c r="AA2369" t="s">
        <v>13220</v>
      </c>
      <c r="AB2369" t="s">
        <v>16794</v>
      </c>
    </row>
    <row r="2370" spans="1:28" x14ac:dyDescent="0.25">
      <c r="A2370" t="s">
        <v>2374</v>
      </c>
      <c r="B2370">
        <v>0.98018197421672304</v>
      </c>
      <c r="C2370">
        <v>1.0543299979585701</v>
      </c>
      <c r="D2370">
        <v>1.0285886237333599</v>
      </c>
      <c r="E2370">
        <v>0.85985427453463503</v>
      </c>
      <c r="F2370">
        <v>0.63878401622094905</v>
      </c>
      <c r="G2370">
        <v>0.41374626303369799</v>
      </c>
      <c r="H2370">
        <v>0.16639111788785599</v>
      </c>
      <c r="I2370">
        <v>9.4402347298406603E-2</v>
      </c>
      <c r="J2370">
        <v>7.1446154000410295E-2</v>
      </c>
      <c r="K2370">
        <v>5.9530764256018602E-2</v>
      </c>
      <c r="L2370">
        <v>975.39240911115701</v>
      </c>
      <c r="M2370">
        <v>17.7116758535409</v>
      </c>
      <c r="N2370">
        <v>55.271867082952298</v>
      </c>
      <c r="O2370">
        <v>54.3829430448707</v>
      </c>
      <c r="P2370">
        <v>-7.8882496141460201E-2</v>
      </c>
      <c r="Q2370">
        <v>3.1229394579321602E-2</v>
      </c>
      <c r="R2370">
        <v>0.99342200675068404</v>
      </c>
      <c r="S2370" t="s">
        <v>5999</v>
      </c>
      <c r="T2370" t="s">
        <v>7256</v>
      </c>
      <c r="U2370" t="s">
        <v>7256</v>
      </c>
      <c r="V2370" t="s">
        <v>7256</v>
      </c>
      <c r="W2370">
        <v>4</v>
      </c>
      <c r="X2370" t="s">
        <v>9626</v>
      </c>
      <c r="Y2370">
        <v>0.53316132982183029</v>
      </c>
      <c r="Z2370" t="str">
        <f>HYPERLINK("Melting_Curves/meltCurve_sp_Q9BPX5_ARP5L_HUMAN_.pdf", "Melting_Curves/meltCurve_sp_Q9BPX5_ARP5L_HUMAN_.pdf")</f>
        <v>Melting_Curves/meltCurve_sp_Q9BPX5_ARP5L_HUMAN_.pdf</v>
      </c>
      <c r="AA2370" t="s">
        <v>13221</v>
      </c>
      <c r="AB2370" t="s">
        <v>16795</v>
      </c>
    </row>
    <row r="2371" spans="1:28" x14ac:dyDescent="0.25">
      <c r="A2371" t="s">
        <v>2375</v>
      </c>
      <c r="B2371">
        <v>0.98018197421672304</v>
      </c>
      <c r="C2371">
        <v>0.996912270892928</v>
      </c>
      <c r="D2371">
        <v>0.88510334515949896</v>
      </c>
      <c r="E2371">
        <v>0.75773871253722802</v>
      </c>
      <c r="F2371">
        <v>0.61001582749719696</v>
      </c>
      <c r="G2371">
        <v>0.481019586289612</v>
      </c>
      <c r="H2371">
        <v>0.35040994009410997</v>
      </c>
      <c r="I2371">
        <v>0.27890053858706298</v>
      </c>
      <c r="J2371">
        <v>0.21386945216171099</v>
      </c>
      <c r="K2371">
        <v>8.1850423528220695E-2</v>
      </c>
      <c r="L2371">
        <v>518.95838099532398</v>
      </c>
      <c r="M2371">
        <v>9.2019986582610205</v>
      </c>
      <c r="N2371">
        <v>56.396252528187198</v>
      </c>
      <c r="O2371">
        <v>53.924593487258299</v>
      </c>
      <c r="P2371">
        <v>-4.2689901893730897E-2</v>
      </c>
      <c r="Q2371">
        <v>0</v>
      </c>
      <c r="R2371">
        <v>0.99082304934172205</v>
      </c>
      <c r="S2371" t="s">
        <v>6000</v>
      </c>
      <c r="T2371" t="s">
        <v>7256</v>
      </c>
      <c r="U2371" t="s">
        <v>7256</v>
      </c>
      <c r="V2371" t="s">
        <v>7256</v>
      </c>
      <c r="W2371">
        <v>12</v>
      </c>
      <c r="X2371" t="s">
        <v>9627</v>
      </c>
      <c r="Y2371">
        <v>0.56505730849338187</v>
      </c>
      <c r="Z2371" t="str">
        <f>HYPERLINK("Melting_Curves/meltCurve_sp_Q9BQ52_RNZ2_HUMAN_.pdf", "Melting_Curves/meltCurve_sp_Q9BQ52_RNZ2_HUMAN_.pdf")</f>
        <v>Melting_Curves/meltCurve_sp_Q9BQ52_RNZ2_HUMAN_.pdf</v>
      </c>
      <c r="AA2371" t="s">
        <v>13222</v>
      </c>
      <c r="AB2371" t="s">
        <v>16796</v>
      </c>
    </row>
    <row r="2372" spans="1:28" x14ac:dyDescent="0.25">
      <c r="A2372" t="s">
        <v>2376</v>
      </c>
      <c r="B2372">
        <v>0.98018197421672304</v>
      </c>
      <c r="C2372">
        <v>0.93583749034757302</v>
      </c>
      <c r="D2372">
        <v>0.87704745166230802</v>
      </c>
      <c r="E2372">
        <v>0.76999312286216404</v>
      </c>
      <c r="F2372">
        <v>0.648415818717201</v>
      </c>
      <c r="G2372">
        <v>0.50593654302006497</v>
      </c>
      <c r="H2372">
        <v>0.467737657880401</v>
      </c>
      <c r="I2372">
        <v>0.45579875952742799</v>
      </c>
      <c r="J2372">
        <v>0.53117530879166197</v>
      </c>
      <c r="K2372">
        <v>0.58417365303651503</v>
      </c>
      <c r="L2372">
        <v>831.86694193942401</v>
      </c>
      <c r="M2372">
        <v>16.717020695110101</v>
      </c>
      <c r="N2372">
        <v>69.326471730544</v>
      </c>
      <c r="O2372">
        <v>49.065939722875797</v>
      </c>
      <c r="P2372">
        <v>-4.2971509601409601E-2</v>
      </c>
      <c r="Q2372">
        <v>0.495532372271342</v>
      </c>
      <c r="R2372">
        <v>0.94995754421964396</v>
      </c>
      <c r="S2372" t="s">
        <v>6001</v>
      </c>
      <c r="T2372" t="s">
        <v>7256</v>
      </c>
      <c r="U2372" t="s">
        <v>7256</v>
      </c>
      <c r="V2372" t="s">
        <v>7256</v>
      </c>
      <c r="W2372">
        <v>5</v>
      </c>
      <c r="X2372" t="s">
        <v>9628</v>
      </c>
      <c r="Y2372">
        <v>0.66961335291822766</v>
      </c>
      <c r="Z2372" t="str">
        <f>HYPERLINK("Melting_Curves/meltCurve_sp_Q9BQ61_CS043_HUMAN_.pdf", "Melting_Curves/meltCurve_sp_Q9BQ61_CS043_HUMAN_.pdf")</f>
        <v>Melting_Curves/meltCurve_sp_Q9BQ61_CS043_HUMAN_.pdf</v>
      </c>
      <c r="AA2372" t="s">
        <v>13223</v>
      </c>
      <c r="AB2372" t="s">
        <v>16797</v>
      </c>
    </row>
    <row r="2373" spans="1:28" x14ac:dyDescent="0.25">
      <c r="A2373" t="s">
        <v>2377</v>
      </c>
      <c r="B2373">
        <v>0.98018197421672304</v>
      </c>
      <c r="C2373">
        <v>0.95332351189836295</v>
      </c>
      <c r="D2373">
        <v>0.85374249681563397</v>
      </c>
      <c r="E2373">
        <v>0.26631370884817501</v>
      </c>
      <c r="F2373">
        <v>0.12337185538744801</v>
      </c>
      <c r="G2373">
        <v>7.2736144380358705E-2</v>
      </c>
      <c r="H2373">
        <v>4.5540228116627002E-2</v>
      </c>
      <c r="I2373">
        <v>3.76121343290651E-2</v>
      </c>
      <c r="J2373">
        <v>3.35893614918003E-2</v>
      </c>
      <c r="K2373">
        <v>3.0634390250202301E-2</v>
      </c>
      <c r="L2373">
        <v>1550.8277951059499</v>
      </c>
      <c r="M2373">
        <v>32.121160961725003</v>
      </c>
      <c r="N2373">
        <v>48.423374704157197</v>
      </c>
      <c r="O2373">
        <v>48.094610620819203</v>
      </c>
      <c r="P2373">
        <v>-0.159423917666391</v>
      </c>
      <c r="Q2373">
        <v>4.5191445910111601E-2</v>
      </c>
      <c r="R2373">
        <v>0.99786910980985999</v>
      </c>
      <c r="S2373" t="s">
        <v>6002</v>
      </c>
      <c r="T2373" t="s">
        <v>7256</v>
      </c>
      <c r="U2373" t="s">
        <v>7256</v>
      </c>
      <c r="V2373" t="s">
        <v>7256</v>
      </c>
      <c r="W2373">
        <v>13</v>
      </c>
      <c r="X2373" t="s">
        <v>9629</v>
      </c>
      <c r="Y2373">
        <v>0.31373916347995928</v>
      </c>
      <c r="Z2373" t="str">
        <f>HYPERLINK("Melting_Curves/meltCurve_sp_Q9BQ69_MACD1_HUMAN_.pdf", "Melting_Curves/meltCurve_sp_Q9BQ69_MACD1_HUMAN_.pdf")</f>
        <v>Melting_Curves/meltCurve_sp_Q9BQ69_MACD1_HUMAN_.pdf</v>
      </c>
      <c r="AA2373" t="s">
        <v>13224</v>
      </c>
      <c r="AB2373" t="s">
        <v>16798</v>
      </c>
    </row>
    <row r="2374" spans="1:28" x14ac:dyDescent="0.25">
      <c r="A2374" t="s">
        <v>2378</v>
      </c>
      <c r="B2374">
        <v>0.98018197421672304</v>
      </c>
      <c r="C2374">
        <v>0.81201415147621903</v>
      </c>
      <c r="D2374">
        <v>0.73023117726484599</v>
      </c>
      <c r="E2374">
        <v>0.46583172244335902</v>
      </c>
      <c r="F2374">
        <v>0.26884664632296601</v>
      </c>
      <c r="G2374">
        <v>0.14563440260708299</v>
      </c>
      <c r="H2374">
        <v>9.2315354553958506E-2</v>
      </c>
      <c r="I2374">
        <v>5.58345038970176E-2</v>
      </c>
      <c r="J2374">
        <v>6.3266370683384504E-2</v>
      </c>
      <c r="K2374">
        <v>7.5865169410310601E-3</v>
      </c>
      <c r="L2374">
        <v>622.08662579096801</v>
      </c>
      <c r="M2374">
        <v>12.6546559533209</v>
      </c>
      <c r="N2374">
        <v>49.202282988631701</v>
      </c>
      <c r="O2374">
        <v>47.9795884846395</v>
      </c>
      <c r="P2374">
        <v>-6.5583169036513997E-2</v>
      </c>
      <c r="Q2374">
        <v>5.57149035956359E-3</v>
      </c>
      <c r="R2374">
        <v>0.99469191717841499</v>
      </c>
      <c r="S2374" t="s">
        <v>6003</v>
      </c>
      <c r="T2374" t="s">
        <v>7256</v>
      </c>
      <c r="U2374" t="s">
        <v>7256</v>
      </c>
      <c r="V2374" t="s">
        <v>7256</v>
      </c>
      <c r="W2374">
        <v>14</v>
      </c>
      <c r="X2374" t="s">
        <v>9630</v>
      </c>
      <c r="Y2374">
        <v>0.34224795871736258</v>
      </c>
      <c r="Z2374" t="str">
        <f>HYPERLINK("Melting_Curves/meltCurve_sp_Q9BQE3_TBA1C_HUMAN_.pdf", "Melting_Curves/meltCurve_sp_Q9BQE3_TBA1C_HUMAN_.pdf")</f>
        <v>Melting_Curves/meltCurve_sp_Q9BQE3_TBA1C_HUMAN_.pdf</v>
      </c>
      <c r="AA2374" t="s">
        <v>13225</v>
      </c>
      <c r="AB2374" t="s">
        <v>16799</v>
      </c>
    </row>
    <row r="2375" spans="1:28" x14ac:dyDescent="0.25">
      <c r="A2375" t="s">
        <v>2379</v>
      </c>
      <c r="B2375">
        <v>0.98018197421672304</v>
      </c>
      <c r="C2375">
        <v>0.95518561054661799</v>
      </c>
      <c r="D2375">
        <v>0.90935442057287597</v>
      </c>
      <c r="E2375">
        <v>0.75128286549467105</v>
      </c>
      <c r="F2375">
        <v>0.65683206483215395</v>
      </c>
      <c r="G2375">
        <v>0.42976117696786198</v>
      </c>
      <c r="H2375">
        <v>0.45214871406061802</v>
      </c>
      <c r="I2375">
        <v>0.33764471408871999</v>
      </c>
      <c r="J2375">
        <v>0.48370006055130499</v>
      </c>
      <c r="K2375">
        <v>0.35979668713378199</v>
      </c>
      <c r="L2375">
        <v>815.18268686488705</v>
      </c>
      <c r="M2375">
        <v>15.8634117137912</v>
      </c>
      <c r="N2375">
        <v>56.391762792983997</v>
      </c>
      <c r="O2375">
        <v>50.591783918085298</v>
      </c>
      <c r="P2375">
        <v>-4.8789643569271797E-2</v>
      </c>
      <c r="Q2375">
        <v>0.37764840649670101</v>
      </c>
      <c r="R2375">
        <v>0.96587001609098899</v>
      </c>
      <c r="S2375" t="s">
        <v>6004</v>
      </c>
      <c r="T2375" t="s">
        <v>7256</v>
      </c>
      <c r="U2375" t="s">
        <v>7256</v>
      </c>
      <c r="V2375" t="s">
        <v>7256</v>
      </c>
      <c r="W2375">
        <v>5</v>
      </c>
      <c r="X2375" t="s">
        <v>9631</v>
      </c>
      <c r="Y2375">
        <v>0.62684702131708103</v>
      </c>
      <c r="Z2375" t="str">
        <f>HYPERLINK("Melting_Curves/meltCurve_sp_Q9BQE5_APOL2_HUMAN_.pdf", "Melting_Curves/meltCurve_sp_Q9BQE5_APOL2_HUMAN_.pdf")</f>
        <v>Melting_Curves/meltCurve_sp_Q9BQE5_APOL2_HUMAN_.pdf</v>
      </c>
      <c r="AA2375" t="s">
        <v>13226</v>
      </c>
      <c r="AB2375" t="s">
        <v>16800</v>
      </c>
    </row>
    <row r="2376" spans="1:28" x14ac:dyDescent="0.25">
      <c r="A2376" t="s">
        <v>2380</v>
      </c>
      <c r="B2376">
        <v>0.98018197421672304</v>
      </c>
      <c r="C2376">
        <v>0.404596906077898</v>
      </c>
      <c r="D2376">
        <v>1.05024458877785</v>
      </c>
      <c r="E2376">
        <v>0.89723056760993003</v>
      </c>
      <c r="F2376">
        <v>0.83395783933050105</v>
      </c>
      <c r="G2376">
        <v>0.72073445566220495</v>
      </c>
      <c r="H2376">
        <v>0.58000517340165103</v>
      </c>
      <c r="I2376">
        <v>0.600399409802857</v>
      </c>
      <c r="J2376">
        <v>0.29773121383919099</v>
      </c>
      <c r="K2376">
        <v>0.12603970067166201</v>
      </c>
      <c r="L2376">
        <v>585.54589072259898</v>
      </c>
      <c r="M2376">
        <v>9.3724551745683105</v>
      </c>
      <c r="N2376">
        <v>62.4751710667704</v>
      </c>
      <c r="O2376">
        <v>59.828961323362101</v>
      </c>
      <c r="P2376">
        <v>-3.9187922359298501E-2</v>
      </c>
      <c r="Q2376">
        <v>0</v>
      </c>
      <c r="R2376">
        <v>0.52917064506708</v>
      </c>
      <c r="S2376" t="s">
        <v>6005</v>
      </c>
      <c r="T2376" t="s">
        <v>7256</v>
      </c>
      <c r="U2376" t="s">
        <v>7256</v>
      </c>
      <c r="V2376" t="s">
        <v>7256</v>
      </c>
      <c r="W2376">
        <v>1</v>
      </c>
      <c r="X2376" t="s">
        <v>9632</v>
      </c>
      <c r="Y2376">
        <v>0.71890435415141751</v>
      </c>
      <c r="Z2376" t="str">
        <f>HYPERLINK("Melting_Curves/meltCurve_sp_Q9BQG0_MBB1A_HUMAN_.pdf", "Melting_Curves/meltCurve_sp_Q9BQG0_MBB1A_HUMAN_.pdf")</f>
        <v>Melting_Curves/meltCurve_sp_Q9BQG0_MBB1A_HUMAN_.pdf</v>
      </c>
      <c r="AA2376" t="s">
        <v>13227</v>
      </c>
      <c r="AB2376" t="s">
        <v>16801</v>
      </c>
    </row>
    <row r="2377" spans="1:28" x14ac:dyDescent="0.25">
      <c r="A2377" t="s">
        <v>2381</v>
      </c>
      <c r="B2377">
        <v>0.98018197421672304</v>
      </c>
      <c r="C2377">
        <v>0.96764284098915998</v>
      </c>
      <c r="D2377">
        <v>0.91035914890063896</v>
      </c>
      <c r="E2377">
        <v>0.64052710511864996</v>
      </c>
      <c r="F2377">
        <v>0.27224258606761897</v>
      </c>
      <c r="G2377">
        <v>0.15933304984358601</v>
      </c>
      <c r="H2377">
        <v>0.10691166752601999</v>
      </c>
      <c r="I2377">
        <v>8.3202619452499599E-2</v>
      </c>
      <c r="J2377">
        <v>8.7124301949532398E-2</v>
      </c>
      <c r="K2377">
        <v>5.8483257875955097E-2</v>
      </c>
      <c r="L2377">
        <v>1266.4688950392799</v>
      </c>
      <c r="M2377">
        <v>25.010745301738801</v>
      </c>
      <c r="N2377">
        <v>50.995064426287897</v>
      </c>
      <c r="O2377">
        <v>50.316604362701497</v>
      </c>
      <c r="P2377">
        <v>-0.11426106636761101</v>
      </c>
      <c r="Q2377">
        <v>8.0530968336397696E-2</v>
      </c>
      <c r="R2377">
        <v>0.99674528026749598</v>
      </c>
      <c r="S2377" t="s">
        <v>6006</v>
      </c>
      <c r="T2377" t="s">
        <v>7256</v>
      </c>
      <c r="U2377" t="s">
        <v>7256</v>
      </c>
      <c r="V2377" t="s">
        <v>7256</v>
      </c>
      <c r="W2377">
        <v>8</v>
      </c>
      <c r="X2377" t="s">
        <v>9633</v>
      </c>
      <c r="Y2377">
        <v>0.41481032190048861</v>
      </c>
      <c r="Z2377" t="str">
        <f>HYPERLINK("Melting_Curves/meltCurve_sp_Q9BQG2_NUD12_HUMAN_.pdf", "Melting_Curves/meltCurve_sp_Q9BQG2_NUD12_HUMAN_.pdf")</f>
        <v>Melting_Curves/meltCurve_sp_Q9BQG2_NUD12_HUMAN_.pdf</v>
      </c>
      <c r="AA2377" t="s">
        <v>13228</v>
      </c>
      <c r="AB2377" t="s">
        <v>16802</v>
      </c>
    </row>
    <row r="2378" spans="1:28" x14ac:dyDescent="0.25">
      <c r="A2378" t="s">
        <v>2382</v>
      </c>
      <c r="B2378">
        <v>0.98018197421672304</v>
      </c>
      <c r="C2378">
        <v>0.82892886818756795</v>
      </c>
      <c r="D2378">
        <v>0.80950520124966197</v>
      </c>
      <c r="E2378">
        <v>0.41307395645885397</v>
      </c>
      <c r="F2378">
        <v>0.15668926859842799</v>
      </c>
      <c r="G2378">
        <v>5.9794152336131501E-2</v>
      </c>
      <c r="H2378">
        <v>2.8722857979081699E-2</v>
      </c>
      <c r="I2378">
        <v>2.5483459522239901E-2</v>
      </c>
      <c r="J2378">
        <v>2.47984815957559E-2</v>
      </c>
      <c r="K2378">
        <v>1.7103906231202299E-2</v>
      </c>
      <c r="L2378">
        <v>912.67935481402299</v>
      </c>
      <c r="M2378">
        <v>18.688604202561699</v>
      </c>
      <c r="N2378">
        <v>48.870620744838597</v>
      </c>
      <c r="O2378">
        <v>48.2872882391217</v>
      </c>
      <c r="P2378">
        <v>-9.6127734517632402E-2</v>
      </c>
      <c r="Q2378">
        <v>6.54968352558146E-3</v>
      </c>
      <c r="R2378">
        <v>0.98951637334769604</v>
      </c>
      <c r="S2378" t="s">
        <v>6007</v>
      </c>
      <c r="T2378" t="s">
        <v>7256</v>
      </c>
      <c r="U2378" t="s">
        <v>7256</v>
      </c>
      <c r="V2378" t="s">
        <v>7256</v>
      </c>
      <c r="W2378">
        <v>2</v>
      </c>
      <c r="X2378" t="s">
        <v>9634</v>
      </c>
      <c r="Y2378">
        <v>0.31516206306567662</v>
      </c>
      <c r="Z2378" t="str">
        <f>HYPERLINK("Melting_Curves/meltCurve_sp_Q9BQK8_LPIN3_HUMAN_.pdf", "Melting_Curves/meltCurve_sp_Q9BQK8_LPIN3_HUMAN_.pdf")</f>
        <v>Melting_Curves/meltCurve_sp_Q9BQK8_LPIN3_HUMAN_.pdf</v>
      </c>
      <c r="AA2378" t="s">
        <v>13229</v>
      </c>
      <c r="AB2378" t="s">
        <v>16803</v>
      </c>
    </row>
    <row r="2379" spans="1:28" x14ac:dyDescent="0.25">
      <c r="A2379" t="s">
        <v>2383</v>
      </c>
      <c r="B2379">
        <v>0.98018197421672304</v>
      </c>
      <c r="C2379">
        <v>0.87887323555281704</v>
      </c>
      <c r="D2379">
        <v>0.86444204922498302</v>
      </c>
      <c r="E2379">
        <v>0.70503291620759101</v>
      </c>
      <c r="F2379">
        <v>0.57714395894026305</v>
      </c>
      <c r="G2379">
        <v>0.36169435702680203</v>
      </c>
      <c r="H2379">
        <v>0.23873959253447899</v>
      </c>
      <c r="I2379">
        <v>0.15734864617421301</v>
      </c>
      <c r="J2379">
        <v>0.16485551581265601</v>
      </c>
      <c r="K2379">
        <v>0.143031999778233</v>
      </c>
      <c r="L2379">
        <v>571.41141743600201</v>
      </c>
      <c r="M2379">
        <v>10.680108236190801</v>
      </c>
      <c r="N2379">
        <v>54.040674716683597</v>
      </c>
      <c r="O2379">
        <v>51.728956362146299</v>
      </c>
      <c r="P2379">
        <v>-4.9029771256579403E-2</v>
      </c>
      <c r="Q2379">
        <v>5.0458809779439999E-2</v>
      </c>
      <c r="R2379">
        <v>0.99352610782152895</v>
      </c>
      <c r="S2379" t="s">
        <v>6008</v>
      </c>
      <c r="T2379" t="s">
        <v>7256</v>
      </c>
      <c r="U2379" t="s">
        <v>7256</v>
      </c>
      <c r="V2379" t="s">
        <v>7256</v>
      </c>
      <c r="W2379">
        <v>14</v>
      </c>
      <c r="X2379" t="s">
        <v>9635</v>
      </c>
      <c r="Y2379">
        <v>0.50680367716965335</v>
      </c>
      <c r="Z2379" t="str">
        <f>HYPERLINK("Melting_Curves/meltCurve_sp_Q9BQS8_FYCO1_HUMAN_.pdf", "Melting_Curves/meltCurve_sp_Q9BQS8_FYCO1_HUMAN_.pdf")</f>
        <v>Melting_Curves/meltCurve_sp_Q9BQS8_FYCO1_HUMAN_.pdf</v>
      </c>
      <c r="AA2379" t="s">
        <v>13230</v>
      </c>
      <c r="AB2379" t="s">
        <v>16804</v>
      </c>
    </row>
    <row r="2380" spans="1:28" x14ac:dyDescent="0.25">
      <c r="A2380" t="s">
        <v>2384</v>
      </c>
      <c r="B2380">
        <v>0.98018197421672304</v>
      </c>
      <c r="C2380">
        <v>0.89147203608747305</v>
      </c>
      <c r="D2380">
        <v>0.93732351679831305</v>
      </c>
      <c r="E2380">
        <v>0.61013807245004203</v>
      </c>
      <c r="F2380">
        <v>0.38793620403807999</v>
      </c>
      <c r="G2380">
        <v>0.23949583896857299</v>
      </c>
      <c r="H2380">
        <v>0.17746213529327101</v>
      </c>
      <c r="I2380">
        <v>0.14425930573073401</v>
      </c>
      <c r="J2380">
        <v>0.32228885653328498</v>
      </c>
      <c r="K2380">
        <v>0.19573092096436501</v>
      </c>
      <c r="L2380">
        <v>1170.79446758782</v>
      </c>
      <c r="M2380">
        <v>23.357282801807798</v>
      </c>
      <c r="N2380">
        <v>51.278014937294202</v>
      </c>
      <c r="O2380">
        <v>49.762370868979097</v>
      </c>
      <c r="P2380">
        <v>-9.3381688478294395E-2</v>
      </c>
      <c r="Q2380">
        <v>0.204220372638169</v>
      </c>
      <c r="R2380">
        <v>0.97155493572622897</v>
      </c>
      <c r="S2380" t="s">
        <v>6009</v>
      </c>
      <c r="T2380" t="s">
        <v>7256</v>
      </c>
      <c r="U2380" t="s">
        <v>7256</v>
      </c>
      <c r="V2380" t="s">
        <v>7256</v>
      </c>
      <c r="W2380">
        <v>3</v>
      </c>
      <c r="X2380" t="s">
        <v>9636</v>
      </c>
      <c r="Y2380">
        <v>0.48096610653257338</v>
      </c>
      <c r="Z2380" t="str">
        <f>HYPERLINK("Melting_Curves/meltCurve_sp_Q9BR61_ACBD6_HUMAN_.pdf", "Melting_Curves/meltCurve_sp_Q9BR61_ACBD6_HUMAN_.pdf")</f>
        <v>Melting_Curves/meltCurve_sp_Q9BR61_ACBD6_HUMAN_.pdf</v>
      </c>
      <c r="AA2380" t="s">
        <v>13231</v>
      </c>
      <c r="AB2380" t="s">
        <v>16805</v>
      </c>
    </row>
    <row r="2381" spans="1:28" x14ac:dyDescent="0.25">
      <c r="A2381" t="s">
        <v>2385</v>
      </c>
      <c r="B2381">
        <v>0.98018197421672304</v>
      </c>
      <c r="C2381">
        <v>0.98968833868327999</v>
      </c>
      <c r="D2381">
        <v>0.92851782282572004</v>
      </c>
      <c r="E2381">
        <v>0.76405103365929306</v>
      </c>
      <c r="F2381">
        <v>0.35608381954609902</v>
      </c>
      <c r="G2381">
        <v>0.125265189342226</v>
      </c>
      <c r="H2381">
        <v>7.7214316361468693E-2</v>
      </c>
      <c r="I2381">
        <v>7.3471213857750794E-2</v>
      </c>
      <c r="J2381">
        <v>7.6099389616830895E-2</v>
      </c>
      <c r="K2381">
        <v>7.9112379328942606E-2</v>
      </c>
      <c r="L2381">
        <v>1561.7014676926899</v>
      </c>
      <c r="M2381">
        <v>30.2439839544672</v>
      </c>
      <c r="N2381">
        <v>51.907203839985698</v>
      </c>
      <c r="O2381">
        <v>51.412588304101</v>
      </c>
      <c r="P2381">
        <v>-0.13634595502250901</v>
      </c>
      <c r="Q2381">
        <v>7.2892761743223899E-2</v>
      </c>
      <c r="R2381">
        <v>0.99792949035474798</v>
      </c>
      <c r="S2381" t="s">
        <v>6010</v>
      </c>
      <c r="T2381" t="s">
        <v>7256</v>
      </c>
      <c r="U2381" t="s">
        <v>7256</v>
      </c>
      <c r="V2381" t="s">
        <v>7256</v>
      </c>
      <c r="W2381">
        <v>13</v>
      </c>
      <c r="X2381" t="s">
        <v>9637</v>
      </c>
      <c r="Y2381">
        <v>0.43830583569290937</v>
      </c>
      <c r="Z2381" t="str">
        <f>HYPERLINK("Melting_Curves/meltCurve_sp_Q9BR76_COR1B_HUMAN_.pdf", "Melting_Curves/meltCurve_sp_Q9BR76_COR1B_HUMAN_.pdf")</f>
        <v>Melting_Curves/meltCurve_sp_Q9BR76_COR1B_HUMAN_.pdf</v>
      </c>
      <c r="AA2381" t="s">
        <v>13232</v>
      </c>
      <c r="AB2381" t="s">
        <v>16806</v>
      </c>
    </row>
    <row r="2382" spans="1:28" x14ac:dyDescent="0.25">
      <c r="A2382" t="s">
        <v>2386</v>
      </c>
      <c r="B2382">
        <v>0.98018197421672304</v>
      </c>
      <c r="C2382">
        <v>1.25352594621736</v>
      </c>
      <c r="D2382">
        <v>0.93487771011499698</v>
      </c>
      <c r="E2382">
        <v>0.85232041008770099</v>
      </c>
      <c r="F2382">
        <v>0.90607049786971094</v>
      </c>
      <c r="G2382">
        <v>0.79633086320042001</v>
      </c>
      <c r="H2382">
        <v>0.56537858501650795</v>
      </c>
      <c r="I2382">
        <v>0.67416567232644198</v>
      </c>
      <c r="J2382">
        <v>0.71843975216385103</v>
      </c>
      <c r="K2382">
        <v>0.72912047218636</v>
      </c>
      <c r="L2382">
        <v>1022.70832494755</v>
      </c>
      <c r="M2382">
        <v>19.144709818610998</v>
      </c>
      <c r="O2382">
        <v>52.847282547960802</v>
      </c>
      <c r="P2382">
        <v>-2.95903806369439E-2</v>
      </c>
      <c r="Q2382">
        <v>0.67328609684139495</v>
      </c>
      <c r="R2382">
        <v>0.69304800573287595</v>
      </c>
      <c r="S2382" t="s">
        <v>6011</v>
      </c>
      <c r="T2382" t="s">
        <v>7256</v>
      </c>
      <c r="U2382" t="s">
        <v>7256</v>
      </c>
      <c r="V2382" t="s">
        <v>7256</v>
      </c>
      <c r="W2382">
        <v>3</v>
      </c>
      <c r="X2382" t="s">
        <v>9638</v>
      </c>
      <c r="Y2382">
        <v>0.82424361358096432</v>
      </c>
      <c r="Z2382" t="str">
        <f>HYPERLINK("Melting_Curves/meltCurve_sp_Q9BRA2_TXD17_HUMAN_.pdf", "Melting_Curves/meltCurve_sp_Q9BRA2_TXD17_HUMAN_.pdf")</f>
        <v>Melting_Curves/meltCurve_sp_Q9BRA2_TXD17_HUMAN_.pdf</v>
      </c>
      <c r="AA2382" t="s">
        <v>13233</v>
      </c>
      <c r="AB2382" t="s">
        <v>16807</v>
      </c>
    </row>
    <row r="2383" spans="1:28" x14ac:dyDescent="0.25">
      <c r="A2383" t="s">
        <v>2387</v>
      </c>
      <c r="B2383">
        <v>0.98018197421672304</v>
      </c>
      <c r="C2383">
        <v>0.93903554215997298</v>
      </c>
      <c r="D2383">
        <v>0.95001358415381398</v>
      </c>
      <c r="E2383">
        <v>0.81501247030758806</v>
      </c>
      <c r="F2383">
        <v>0.82920238127415102</v>
      </c>
      <c r="G2383">
        <v>0.64719064540509597</v>
      </c>
      <c r="H2383">
        <v>0.47975821289984699</v>
      </c>
      <c r="I2383">
        <v>0.49279475725050398</v>
      </c>
      <c r="J2383">
        <v>0.47984984139977199</v>
      </c>
      <c r="K2383">
        <v>0.60657633128444699</v>
      </c>
      <c r="L2383">
        <v>805.63185030699196</v>
      </c>
      <c r="M2383">
        <v>15.105627995004999</v>
      </c>
      <c r="O2383">
        <v>52.424738879109697</v>
      </c>
      <c r="P2383">
        <v>-3.6713754503427599E-2</v>
      </c>
      <c r="Q2383">
        <v>0.49038354436836001</v>
      </c>
      <c r="R2383">
        <v>0.92178577595271605</v>
      </c>
      <c r="S2383" t="s">
        <v>6012</v>
      </c>
      <c r="T2383" t="s">
        <v>7256</v>
      </c>
      <c r="U2383" t="s">
        <v>7256</v>
      </c>
      <c r="V2383" t="s">
        <v>7256</v>
      </c>
      <c r="W2383">
        <v>10</v>
      </c>
      <c r="X2383" t="s">
        <v>9639</v>
      </c>
      <c r="Y2383">
        <v>0.72758348524204208</v>
      </c>
      <c r="Z2383" t="str">
        <f>HYPERLINK("Melting_Curves/meltCurve_sp_Q9BRF8_CPPED_HUMAN_.pdf", "Melting_Curves/meltCurve_sp_Q9BRF8_CPPED_HUMAN_.pdf")</f>
        <v>Melting_Curves/meltCurve_sp_Q9BRF8_CPPED_HUMAN_.pdf</v>
      </c>
      <c r="AA2383" t="s">
        <v>13234</v>
      </c>
      <c r="AB2383" t="s">
        <v>16808</v>
      </c>
    </row>
    <row r="2384" spans="1:28" x14ac:dyDescent="0.25">
      <c r="A2384" t="s">
        <v>2388</v>
      </c>
      <c r="B2384">
        <v>0.98018197421672304</v>
      </c>
      <c r="C2384">
        <v>0.96494657608603496</v>
      </c>
      <c r="D2384">
        <v>0.92837529264052698</v>
      </c>
      <c r="E2384">
        <v>0.71443576832746203</v>
      </c>
      <c r="F2384">
        <v>0.41531419071101</v>
      </c>
      <c r="G2384">
        <v>0.15587585990566</v>
      </c>
      <c r="H2384">
        <v>8.9776881132183295E-2</v>
      </c>
      <c r="I2384">
        <v>6.4940794464301704E-2</v>
      </c>
      <c r="J2384">
        <v>0.10101574772883901</v>
      </c>
      <c r="K2384">
        <v>9.3565759806900406E-2</v>
      </c>
      <c r="L2384">
        <v>1192.10601666458</v>
      </c>
      <c r="M2384">
        <v>23.067207367520201</v>
      </c>
      <c r="N2384">
        <v>52.043235261628297</v>
      </c>
      <c r="O2384">
        <v>51.295984754445499</v>
      </c>
      <c r="P2384">
        <v>-0.10405869599313</v>
      </c>
      <c r="Q2384">
        <v>7.4409931432005305E-2</v>
      </c>
      <c r="R2384">
        <v>0.99785622874524904</v>
      </c>
      <c r="S2384" t="s">
        <v>6013</v>
      </c>
      <c r="T2384" t="s">
        <v>7256</v>
      </c>
      <c r="U2384" t="s">
        <v>7256</v>
      </c>
      <c r="V2384" t="s">
        <v>7256</v>
      </c>
      <c r="W2384">
        <v>4</v>
      </c>
      <c r="X2384" t="s">
        <v>9640</v>
      </c>
      <c r="Y2384">
        <v>0.44459429842995801</v>
      </c>
      <c r="Z2384" t="str">
        <f>HYPERLINK("Melting_Curves/meltCurve_sp_Q9BRG1_VPS25_HUMAN_.pdf", "Melting_Curves/meltCurve_sp_Q9BRG1_VPS25_HUMAN_.pdf")</f>
        <v>Melting_Curves/meltCurve_sp_Q9BRG1_VPS25_HUMAN_.pdf</v>
      </c>
      <c r="AA2384" t="s">
        <v>13235</v>
      </c>
      <c r="AB2384" t="s">
        <v>16809</v>
      </c>
    </row>
    <row r="2385" spans="1:28" x14ac:dyDescent="0.25">
      <c r="A2385" t="s">
        <v>2389</v>
      </c>
      <c r="B2385">
        <v>0.98018197421672304</v>
      </c>
      <c r="C2385">
        <v>0.98573801300624198</v>
      </c>
      <c r="D2385">
        <v>0.90808783348254196</v>
      </c>
      <c r="E2385">
        <v>0.75916298118285597</v>
      </c>
      <c r="F2385">
        <v>0.53582863105991696</v>
      </c>
      <c r="G2385">
        <v>0.31283009030363201</v>
      </c>
      <c r="H2385">
        <v>0.35326435282299701</v>
      </c>
      <c r="I2385">
        <v>0.29162480742168301</v>
      </c>
      <c r="J2385">
        <v>0.56762562397268501</v>
      </c>
      <c r="K2385">
        <v>0.41062288252759499</v>
      </c>
      <c r="L2385">
        <v>1477.2683423805499</v>
      </c>
      <c r="M2385">
        <v>29.1968578095561</v>
      </c>
      <c r="N2385">
        <v>53.2953895528739</v>
      </c>
      <c r="O2385">
        <v>50.3612435816881</v>
      </c>
      <c r="P2385">
        <v>-8.8992921771059302E-2</v>
      </c>
      <c r="Q2385">
        <v>0.38599389406519602</v>
      </c>
      <c r="R2385">
        <v>0.91645799010245699</v>
      </c>
      <c r="S2385" t="s">
        <v>6014</v>
      </c>
      <c r="T2385" t="s">
        <v>7256</v>
      </c>
      <c r="U2385" t="s">
        <v>7256</v>
      </c>
      <c r="V2385" t="s">
        <v>7256</v>
      </c>
      <c r="W2385">
        <v>4</v>
      </c>
      <c r="X2385" t="s">
        <v>9641</v>
      </c>
      <c r="Y2385">
        <v>0.60692774309470476</v>
      </c>
      <c r="Z2385" t="str">
        <f>HYPERLINK("Melting_Curves/meltCurve_sp_Q9BRK5_CAB45_HUMAN_.pdf", "Melting_Curves/meltCurve_sp_Q9BRK5_CAB45_HUMAN_.pdf")</f>
        <v>Melting_Curves/meltCurve_sp_Q9BRK5_CAB45_HUMAN_.pdf</v>
      </c>
      <c r="AA2385" t="s">
        <v>13236</v>
      </c>
      <c r="AB2385" t="s">
        <v>16810</v>
      </c>
    </row>
    <row r="2386" spans="1:28" x14ac:dyDescent="0.25">
      <c r="A2386" t="s">
        <v>2390</v>
      </c>
      <c r="B2386">
        <v>0.98018197421672304</v>
      </c>
      <c r="C2386">
        <v>0.92808725602750497</v>
      </c>
      <c r="D2386">
        <v>0.781380910040256</v>
      </c>
      <c r="E2386">
        <v>0.65162888049309697</v>
      </c>
      <c r="F2386">
        <v>0.49062060189510698</v>
      </c>
      <c r="G2386">
        <v>0.35122731766496101</v>
      </c>
      <c r="H2386">
        <v>0.149641000621623</v>
      </c>
      <c r="I2386">
        <v>6.5610922726804299E-2</v>
      </c>
      <c r="J2386">
        <v>4.9830956613188697E-2</v>
      </c>
      <c r="K2386">
        <v>7.1847676988135503E-2</v>
      </c>
      <c r="L2386">
        <v>592.48379093980998</v>
      </c>
      <c r="M2386">
        <v>11.2689287502273</v>
      </c>
      <c r="N2386">
        <v>52.576757979588301</v>
      </c>
      <c r="O2386">
        <v>51.0026626777573</v>
      </c>
      <c r="P2386">
        <v>-5.5253947280838898E-2</v>
      </c>
      <c r="Q2386">
        <v>0</v>
      </c>
      <c r="R2386">
        <v>0.99103989529282599</v>
      </c>
      <c r="S2386" t="s">
        <v>6015</v>
      </c>
      <c r="T2386" t="s">
        <v>7256</v>
      </c>
      <c r="U2386" t="s">
        <v>7256</v>
      </c>
      <c r="V2386" t="s">
        <v>7256</v>
      </c>
      <c r="W2386">
        <v>3</v>
      </c>
      <c r="X2386" t="s">
        <v>9642</v>
      </c>
      <c r="Y2386">
        <v>0.4508304736684744</v>
      </c>
      <c r="Z2386" t="str">
        <f>HYPERLINK("Melting_Curves/meltCurve_sp_Q9BRP4_PAAF1_HUMAN_.pdf", "Melting_Curves/meltCurve_sp_Q9BRP4_PAAF1_HUMAN_.pdf")</f>
        <v>Melting_Curves/meltCurve_sp_Q9BRP4_PAAF1_HUMAN_.pdf</v>
      </c>
      <c r="AA2386" t="s">
        <v>13237</v>
      </c>
      <c r="AB2386" t="s">
        <v>16811</v>
      </c>
    </row>
    <row r="2387" spans="1:28" x14ac:dyDescent="0.25">
      <c r="A2387" t="s">
        <v>2391</v>
      </c>
      <c r="B2387">
        <v>0.98018197421672304</v>
      </c>
      <c r="C2387">
        <v>1.0444057758059</v>
      </c>
      <c r="D2387">
        <v>0.90402429526848904</v>
      </c>
      <c r="E2387">
        <v>0.79909384144038997</v>
      </c>
      <c r="F2387">
        <v>0.78641788724667006</v>
      </c>
      <c r="G2387">
        <v>0.63128756330667901</v>
      </c>
      <c r="H2387">
        <v>0.50063601297280302</v>
      </c>
      <c r="I2387">
        <v>0.56579965454400805</v>
      </c>
      <c r="J2387">
        <v>0.54188403709691702</v>
      </c>
      <c r="K2387">
        <v>0.80899505358827895</v>
      </c>
      <c r="L2387">
        <v>958.40210584568797</v>
      </c>
      <c r="M2387">
        <v>18.993655653924701</v>
      </c>
      <c r="O2387">
        <v>49.909715395582602</v>
      </c>
      <c r="P2387">
        <v>-3.76161779873656E-2</v>
      </c>
      <c r="Q2387">
        <v>0.604639000200204</v>
      </c>
      <c r="R2387">
        <v>0.77719598231515996</v>
      </c>
      <c r="S2387" t="s">
        <v>6016</v>
      </c>
      <c r="T2387" t="s">
        <v>7256</v>
      </c>
      <c r="U2387" t="s">
        <v>7256</v>
      </c>
      <c r="V2387" t="s">
        <v>7256</v>
      </c>
      <c r="W2387">
        <v>6</v>
      </c>
      <c r="X2387" t="s">
        <v>9643</v>
      </c>
      <c r="Y2387">
        <v>0.74853840530559368</v>
      </c>
      <c r="Z2387" t="str">
        <f>HYPERLINK("Melting_Curves/meltCurve_sp_Q9BRP8_2_WIBG_HUMAN_.pdf", "Melting_Curves/meltCurve_sp_Q9BRP8_2_WIBG_HUMAN_.pdf")</f>
        <v>Melting_Curves/meltCurve_sp_Q9BRP8_2_WIBG_HUMAN_.pdf</v>
      </c>
      <c r="AA2387" t="s">
        <v>13238</v>
      </c>
      <c r="AB2387" t="s">
        <v>16812</v>
      </c>
    </row>
    <row r="2388" spans="1:28" x14ac:dyDescent="0.25">
      <c r="A2388" t="s">
        <v>2392</v>
      </c>
      <c r="B2388">
        <v>0.98018197421672304</v>
      </c>
      <c r="C2388">
        <v>0.84852381289664103</v>
      </c>
      <c r="D2388">
        <v>0.85469503725441498</v>
      </c>
      <c r="E2388">
        <v>0.74485494147478604</v>
      </c>
      <c r="F2388">
        <v>0.69779924214014999</v>
      </c>
      <c r="G2388">
        <v>0.50659484700785296</v>
      </c>
      <c r="H2388">
        <v>0.36702464654518402</v>
      </c>
      <c r="I2388">
        <v>0.390925330171079</v>
      </c>
      <c r="J2388">
        <v>0.40627592292904102</v>
      </c>
      <c r="K2388">
        <v>0.44605394892321798</v>
      </c>
      <c r="L2388">
        <v>519.25977141992803</v>
      </c>
      <c r="M2388">
        <v>10.025314581144</v>
      </c>
      <c r="N2388">
        <v>58.194704746568199</v>
      </c>
      <c r="O2388">
        <v>49.860584760126002</v>
      </c>
      <c r="P2388">
        <v>-3.3494661137953199E-2</v>
      </c>
      <c r="Q2388">
        <v>0.33398227686034998</v>
      </c>
      <c r="R2388">
        <v>0.94722966958503896</v>
      </c>
      <c r="S2388" t="s">
        <v>6017</v>
      </c>
      <c r="T2388" t="s">
        <v>7256</v>
      </c>
      <c r="U2388" t="s">
        <v>7256</v>
      </c>
      <c r="V2388" t="s">
        <v>7256</v>
      </c>
      <c r="W2388">
        <v>4</v>
      </c>
      <c r="X2388" t="s">
        <v>9644</v>
      </c>
      <c r="Y2388">
        <v>0.62154870388296557</v>
      </c>
      <c r="Z2388" t="str">
        <f>HYPERLINK("Melting_Curves/meltCurve_sp_Q9BRT3_MIEN1_HUMAN_.pdf", "Melting_Curves/meltCurve_sp_Q9BRT3_MIEN1_HUMAN_.pdf")</f>
        <v>Melting_Curves/meltCurve_sp_Q9BRT3_MIEN1_HUMAN_.pdf</v>
      </c>
      <c r="AA2388" t="s">
        <v>13239</v>
      </c>
      <c r="AB2388" t="s">
        <v>16813</v>
      </c>
    </row>
    <row r="2389" spans="1:28" x14ac:dyDescent="0.25">
      <c r="A2389" t="s">
        <v>2393</v>
      </c>
      <c r="B2389">
        <v>0.98018197421672304</v>
      </c>
      <c r="C2389">
        <v>0.64738097621589297</v>
      </c>
      <c r="D2389">
        <v>0.54377167309956298</v>
      </c>
      <c r="E2389">
        <v>0.126486631538058</v>
      </c>
      <c r="F2389">
        <v>0.13518030556761801</v>
      </c>
      <c r="G2389">
        <v>4.8046133811364402E-3</v>
      </c>
      <c r="H2389">
        <v>0.124413720791761</v>
      </c>
      <c r="I2389">
        <v>8.8157149097668294E-2</v>
      </c>
      <c r="J2389">
        <v>0.244304875457588</v>
      </c>
      <c r="K2389">
        <v>0.179253335182603</v>
      </c>
      <c r="L2389">
        <v>929.12940021751899</v>
      </c>
      <c r="M2389">
        <v>20.7715596629745</v>
      </c>
      <c r="N2389">
        <v>45.312601033393001</v>
      </c>
      <c r="O2389">
        <v>44.322444635302901</v>
      </c>
      <c r="P2389">
        <v>-0.10345179252928401</v>
      </c>
      <c r="Q2389">
        <v>0.117041194710869</v>
      </c>
      <c r="R2389">
        <v>0.925599175298496</v>
      </c>
      <c r="S2389" t="s">
        <v>6018</v>
      </c>
      <c r="T2389" t="s">
        <v>7256</v>
      </c>
      <c r="U2389" t="s">
        <v>7256</v>
      </c>
      <c r="V2389" t="s">
        <v>7256</v>
      </c>
      <c r="W2389">
        <v>1</v>
      </c>
      <c r="X2389" t="s">
        <v>9645</v>
      </c>
      <c r="Y2389">
        <v>0.27040595766425829</v>
      </c>
      <c r="Z2389" t="str">
        <f>HYPERLINK("Melting_Curves/meltCurve_sp_Q9BRX2_PELO_HUMAN_.pdf", "Melting_Curves/meltCurve_sp_Q9BRX2_PELO_HUMAN_.pdf")</f>
        <v>Melting_Curves/meltCurve_sp_Q9BRX2_PELO_HUMAN_.pdf</v>
      </c>
      <c r="AA2389" t="s">
        <v>13240</v>
      </c>
      <c r="AB2389" t="s">
        <v>16814</v>
      </c>
    </row>
    <row r="2390" spans="1:28" x14ac:dyDescent="0.25">
      <c r="A2390" t="s">
        <v>2394</v>
      </c>
      <c r="B2390">
        <v>0.98018197421672304</v>
      </c>
      <c r="C2390">
        <v>1.0688452231816199</v>
      </c>
      <c r="D2390">
        <v>0.82233950495341601</v>
      </c>
      <c r="E2390">
        <v>0.54262569744326095</v>
      </c>
      <c r="F2390">
        <v>0.51802630479751999</v>
      </c>
      <c r="G2390">
        <v>0.31807560068562701</v>
      </c>
      <c r="H2390">
        <v>0.25740500515125597</v>
      </c>
      <c r="I2390">
        <v>0.16378155959503199</v>
      </c>
      <c r="J2390">
        <v>0.190554915367736</v>
      </c>
      <c r="K2390">
        <v>6.0499231860900803E-2</v>
      </c>
      <c r="L2390">
        <v>649.63764749903498</v>
      </c>
      <c r="M2390">
        <v>12.6050983609961</v>
      </c>
      <c r="N2390">
        <v>52.492456895375597</v>
      </c>
      <c r="O2390">
        <v>50.292170719924698</v>
      </c>
      <c r="P2390">
        <v>-5.62515486492738E-2</v>
      </c>
      <c r="Q2390">
        <v>0.10244282702514</v>
      </c>
      <c r="R2390">
        <v>0.96668302941616202</v>
      </c>
      <c r="S2390" t="s">
        <v>6019</v>
      </c>
      <c r="T2390" t="s">
        <v>7256</v>
      </c>
      <c r="U2390" t="s">
        <v>7256</v>
      </c>
      <c r="V2390" t="s">
        <v>7256</v>
      </c>
      <c r="W2390">
        <v>2</v>
      </c>
      <c r="X2390" t="s">
        <v>9646</v>
      </c>
      <c r="Y2390">
        <v>0.47408583934889331</v>
      </c>
      <c r="Z2390" t="str">
        <f>HYPERLINK("Melting_Curves/meltCurve_sp_Q9BRZ2_TRI56_HUMAN_.pdf", "Melting_Curves/meltCurve_sp_Q9BRZ2_TRI56_HUMAN_.pdf")</f>
        <v>Melting_Curves/meltCurve_sp_Q9BRZ2_TRI56_HUMAN_.pdf</v>
      </c>
      <c r="AA2390" t="s">
        <v>13241</v>
      </c>
      <c r="AB2390" t="s">
        <v>16815</v>
      </c>
    </row>
    <row r="2391" spans="1:28" x14ac:dyDescent="0.25">
      <c r="A2391" t="s">
        <v>2395</v>
      </c>
      <c r="B2391">
        <v>0.98018197421672304</v>
      </c>
      <c r="C2391">
        <v>1.0063159049235799</v>
      </c>
      <c r="D2391">
        <v>0.91073893529257899</v>
      </c>
      <c r="E2391">
        <v>0.78527867841077004</v>
      </c>
      <c r="F2391">
        <v>0.66620155333527198</v>
      </c>
      <c r="G2391">
        <v>0.15238926981716799</v>
      </c>
      <c r="H2391">
        <v>6.1512463402465599E-2</v>
      </c>
      <c r="I2391">
        <v>4.3560440823499601E-2</v>
      </c>
      <c r="J2391">
        <v>4.9844524713656503E-2</v>
      </c>
      <c r="K2391">
        <v>3.83506946663182E-2</v>
      </c>
      <c r="L2391">
        <v>1279.1145550394699</v>
      </c>
      <c r="M2391">
        <v>23.8347919977099</v>
      </c>
      <c r="N2391">
        <v>53.760009041524697</v>
      </c>
      <c r="O2391">
        <v>53.292381637035298</v>
      </c>
      <c r="P2391">
        <v>-0.109528086301994</v>
      </c>
      <c r="Q2391">
        <v>2.0437629347964101E-2</v>
      </c>
      <c r="R2391">
        <v>0.98701567682302505</v>
      </c>
      <c r="S2391" t="s">
        <v>6020</v>
      </c>
      <c r="T2391" t="s">
        <v>7256</v>
      </c>
      <c r="U2391" t="s">
        <v>7256</v>
      </c>
      <c r="V2391" t="s">
        <v>7256</v>
      </c>
      <c r="W2391">
        <v>11</v>
      </c>
      <c r="X2391" t="s">
        <v>9647</v>
      </c>
      <c r="Y2391">
        <v>0.47653358974866378</v>
      </c>
      <c r="Z2391" t="str">
        <f>HYPERLINK("Melting_Curves/meltCurve_sp_Q9BS26_ERP44_HUMAN_.pdf", "Melting_Curves/meltCurve_sp_Q9BS26_ERP44_HUMAN_.pdf")</f>
        <v>Melting_Curves/meltCurve_sp_Q9BS26_ERP44_HUMAN_.pdf</v>
      </c>
      <c r="AA2391" t="s">
        <v>13242</v>
      </c>
      <c r="AB2391" t="s">
        <v>16816</v>
      </c>
    </row>
    <row r="2392" spans="1:28" x14ac:dyDescent="0.25">
      <c r="A2392" t="s">
        <v>2396</v>
      </c>
      <c r="B2392">
        <v>0.98018197421672304</v>
      </c>
      <c r="C2392">
        <v>1.0207688818374401</v>
      </c>
      <c r="D2392">
        <v>0.65649085352297498</v>
      </c>
      <c r="E2392">
        <v>0.384342701678767</v>
      </c>
      <c r="F2392">
        <v>0.15475505672162801</v>
      </c>
      <c r="G2392">
        <v>9.0810805773986494E-2</v>
      </c>
      <c r="H2392">
        <v>0.132880889233465</v>
      </c>
      <c r="I2392">
        <v>0.11932687430486701</v>
      </c>
      <c r="J2392">
        <v>9.3889426859608799E-2</v>
      </c>
      <c r="K2392">
        <v>4.2706263951595602E-2</v>
      </c>
      <c r="L2392">
        <v>1048.2923228135901</v>
      </c>
      <c r="M2392">
        <v>21.965252695471701</v>
      </c>
      <c r="N2392">
        <v>48.151976588494897</v>
      </c>
      <c r="O2392">
        <v>47.334737859771799</v>
      </c>
      <c r="P2392">
        <v>-0.105747819818516</v>
      </c>
      <c r="Q2392">
        <v>8.8481576283227503E-2</v>
      </c>
      <c r="R2392">
        <v>0.98405715755634404</v>
      </c>
      <c r="S2392" t="s">
        <v>6021</v>
      </c>
      <c r="T2392" t="s">
        <v>7256</v>
      </c>
      <c r="U2392" t="s">
        <v>7256</v>
      </c>
      <c r="V2392" t="s">
        <v>7256</v>
      </c>
      <c r="W2392">
        <v>1</v>
      </c>
      <c r="X2392" t="s">
        <v>9648</v>
      </c>
      <c r="Y2392">
        <v>0.33385352827985371</v>
      </c>
      <c r="Z2392" t="str">
        <f>HYPERLINK("Melting_Curves/meltCurve_sp_Q9BSE5_SPEB_HUMAN_.pdf", "Melting_Curves/meltCurve_sp_Q9BSE5_SPEB_HUMAN_.pdf")</f>
        <v>Melting_Curves/meltCurve_sp_Q9BSE5_SPEB_HUMAN_.pdf</v>
      </c>
      <c r="AA2392" t="s">
        <v>13243</v>
      </c>
      <c r="AB2392" t="s">
        <v>16817</v>
      </c>
    </row>
    <row r="2393" spans="1:28" x14ac:dyDescent="0.25">
      <c r="A2393" t="s">
        <v>2397</v>
      </c>
      <c r="B2393">
        <v>0.98018197421672304</v>
      </c>
      <c r="C2393">
        <v>0.95470609864056799</v>
      </c>
      <c r="D2393">
        <v>0.88598509974685702</v>
      </c>
      <c r="E2393">
        <v>0.70598505780174703</v>
      </c>
      <c r="F2393">
        <v>0.38941035214478897</v>
      </c>
      <c r="G2393">
        <v>0.154098727524764</v>
      </c>
      <c r="H2393">
        <v>8.9608503624911906E-2</v>
      </c>
      <c r="I2393">
        <v>7.1376948530738102E-2</v>
      </c>
      <c r="J2393">
        <v>6.9675723320560295E-2</v>
      </c>
      <c r="K2393">
        <v>7.5928898574717907E-2</v>
      </c>
      <c r="L2393">
        <v>1065.17177753276</v>
      </c>
      <c r="M2393">
        <v>20.667462400255701</v>
      </c>
      <c r="N2393">
        <v>51.842712223870599</v>
      </c>
      <c r="O2393">
        <v>51.063354687335099</v>
      </c>
      <c r="P2393">
        <v>-9.5411476522439406E-2</v>
      </c>
      <c r="Q2393">
        <v>5.7089768209698299E-2</v>
      </c>
      <c r="R2393">
        <v>0.99675012166304</v>
      </c>
      <c r="S2393" t="s">
        <v>6022</v>
      </c>
      <c r="T2393" t="s">
        <v>7256</v>
      </c>
      <c r="U2393" t="s">
        <v>7256</v>
      </c>
      <c r="V2393" t="s">
        <v>7256</v>
      </c>
      <c r="W2393">
        <v>7</v>
      </c>
      <c r="X2393" t="s">
        <v>9649</v>
      </c>
      <c r="Y2393">
        <v>0.4320554752997125</v>
      </c>
      <c r="Z2393" t="str">
        <f>HYPERLINK("Melting_Curves/meltCurve_sp_Q9BSH4_TACO1_HUMAN_.pdf", "Melting_Curves/meltCurve_sp_Q9BSH4_TACO1_HUMAN_.pdf")</f>
        <v>Melting_Curves/meltCurve_sp_Q9BSH4_TACO1_HUMAN_.pdf</v>
      </c>
      <c r="AA2393" t="s">
        <v>13244</v>
      </c>
      <c r="AB2393" t="s">
        <v>16818</v>
      </c>
    </row>
    <row r="2394" spans="1:28" x14ac:dyDescent="0.25">
      <c r="A2394" t="s">
        <v>2398</v>
      </c>
      <c r="B2394">
        <v>0.98018197421672304</v>
      </c>
      <c r="C2394">
        <v>1.0559132169599801</v>
      </c>
      <c r="D2394">
        <v>0.94987378280215196</v>
      </c>
      <c r="E2394">
        <v>0.779536302088356</v>
      </c>
      <c r="F2394">
        <v>0.70934424303906596</v>
      </c>
      <c r="G2394">
        <v>0.540420792018662</v>
      </c>
      <c r="H2394">
        <v>0.27679898143991899</v>
      </c>
      <c r="I2394">
        <v>0.14397402104957199</v>
      </c>
      <c r="J2394">
        <v>9.1665056844728296E-2</v>
      </c>
      <c r="K2394">
        <v>7.2588706325209404E-2</v>
      </c>
      <c r="L2394">
        <v>743.49503119596898</v>
      </c>
      <c r="M2394">
        <v>13.1393594880949</v>
      </c>
      <c r="N2394">
        <v>56.585330971302703</v>
      </c>
      <c r="O2394">
        <v>55.322749254172699</v>
      </c>
      <c r="P2394">
        <v>-5.9385973699512998E-2</v>
      </c>
      <c r="Q2394">
        <v>0</v>
      </c>
      <c r="R2394">
        <v>0.98814020086457599</v>
      </c>
      <c r="S2394" t="s">
        <v>6023</v>
      </c>
      <c r="T2394" t="s">
        <v>7256</v>
      </c>
      <c r="U2394" t="s">
        <v>7256</v>
      </c>
      <c r="V2394" t="s">
        <v>7256</v>
      </c>
      <c r="W2394">
        <v>13</v>
      </c>
      <c r="X2394" t="s">
        <v>9650</v>
      </c>
      <c r="Y2394">
        <v>0.57075919964323762</v>
      </c>
      <c r="Z2394" t="str">
        <f>HYPERLINK("Melting_Curves/meltCurve_sp_Q9BSH5_HDHD3_HUMAN_.pdf", "Melting_Curves/meltCurve_sp_Q9BSH5_HDHD3_HUMAN_.pdf")</f>
        <v>Melting_Curves/meltCurve_sp_Q9BSH5_HDHD3_HUMAN_.pdf</v>
      </c>
      <c r="AA2394" t="s">
        <v>13245</v>
      </c>
      <c r="AB2394" t="s">
        <v>16819</v>
      </c>
    </row>
    <row r="2395" spans="1:28" x14ac:dyDescent="0.25">
      <c r="A2395" t="s">
        <v>2399</v>
      </c>
      <c r="B2395">
        <v>0.98018197421672304</v>
      </c>
      <c r="C2395">
        <v>1.1207965728773299</v>
      </c>
      <c r="D2395">
        <v>1.0810728507484</v>
      </c>
      <c r="E2395">
        <v>0.74193127719242502</v>
      </c>
      <c r="F2395">
        <v>0.194087128567526</v>
      </c>
      <c r="G2395">
        <v>0.11718085605091801</v>
      </c>
      <c r="H2395">
        <v>5.6019248283965997E-2</v>
      </c>
      <c r="I2395">
        <v>3.7175025185904598E-2</v>
      </c>
      <c r="J2395">
        <v>2.7801215943831201E-2</v>
      </c>
      <c r="K2395">
        <v>1.9502715356882201E-2</v>
      </c>
      <c r="L2395">
        <v>2396.9175451207698</v>
      </c>
      <c r="M2395">
        <v>46.930836895590197</v>
      </c>
      <c r="N2395">
        <v>51.187199707702497</v>
      </c>
      <c r="O2395">
        <v>50.980927757036497</v>
      </c>
      <c r="P2395">
        <v>-0.21873891505636101</v>
      </c>
      <c r="Q2395">
        <v>4.9537462498716399E-2</v>
      </c>
      <c r="R2395">
        <v>0.98666220841298802</v>
      </c>
      <c r="S2395" t="s">
        <v>6024</v>
      </c>
      <c r="T2395" t="s">
        <v>7256</v>
      </c>
      <c r="U2395" t="s">
        <v>7256</v>
      </c>
      <c r="V2395" t="s">
        <v>7256</v>
      </c>
      <c r="W2395">
        <v>1</v>
      </c>
      <c r="X2395" t="s">
        <v>9651</v>
      </c>
      <c r="Y2395">
        <v>0.40279813549582461</v>
      </c>
      <c r="Z2395" t="str">
        <f>HYPERLINK("Melting_Curves/meltCurve_sp_Q9BSJ5_3_CQ080_HUMAN_.pdf", "Melting_Curves/meltCurve_sp_Q9BSJ5_3_CQ080_HUMAN_.pdf")</f>
        <v>Melting_Curves/meltCurve_sp_Q9BSJ5_3_CQ080_HUMAN_.pdf</v>
      </c>
      <c r="AA2395" t="s">
        <v>13246</v>
      </c>
      <c r="AB2395" t="s">
        <v>16820</v>
      </c>
    </row>
    <row r="2396" spans="1:28" x14ac:dyDescent="0.25">
      <c r="A2396" t="s">
        <v>2400</v>
      </c>
      <c r="B2396">
        <v>0.98018197421672304</v>
      </c>
      <c r="C2396">
        <v>0.95192341147926596</v>
      </c>
      <c r="D2396">
        <v>0.79487906562548205</v>
      </c>
      <c r="E2396">
        <v>0.45979257609435797</v>
      </c>
      <c r="F2396">
        <v>0.25850337851968802</v>
      </c>
      <c r="G2396">
        <v>0.12799824469336701</v>
      </c>
      <c r="H2396">
        <v>5.9554177656158003E-2</v>
      </c>
      <c r="I2396">
        <v>4.4039281561432199E-2</v>
      </c>
      <c r="J2396">
        <v>5.0817153869764299E-2</v>
      </c>
      <c r="K2396">
        <v>4.1762926405643698E-2</v>
      </c>
      <c r="L2396">
        <v>884.85929480735797</v>
      </c>
      <c r="M2396">
        <v>17.9178394286388</v>
      </c>
      <c r="N2396">
        <v>49.593896292698297</v>
      </c>
      <c r="O2396">
        <v>48.781455231948698</v>
      </c>
      <c r="P2396">
        <v>-8.8482546257136793E-2</v>
      </c>
      <c r="Q2396">
        <v>3.6470764448191598E-2</v>
      </c>
      <c r="R2396">
        <v>0.99963798666773196</v>
      </c>
      <c r="S2396" t="s">
        <v>6025</v>
      </c>
      <c r="T2396" t="s">
        <v>7256</v>
      </c>
      <c r="U2396" t="s">
        <v>7256</v>
      </c>
      <c r="V2396" t="s">
        <v>7256</v>
      </c>
      <c r="W2396">
        <v>5</v>
      </c>
      <c r="X2396" t="s">
        <v>9652</v>
      </c>
      <c r="Y2396">
        <v>0.35459819116843527</v>
      </c>
      <c r="Z2396" t="str">
        <f>HYPERLINK("Melting_Curves/meltCurve_sp_Q9BSJ8_ESYT1_HUMAN_.pdf", "Melting_Curves/meltCurve_sp_Q9BSJ8_ESYT1_HUMAN_.pdf")</f>
        <v>Melting_Curves/meltCurve_sp_Q9BSJ8_ESYT1_HUMAN_.pdf</v>
      </c>
      <c r="AA2396" t="s">
        <v>13247</v>
      </c>
      <c r="AB2396" t="s">
        <v>16821</v>
      </c>
    </row>
    <row r="2397" spans="1:28" x14ac:dyDescent="0.25">
      <c r="A2397" t="s">
        <v>2401</v>
      </c>
      <c r="B2397">
        <v>0.98018197421672304</v>
      </c>
      <c r="C2397">
        <v>1.0628609870650101</v>
      </c>
      <c r="D2397">
        <v>0.89244876543090801</v>
      </c>
      <c r="E2397">
        <v>0.43553179981027301</v>
      </c>
      <c r="F2397">
        <v>0.120982411438007</v>
      </c>
      <c r="G2397">
        <v>9.8077443059478103E-2</v>
      </c>
      <c r="H2397">
        <v>4.4568508728080297E-2</v>
      </c>
      <c r="I2397">
        <v>2.66883763589175E-2</v>
      </c>
      <c r="J2397">
        <v>0</v>
      </c>
      <c r="K2397">
        <v>0</v>
      </c>
      <c r="L2397">
        <v>1485.8860357233</v>
      </c>
      <c r="M2397">
        <v>30.063985669245699</v>
      </c>
      <c r="N2397">
        <v>49.513643360971301</v>
      </c>
      <c r="O2397">
        <v>49.2069909305674</v>
      </c>
      <c r="P2397">
        <v>-0.148702889966906</v>
      </c>
      <c r="Q2397">
        <v>2.6453167671466701E-2</v>
      </c>
      <c r="R2397">
        <v>0.993873036128048</v>
      </c>
      <c r="S2397" t="s">
        <v>6026</v>
      </c>
      <c r="T2397" t="s">
        <v>7256</v>
      </c>
      <c r="U2397" t="s">
        <v>7256</v>
      </c>
      <c r="V2397" t="s">
        <v>7256</v>
      </c>
      <c r="W2397">
        <v>2</v>
      </c>
      <c r="X2397" t="s">
        <v>9653</v>
      </c>
      <c r="Y2397">
        <v>0.33822164333268018</v>
      </c>
      <c r="Z2397" t="str">
        <f>HYPERLINK("Melting_Curves/meltCurve_sp_Q9BST9_3_RTKN_HUMAN_.pdf", "Melting_Curves/meltCurve_sp_Q9BST9_3_RTKN_HUMAN_.pdf")</f>
        <v>Melting_Curves/meltCurve_sp_Q9BST9_3_RTKN_HUMAN_.pdf</v>
      </c>
      <c r="AA2397" t="s">
        <v>13248</v>
      </c>
      <c r="AB2397" t="s">
        <v>16822</v>
      </c>
    </row>
    <row r="2398" spans="1:28" x14ac:dyDescent="0.25">
      <c r="A2398" t="s">
        <v>2402</v>
      </c>
      <c r="B2398">
        <v>0.98018197421672304</v>
      </c>
      <c r="C2398">
        <v>0.898863675011491</v>
      </c>
      <c r="D2398">
        <v>0.85801963793594904</v>
      </c>
      <c r="E2398">
        <v>0.65436765430464805</v>
      </c>
      <c r="F2398">
        <v>0.53219977228701798</v>
      </c>
      <c r="G2398">
        <v>0.39804117851080101</v>
      </c>
      <c r="H2398">
        <v>0.26461894599829999</v>
      </c>
      <c r="I2398">
        <v>0.26741295126389703</v>
      </c>
      <c r="J2398">
        <v>0.25746060695421902</v>
      </c>
      <c r="K2398">
        <v>0.34146234289036898</v>
      </c>
      <c r="L2398">
        <v>685.64611133689004</v>
      </c>
      <c r="M2398">
        <v>13.5542921160053</v>
      </c>
      <c r="N2398">
        <v>53.335661260280197</v>
      </c>
      <c r="O2398">
        <v>49.522169121911197</v>
      </c>
      <c r="P2398">
        <v>-5.1227085286748297E-2</v>
      </c>
      <c r="Q2398">
        <v>0.25145610545479702</v>
      </c>
      <c r="R2398">
        <v>0.98403358548652897</v>
      </c>
      <c r="S2398" t="s">
        <v>6027</v>
      </c>
      <c r="T2398" t="s">
        <v>7256</v>
      </c>
      <c r="U2398" t="s">
        <v>7256</v>
      </c>
      <c r="V2398" t="s">
        <v>7256</v>
      </c>
      <c r="W2398">
        <v>5</v>
      </c>
      <c r="X2398" t="s">
        <v>9654</v>
      </c>
      <c r="Y2398">
        <v>0.53629812497782181</v>
      </c>
      <c r="Z2398" t="str">
        <f>HYPERLINK("Melting_Curves/meltCurve_sp_Q9BSY4_CHCH5_HUMAN_.pdf", "Melting_Curves/meltCurve_sp_Q9BSY4_CHCH5_HUMAN_.pdf")</f>
        <v>Melting_Curves/meltCurve_sp_Q9BSY4_CHCH5_HUMAN_.pdf</v>
      </c>
      <c r="AA2398" t="s">
        <v>13249</v>
      </c>
      <c r="AB2398" t="s">
        <v>16823</v>
      </c>
    </row>
    <row r="2399" spans="1:28" x14ac:dyDescent="0.25">
      <c r="A2399" t="s">
        <v>2403</v>
      </c>
      <c r="B2399">
        <v>0.98018197421672304</v>
      </c>
      <c r="C2399">
        <v>0.95036297136571901</v>
      </c>
      <c r="D2399">
        <v>0.88794821796364798</v>
      </c>
      <c r="E2399">
        <v>0.74592233263244501</v>
      </c>
      <c r="F2399">
        <v>0.61637168176959101</v>
      </c>
      <c r="G2399">
        <v>0.34255829313094599</v>
      </c>
      <c r="H2399">
        <v>0.40648186173741502</v>
      </c>
      <c r="I2399">
        <v>0.42508036102605901</v>
      </c>
      <c r="J2399">
        <v>0.40638500282707002</v>
      </c>
      <c r="K2399">
        <v>0.53454416542507199</v>
      </c>
      <c r="L2399">
        <v>1068.23889307125</v>
      </c>
      <c r="M2399">
        <v>21.244425462078102</v>
      </c>
      <c r="N2399">
        <v>55.012469727900097</v>
      </c>
      <c r="O2399">
        <v>49.844079313395</v>
      </c>
      <c r="P2399">
        <v>-6.1856819504594499E-2</v>
      </c>
      <c r="Q2399">
        <v>0.41949624234602501</v>
      </c>
      <c r="R2399">
        <v>0.93574806199339899</v>
      </c>
      <c r="S2399" t="s">
        <v>6028</v>
      </c>
      <c r="T2399" t="s">
        <v>7256</v>
      </c>
      <c r="U2399" t="s">
        <v>7256</v>
      </c>
      <c r="V2399" t="s">
        <v>7256</v>
      </c>
      <c r="W2399">
        <v>6</v>
      </c>
      <c r="X2399" t="s">
        <v>9655</v>
      </c>
      <c r="Y2399">
        <v>0.62565935651158011</v>
      </c>
      <c r="Z2399" t="str">
        <f>HYPERLINK("Melting_Curves/meltCurve_sp_Q9BT09_CNPY3_HUMAN_.pdf", "Melting_Curves/meltCurve_sp_Q9BT09_CNPY3_HUMAN_.pdf")</f>
        <v>Melting_Curves/meltCurve_sp_Q9BT09_CNPY3_HUMAN_.pdf</v>
      </c>
      <c r="AA2399" t="s">
        <v>13250</v>
      </c>
      <c r="AB2399" t="s">
        <v>16824</v>
      </c>
    </row>
    <row r="2400" spans="1:28" x14ac:dyDescent="0.25">
      <c r="A2400" t="s">
        <v>2404</v>
      </c>
      <c r="B2400">
        <v>0.98018197421672304</v>
      </c>
      <c r="C2400">
        <v>1.1294753781648801</v>
      </c>
      <c r="D2400">
        <v>0.66535093133134804</v>
      </c>
      <c r="E2400">
        <v>0.26823674872112102</v>
      </c>
      <c r="F2400">
        <v>0.150123035946126</v>
      </c>
      <c r="G2400">
        <v>9.5752144998056302E-2</v>
      </c>
      <c r="H2400">
        <v>5.61801740703433E-2</v>
      </c>
      <c r="I2400">
        <v>5.2213275671961899E-2</v>
      </c>
      <c r="J2400">
        <v>4.0560163471929901E-2</v>
      </c>
      <c r="K2400">
        <v>2.0806193208888501E-2</v>
      </c>
      <c r="L2400">
        <v>1318.2651606935999</v>
      </c>
      <c r="M2400">
        <v>27.743899544954701</v>
      </c>
      <c r="N2400">
        <v>47.732618430186101</v>
      </c>
      <c r="O2400">
        <v>47.270691793448897</v>
      </c>
      <c r="P2400">
        <v>-0.13803182933168101</v>
      </c>
      <c r="Q2400">
        <v>5.92811903339295E-2</v>
      </c>
      <c r="R2400">
        <v>0.97507935617840402</v>
      </c>
      <c r="S2400" t="s">
        <v>6029</v>
      </c>
      <c r="T2400" t="s">
        <v>7256</v>
      </c>
      <c r="U2400" t="s">
        <v>7256</v>
      </c>
      <c r="V2400" t="s">
        <v>7256</v>
      </c>
      <c r="W2400">
        <v>5</v>
      </c>
      <c r="X2400" t="s">
        <v>9656</v>
      </c>
      <c r="Y2400">
        <v>0.30161184169975941</v>
      </c>
      <c r="Z2400" t="str">
        <f>HYPERLINK("Melting_Curves/meltCurve_sp_Q9BT30_ALKB7_HUMAN_.pdf", "Melting_Curves/meltCurve_sp_Q9BT30_ALKB7_HUMAN_.pdf")</f>
        <v>Melting_Curves/meltCurve_sp_Q9BT30_ALKB7_HUMAN_.pdf</v>
      </c>
      <c r="AA2400" t="s">
        <v>13251</v>
      </c>
      <c r="AB2400" t="s">
        <v>16825</v>
      </c>
    </row>
    <row r="2401" spans="1:28" x14ac:dyDescent="0.25">
      <c r="A2401" t="s">
        <v>2405</v>
      </c>
      <c r="B2401">
        <v>0.98018197421672304</v>
      </c>
      <c r="C2401">
        <v>0.87526489897343596</v>
      </c>
      <c r="D2401">
        <v>0.80961027480177905</v>
      </c>
      <c r="E2401">
        <v>0.59608042311999199</v>
      </c>
      <c r="F2401">
        <v>0.62087747990840203</v>
      </c>
      <c r="G2401">
        <v>0.49825986074113998</v>
      </c>
      <c r="H2401">
        <v>0.31797374120129701</v>
      </c>
      <c r="I2401">
        <v>0.21251032798794001</v>
      </c>
      <c r="J2401">
        <v>0.347167530791541</v>
      </c>
      <c r="K2401">
        <v>0.20299633461448099</v>
      </c>
      <c r="L2401">
        <v>418.017414720906</v>
      </c>
      <c r="M2401">
        <v>7.8116157202905496</v>
      </c>
      <c r="N2401">
        <v>55.116536479643003</v>
      </c>
      <c r="O2401">
        <v>50.345208385787203</v>
      </c>
      <c r="P2401">
        <v>-3.4888885290445003E-2</v>
      </c>
      <c r="Q2401">
        <v>0.101686709968517</v>
      </c>
      <c r="R2401">
        <v>0.956993135145074</v>
      </c>
      <c r="S2401" t="s">
        <v>6030</v>
      </c>
      <c r="T2401" t="s">
        <v>7256</v>
      </c>
      <c r="U2401" t="s">
        <v>7256</v>
      </c>
      <c r="V2401" t="s">
        <v>7256</v>
      </c>
      <c r="W2401">
        <v>2</v>
      </c>
      <c r="X2401" t="s">
        <v>9657</v>
      </c>
      <c r="Y2401">
        <v>0.54029455529948478</v>
      </c>
      <c r="Z2401" t="str">
        <f>HYPERLINK("Melting_Curves/meltCurve_sp_Q9BT73_PSMG3_HUMAN_.pdf", "Melting_Curves/meltCurve_sp_Q9BT73_PSMG3_HUMAN_.pdf")</f>
        <v>Melting_Curves/meltCurve_sp_Q9BT73_PSMG3_HUMAN_.pdf</v>
      </c>
      <c r="AA2401" t="s">
        <v>13252</v>
      </c>
      <c r="AB2401" t="s">
        <v>16826</v>
      </c>
    </row>
    <row r="2402" spans="1:28" x14ac:dyDescent="0.25">
      <c r="A2402" t="s">
        <v>2406</v>
      </c>
      <c r="B2402">
        <v>0.98018197421672304</v>
      </c>
      <c r="C2402">
        <v>0.94304690541970904</v>
      </c>
      <c r="D2402">
        <v>0.890766107086987</v>
      </c>
      <c r="E2402">
        <v>0.80368054007671497</v>
      </c>
      <c r="F2402">
        <v>0.669216811989786</v>
      </c>
      <c r="G2402">
        <v>0.283485591302092</v>
      </c>
      <c r="H2402">
        <v>0.109925301249754</v>
      </c>
      <c r="I2402">
        <v>8.3354867074340006E-2</v>
      </c>
      <c r="J2402">
        <v>6.6758115578223698E-2</v>
      </c>
      <c r="K2402">
        <v>5.8374211469031601E-2</v>
      </c>
      <c r="L2402">
        <v>965.50289288177805</v>
      </c>
      <c r="M2402">
        <v>17.8092041369128</v>
      </c>
      <c r="N2402">
        <v>54.356744773303298</v>
      </c>
      <c r="O2402">
        <v>53.544009455134102</v>
      </c>
      <c r="P2402">
        <v>-8.1252822806656202E-2</v>
      </c>
      <c r="Q2402">
        <v>2.28921600046358E-2</v>
      </c>
      <c r="R2402">
        <v>0.99059290487208096</v>
      </c>
      <c r="S2402" t="s">
        <v>6031</v>
      </c>
      <c r="T2402" t="s">
        <v>7256</v>
      </c>
      <c r="U2402" t="s">
        <v>7256</v>
      </c>
      <c r="V2402" t="s">
        <v>7256</v>
      </c>
      <c r="W2402">
        <v>12</v>
      </c>
      <c r="X2402" t="s">
        <v>9658</v>
      </c>
      <c r="Y2402">
        <v>0.5016155904239834</v>
      </c>
      <c r="Z2402" t="str">
        <f>HYPERLINK("Melting_Curves/meltCurve_sp_Q9BT78_CSN4_HUMAN_.pdf", "Melting_Curves/meltCurve_sp_Q9BT78_CSN4_HUMAN_.pdf")</f>
        <v>Melting_Curves/meltCurve_sp_Q9BT78_CSN4_HUMAN_.pdf</v>
      </c>
      <c r="AA2402" t="s">
        <v>13253</v>
      </c>
      <c r="AB2402" t="s">
        <v>16827</v>
      </c>
    </row>
    <row r="2403" spans="1:28" x14ac:dyDescent="0.25">
      <c r="A2403" t="s">
        <v>2407</v>
      </c>
      <c r="B2403">
        <v>0.98018197421672304</v>
      </c>
      <c r="C2403">
        <v>0.91841741351622497</v>
      </c>
      <c r="D2403">
        <v>0.89337225893861705</v>
      </c>
      <c r="E2403">
        <v>0.73145260107177701</v>
      </c>
      <c r="F2403">
        <v>0.67280954599801002</v>
      </c>
      <c r="G2403">
        <v>0.46183077968585401</v>
      </c>
      <c r="H2403">
        <v>0.42427222380934898</v>
      </c>
      <c r="I2403">
        <v>0.40087888206462002</v>
      </c>
      <c r="J2403">
        <v>0.40824108671881998</v>
      </c>
      <c r="K2403">
        <v>0.600691183616338</v>
      </c>
      <c r="L2403">
        <v>810.94693302687301</v>
      </c>
      <c r="M2403">
        <v>16.135357634848202</v>
      </c>
      <c r="N2403">
        <v>57.998180967128199</v>
      </c>
      <c r="O2403">
        <v>49.506030515199001</v>
      </c>
      <c r="P2403">
        <v>-4.5475439087664798E-2</v>
      </c>
      <c r="Q2403">
        <v>0.44193671998776202</v>
      </c>
      <c r="R2403">
        <v>0.91232165413895305</v>
      </c>
      <c r="S2403" t="s">
        <v>6032</v>
      </c>
      <c r="T2403" t="s">
        <v>7256</v>
      </c>
      <c r="U2403" t="s">
        <v>7256</v>
      </c>
      <c r="V2403" t="s">
        <v>7256</v>
      </c>
      <c r="W2403">
        <v>9</v>
      </c>
      <c r="X2403" t="s">
        <v>9659</v>
      </c>
      <c r="Y2403">
        <v>0.64437380374046827</v>
      </c>
      <c r="Z2403" t="str">
        <f>HYPERLINK("Melting_Curves/meltCurve_sp_Q9BTC0_DIDO1_HUMAN_.pdf", "Melting_Curves/meltCurve_sp_Q9BTC0_DIDO1_HUMAN_.pdf")</f>
        <v>Melting_Curves/meltCurve_sp_Q9BTC0_DIDO1_HUMAN_.pdf</v>
      </c>
      <c r="AA2403" t="s">
        <v>13254</v>
      </c>
      <c r="AB2403" t="s">
        <v>16828</v>
      </c>
    </row>
    <row r="2404" spans="1:28" x14ac:dyDescent="0.25">
      <c r="A2404" t="s">
        <v>2408</v>
      </c>
      <c r="B2404">
        <v>0.98018197421672304</v>
      </c>
      <c r="C2404">
        <v>0.93981883180984704</v>
      </c>
      <c r="D2404">
        <v>0.78647184294425798</v>
      </c>
      <c r="E2404">
        <v>0.42822412960580297</v>
      </c>
      <c r="F2404">
        <v>0.20057368643891699</v>
      </c>
      <c r="G2404">
        <v>0.12750690449631699</v>
      </c>
      <c r="H2404">
        <v>7.5880163403427806E-2</v>
      </c>
      <c r="I2404">
        <v>6.5381984673420102E-2</v>
      </c>
      <c r="J2404">
        <v>6.2102123676651397E-2</v>
      </c>
      <c r="K2404">
        <v>4.6709787590655201E-2</v>
      </c>
      <c r="L2404">
        <v>968.26360288389401</v>
      </c>
      <c r="M2404">
        <v>19.827966674881299</v>
      </c>
      <c r="N2404">
        <v>49.127531588271403</v>
      </c>
      <c r="O2404">
        <v>48.344656147692199</v>
      </c>
      <c r="P2404">
        <v>-9.6795858521424694E-2</v>
      </c>
      <c r="Q2404">
        <v>5.5999196402714099E-2</v>
      </c>
      <c r="R2404">
        <v>0.999226873705653</v>
      </c>
      <c r="S2404" t="s">
        <v>6033</v>
      </c>
      <c r="T2404" t="s">
        <v>7256</v>
      </c>
      <c r="U2404" t="s">
        <v>7256</v>
      </c>
      <c r="V2404" t="s">
        <v>7256</v>
      </c>
      <c r="W2404">
        <v>5</v>
      </c>
      <c r="X2404" t="s">
        <v>9660</v>
      </c>
      <c r="Y2404">
        <v>0.34743329629131647</v>
      </c>
      <c r="Z2404" t="str">
        <f>HYPERLINK("Melting_Curves/meltCurve_sp_Q9BTE3_2_MCMBP_HUMAN_.pdf", "Melting_Curves/meltCurve_sp_Q9BTE3_2_MCMBP_HUMAN_.pdf")</f>
        <v>Melting_Curves/meltCurve_sp_Q9BTE3_2_MCMBP_HUMAN_.pdf</v>
      </c>
      <c r="AA2404" t="s">
        <v>13255</v>
      </c>
      <c r="AB2404" t="s">
        <v>16829</v>
      </c>
    </row>
    <row r="2405" spans="1:28" x14ac:dyDescent="0.25">
      <c r="A2405" t="s">
        <v>2409</v>
      </c>
      <c r="B2405">
        <v>0.98018197421672304</v>
      </c>
      <c r="C2405">
        <v>0.85675137661048495</v>
      </c>
      <c r="D2405">
        <v>0.78272365019366696</v>
      </c>
      <c r="E2405">
        <v>0.44164218908635899</v>
      </c>
      <c r="F2405">
        <v>0.22943844260614499</v>
      </c>
      <c r="G2405">
        <v>0.122822481622923</v>
      </c>
      <c r="H2405">
        <v>8.7791176193600107E-2</v>
      </c>
      <c r="I2405">
        <v>6.9618708094803805E-2</v>
      </c>
      <c r="J2405">
        <v>9.8660774400993898E-2</v>
      </c>
      <c r="K2405">
        <v>6.5654562680611803E-2</v>
      </c>
      <c r="L2405">
        <v>836.41644400831001</v>
      </c>
      <c r="M2405">
        <v>17.163910638502902</v>
      </c>
      <c r="N2405">
        <v>49.108735543165999</v>
      </c>
      <c r="O2405">
        <v>48.084046360668701</v>
      </c>
      <c r="P2405">
        <v>-8.3727162176176803E-2</v>
      </c>
      <c r="Q2405">
        <v>6.1821918084779701E-2</v>
      </c>
      <c r="R2405">
        <v>0.99486932554329999</v>
      </c>
      <c r="S2405" t="s">
        <v>6034</v>
      </c>
      <c r="T2405" t="s">
        <v>7256</v>
      </c>
      <c r="U2405" t="s">
        <v>7256</v>
      </c>
      <c r="V2405" t="s">
        <v>7256</v>
      </c>
      <c r="W2405">
        <v>9</v>
      </c>
      <c r="X2405" t="s">
        <v>9661</v>
      </c>
      <c r="Y2405">
        <v>0.35284195043967792</v>
      </c>
      <c r="Z2405" t="str">
        <f>HYPERLINK("Melting_Curves/meltCurve_sp_Q9BTE6_AASD1_HUMAN_.pdf", "Melting_Curves/meltCurve_sp_Q9BTE6_AASD1_HUMAN_.pdf")</f>
        <v>Melting_Curves/meltCurve_sp_Q9BTE6_AASD1_HUMAN_.pdf</v>
      </c>
      <c r="AA2405" t="s">
        <v>13256</v>
      </c>
      <c r="AB2405" t="s">
        <v>16830</v>
      </c>
    </row>
    <row r="2406" spans="1:28" x14ac:dyDescent="0.25">
      <c r="A2406" t="s">
        <v>2410</v>
      </c>
      <c r="B2406">
        <v>0.98018197421672304</v>
      </c>
      <c r="C2406">
        <v>1.00059938695698</v>
      </c>
      <c r="D2406">
        <v>0.90774400392284704</v>
      </c>
      <c r="E2406">
        <v>0.82996045213534098</v>
      </c>
      <c r="F2406">
        <v>0.72761132129404804</v>
      </c>
      <c r="G2406">
        <v>0.620731620102971</v>
      </c>
      <c r="H2406">
        <v>0.37486979925076402</v>
      </c>
      <c r="I2406">
        <v>0.44285091440813201</v>
      </c>
      <c r="J2406">
        <v>0.27032909925611598</v>
      </c>
      <c r="K2406">
        <v>0.65170652565482301</v>
      </c>
      <c r="L2406">
        <v>883.959652659477</v>
      </c>
      <c r="M2406">
        <v>16.707465512339201</v>
      </c>
      <c r="N2406">
        <v>59.573573193345297</v>
      </c>
      <c r="O2406">
        <v>52.167527252928302</v>
      </c>
      <c r="P2406">
        <v>-4.6210356183831097E-2</v>
      </c>
      <c r="Q2406">
        <v>0.42288780621149602</v>
      </c>
      <c r="R2406">
        <v>0.83879041174346902</v>
      </c>
      <c r="S2406" t="s">
        <v>6035</v>
      </c>
      <c r="T2406" t="s">
        <v>7256</v>
      </c>
      <c r="U2406" t="s">
        <v>7256</v>
      </c>
      <c r="V2406" t="s">
        <v>7256</v>
      </c>
      <c r="W2406">
        <v>1</v>
      </c>
      <c r="X2406" t="s">
        <v>9662</v>
      </c>
      <c r="Y2406">
        <v>0.68184272723998107</v>
      </c>
      <c r="Z2406" t="str">
        <f>HYPERLINK("Melting_Curves/meltCurve_sp_Q9BTL3_RAM_HUMAN_.pdf", "Melting_Curves/meltCurve_sp_Q9BTL3_RAM_HUMAN_.pdf")</f>
        <v>Melting_Curves/meltCurve_sp_Q9BTL3_RAM_HUMAN_.pdf</v>
      </c>
      <c r="AA2406" t="s">
        <v>13257</v>
      </c>
      <c r="AB2406" t="s">
        <v>16831</v>
      </c>
    </row>
    <row r="2407" spans="1:28" x14ac:dyDescent="0.25">
      <c r="A2407" t="s">
        <v>2411</v>
      </c>
      <c r="B2407">
        <v>0.98018197421672304</v>
      </c>
      <c r="C2407">
        <v>1.097997998319</v>
      </c>
      <c r="D2407">
        <v>0.99810934081344904</v>
      </c>
      <c r="E2407">
        <v>0.84220513975001199</v>
      </c>
      <c r="F2407">
        <v>0.72947761098909802</v>
      </c>
      <c r="G2407">
        <v>0.55724044832465602</v>
      </c>
      <c r="H2407">
        <v>0.421023807397572</v>
      </c>
      <c r="I2407">
        <v>0.45166245994322002</v>
      </c>
      <c r="J2407">
        <v>0.43841965049687498</v>
      </c>
      <c r="K2407">
        <v>0.61485433730816796</v>
      </c>
      <c r="L2407">
        <v>1295.7379843317201</v>
      </c>
      <c r="M2407">
        <v>24.739713179370799</v>
      </c>
      <c r="N2407">
        <v>60.3798512904511</v>
      </c>
      <c r="O2407">
        <v>52.036211606718197</v>
      </c>
      <c r="P2407">
        <v>-6.1666298924281999E-2</v>
      </c>
      <c r="Q2407">
        <v>0.48118467492078298</v>
      </c>
      <c r="R2407">
        <v>0.93223393661355103</v>
      </c>
      <c r="S2407" t="s">
        <v>6036</v>
      </c>
      <c r="T2407" t="s">
        <v>7256</v>
      </c>
      <c r="U2407" t="s">
        <v>7256</v>
      </c>
      <c r="V2407" t="s">
        <v>7256</v>
      </c>
      <c r="W2407">
        <v>5</v>
      </c>
      <c r="X2407" t="s">
        <v>9663</v>
      </c>
      <c r="Y2407">
        <v>0.70004148406923683</v>
      </c>
      <c r="Z2407" t="str">
        <f>HYPERLINK("Melting_Curves/meltCurve_sp_Q9BTT0_3_AN32E_HUMAN_.pdf", "Melting_Curves/meltCurve_sp_Q9BTT0_3_AN32E_HUMAN_.pdf")</f>
        <v>Melting_Curves/meltCurve_sp_Q9BTT0_3_AN32E_HUMAN_.pdf</v>
      </c>
      <c r="AA2407" t="s">
        <v>13258</v>
      </c>
      <c r="AB2407" t="s">
        <v>16832</v>
      </c>
    </row>
    <row r="2408" spans="1:28" x14ac:dyDescent="0.25">
      <c r="A2408" t="s">
        <v>2412</v>
      </c>
      <c r="B2408">
        <v>0.98018197421672304</v>
      </c>
      <c r="C2408">
        <v>0.87500654546253598</v>
      </c>
      <c r="D2408">
        <v>0.82823616099532105</v>
      </c>
      <c r="E2408">
        <v>0.610132818162333</v>
      </c>
      <c r="F2408">
        <v>0.33105586584480201</v>
      </c>
      <c r="G2408">
        <v>0.14264593658935201</v>
      </c>
      <c r="H2408">
        <v>8.0021236576682905E-2</v>
      </c>
      <c r="I2408">
        <v>5.8100251065979602E-2</v>
      </c>
      <c r="J2408">
        <v>7.3496227633552499E-2</v>
      </c>
      <c r="K2408">
        <v>6.1489109669136399E-2</v>
      </c>
      <c r="L2408">
        <v>796.24619503991505</v>
      </c>
      <c r="M2408">
        <v>15.742182980504399</v>
      </c>
      <c r="N2408">
        <v>50.790613042369699</v>
      </c>
      <c r="O2408">
        <v>49.785304380960298</v>
      </c>
      <c r="P2408">
        <v>-7.6563889911826194E-2</v>
      </c>
      <c r="Q2408">
        <v>3.15350977114063E-2</v>
      </c>
      <c r="R2408">
        <v>0.99250501973640204</v>
      </c>
      <c r="S2408" t="s">
        <v>6037</v>
      </c>
      <c r="T2408" t="s">
        <v>7256</v>
      </c>
      <c r="U2408" t="s">
        <v>7256</v>
      </c>
      <c r="V2408" t="s">
        <v>7256</v>
      </c>
      <c r="W2408">
        <v>9</v>
      </c>
      <c r="X2408" t="s">
        <v>9664</v>
      </c>
      <c r="Y2408">
        <v>0.39395525422625899</v>
      </c>
      <c r="Z2408" t="str">
        <f>HYPERLINK("Melting_Curves/meltCurve_sp_Q9BTW9_TBCD_HUMAN_.pdf", "Melting_Curves/meltCurve_sp_Q9BTW9_TBCD_HUMAN_.pdf")</f>
        <v>Melting_Curves/meltCurve_sp_Q9BTW9_TBCD_HUMAN_.pdf</v>
      </c>
      <c r="AA2408" t="s">
        <v>13259</v>
      </c>
      <c r="AB2408" t="s">
        <v>16833</v>
      </c>
    </row>
    <row r="2409" spans="1:28" x14ac:dyDescent="0.25">
      <c r="A2409" t="s">
        <v>2413</v>
      </c>
      <c r="B2409">
        <v>0.98018197421672304</v>
      </c>
      <c r="C2409">
        <v>0.90381082380169697</v>
      </c>
      <c r="D2409">
        <v>0.87031488064039197</v>
      </c>
      <c r="E2409">
        <v>0.78279024286292798</v>
      </c>
      <c r="F2409">
        <v>0.59745345848167797</v>
      </c>
      <c r="G2409">
        <v>0.39436276343771598</v>
      </c>
      <c r="H2409">
        <v>0.30434365769250499</v>
      </c>
      <c r="I2409">
        <v>0.13408396069790099</v>
      </c>
      <c r="J2409">
        <v>0.113277299877619</v>
      </c>
      <c r="K2409">
        <v>4.9381972500395797E-2</v>
      </c>
      <c r="L2409">
        <v>609.64030393452504</v>
      </c>
      <c r="M2409">
        <v>11.09277768462</v>
      </c>
      <c r="N2409">
        <v>54.958309010325102</v>
      </c>
      <c r="O2409">
        <v>53.262897179773098</v>
      </c>
      <c r="P2409">
        <v>-5.2083164944504601E-2</v>
      </c>
      <c r="Q2409">
        <v>0</v>
      </c>
      <c r="R2409">
        <v>0.99095129374608504</v>
      </c>
      <c r="S2409" t="s">
        <v>6038</v>
      </c>
      <c r="T2409" t="s">
        <v>7256</v>
      </c>
      <c r="U2409" t="s">
        <v>7256</v>
      </c>
      <c r="V2409" t="s">
        <v>7256</v>
      </c>
      <c r="W2409">
        <v>5</v>
      </c>
      <c r="X2409" t="s">
        <v>9665</v>
      </c>
      <c r="Y2409">
        <v>0.52338773882737832</v>
      </c>
      <c r="Z2409" t="str">
        <f>HYPERLINK("Melting_Curves/meltCurve_sp_Q9BTX7_TTPAL_HUMAN_.pdf", "Melting_Curves/meltCurve_sp_Q9BTX7_TTPAL_HUMAN_.pdf")</f>
        <v>Melting_Curves/meltCurve_sp_Q9BTX7_TTPAL_HUMAN_.pdf</v>
      </c>
      <c r="AA2409" t="s">
        <v>13260</v>
      </c>
      <c r="AB2409" t="s">
        <v>16834</v>
      </c>
    </row>
    <row r="2410" spans="1:28" x14ac:dyDescent="0.25">
      <c r="A2410" t="s">
        <v>2414</v>
      </c>
      <c r="B2410">
        <v>0.98018197421672304</v>
      </c>
      <c r="C2410">
        <v>0.95687833575298398</v>
      </c>
      <c r="D2410">
        <v>0.88403921341278202</v>
      </c>
      <c r="E2410">
        <v>0.76990535081335298</v>
      </c>
      <c r="F2410">
        <v>0.57942219195257805</v>
      </c>
      <c r="G2410">
        <v>0.42213683806163799</v>
      </c>
      <c r="H2410">
        <v>0.178602296483585</v>
      </c>
      <c r="I2410">
        <v>9.3212865739107503E-2</v>
      </c>
      <c r="J2410">
        <v>8.1001024215167999E-2</v>
      </c>
      <c r="K2410">
        <v>6.8484821727231804E-2</v>
      </c>
      <c r="L2410">
        <v>694.57388638956297</v>
      </c>
      <c r="M2410">
        <v>12.7336676401217</v>
      </c>
      <c r="N2410">
        <v>54.546255285354398</v>
      </c>
      <c r="O2410">
        <v>53.253498032750997</v>
      </c>
      <c r="P2410">
        <v>-5.97900171764537E-2</v>
      </c>
      <c r="Q2410">
        <v>0</v>
      </c>
      <c r="R2410">
        <v>0.99464280322806697</v>
      </c>
      <c r="S2410" t="s">
        <v>6039</v>
      </c>
      <c r="T2410" t="s">
        <v>7256</v>
      </c>
      <c r="U2410" t="s">
        <v>7256</v>
      </c>
      <c r="V2410" t="s">
        <v>7256</v>
      </c>
      <c r="W2410">
        <v>6</v>
      </c>
      <c r="X2410" t="s">
        <v>9666</v>
      </c>
      <c r="Y2410">
        <v>0.50836844393632941</v>
      </c>
      <c r="Z2410" t="str">
        <f>HYPERLINK("Melting_Curves/meltCurve_sp_Q9BTY2_FUCO2_HUMAN_.pdf", "Melting_Curves/meltCurve_sp_Q9BTY2_FUCO2_HUMAN_.pdf")</f>
        <v>Melting_Curves/meltCurve_sp_Q9BTY2_FUCO2_HUMAN_.pdf</v>
      </c>
      <c r="AA2410" t="s">
        <v>13261</v>
      </c>
      <c r="AB2410" t="s">
        <v>16835</v>
      </c>
    </row>
    <row r="2411" spans="1:28" x14ac:dyDescent="0.25">
      <c r="A2411" t="s">
        <v>2415</v>
      </c>
      <c r="B2411">
        <v>0.98018197421672304</v>
      </c>
      <c r="C2411">
        <v>0.81513739332537805</v>
      </c>
      <c r="D2411">
        <v>0.64131567725125604</v>
      </c>
      <c r="E2411">
        <v>0.45427470289286798</v>
      </c>
      <c r="F2411">
        <v>0.113742696926853</v>
      </c>
      <c r="G2411">
        <v>6.9789964058111303E-2</v>
      </c>
      <c r="H2411">
        <v>3.6651279367132202E-2</v>
      </c>
      <c r="I2411">
        <v>0</v>
      </c>
      <c r="J2411">
        <v>6.5092120557798699E-2</v>
      </c>
      <c r="K2411">
        <v>0</v>
      </c>
      <c r="L2411">
        <v>719.04182213031595</v>
      </c>
      <c r="M2411">
        <v>14.971497322107201</v>
      </c>
      <c r="N2411">
        <v>48.0273708923024</v>
      </c>
      <c r="O2411">
        <v>47.1949562516944</v>
      </c>
      <c r="P2411">
        <v>-7.93147308098031E-2</v>
      </c>
      <c r="Q2411">
        <v>0</v>
      </c>
      <c r="R2411">
        <v>0.98185033490333595</v>
      </c>
      <c r="S2411" t="s">
        <v>6040</v>
      </c>
      <c r="T2411" t="s">
        <v>7256</v>
      </c>
      <c r="U2411" t="s">
        <v>7256</v>
      </c>
      <c r="V2411" t="s">
        <v>7256</v>
      </c>
      <c r="W2411">
        <v>3</v>
      </c>
      <c r="X2411" t="s">
        <v>9667</v>
      </c>
      <c r="Y2411">
        <v>0.29337651404894183</v>
      </c>
      <c r="Z2411" t="str">
        <f>HYPERLINK("Melting_Curves/meltCurve_sp_Q9BTY7_F203A_HUMAN_.pdf", "Melting_Curves/meltCurve_sp_Q9BTY7_F203A_HUMAN_.pdf")</f>
        <v>Melting_Curves/meltCurve_sp_Q9BTY7_F203A_HUMAN_.pdf</v>
      </c>
      <c r="AA2411" t="s">
        <v>13262</v>
      </c>
      <c r="AB2411" t="s">
        <v>16836</v>
      </c>
    </row>
    <row r="2412" spans="1:28" x14ac:dyDescent="0.25">
      <c r="A2412" t="s">
        <v>2416</v>
      </c>
      <c r="B2412">
        <v>0.98018197421672304</v>
      </c>
      <c r="C2412">
        <v>0.97642085641228704</v>
      </c>
      <c r="D2412">
        <v>0.76888380451042704</v>
      </c>
      <c r="E2412">
        <v>0.42753661964212503</v>
      </c>
      <c r="F2412">
        <v>0.241289111545818</v>
      </c>
      <c r="G2412">
        <v>0.16483441684599501</v>
      </c>
      <c r="H2412">
        <v>0.10010387832202</v>
      </c>
      <c r="I2412">
        <v>9.0617304709110294E-2</v>
      </c>
      <c r="J2412">
        <v>7.47837130785102E-2</v>
      </c>
      <c r="K2412">
        <v>5.2290300409614403E-2</v>
      </c>
      <c r="L2412">
        <v>929.78281476098698</v>
      </c>
      <c r="M2412">
        <v>19.047900482161701</v>
      </c>
      <c r="N2412">
        <v>49.238203716558402</v>
      </c>
      <c r="O2412">
        <v>48.284417641342301</v>
      </c>
      <c r="P2412">
        <v>-9.1145712551537098E-2</v>
      </c>
      <c r="Q2412">
        <v>7.5857493533518297E-2</v>
      </c>
      <c r="R2412">
        <v>0.997233725556949</v>
      </c>
      <c r="S2412" t="s">
        <v>6041</v>
      </c>
      <c r="T2412" t="s">
        <v>7256</v>
      </c>
      <c r="U2412" t="s">
        <v>7256</v>
      </c>
      <c r="V2412" t="s">
        <v>7256</v>
      </c>
      <c r="W2412">
        <v>11</v>
      </c>
      <c r="X2412" t="s">
        <v>9668</v>
      </c>
      <c r="Y2412">
        <v>0.36166380743037418</v>
      </c>
      <c r="Z2412" t="str">
        <f>HYPERLINK("Melting_Curves/meltCurve_sp_Q9BTZ2_DHRS4_HUMAN_.pdf", "Melting_Curves/meltCurve_sp_Q9BTZ2_DHRS4_HUMAN_.pdf")</f>
        <v>Melting_Curves/meltCurve_sp_Q9BTZ2_DHRS4_HUMAN_.pdf</v>
      </c>
      <c r="AA2412" t="s">
        <v>13263</v>
      </c>
      <c r="AB2412" t="s">
        <v>16837</v>
      </c>
    </row>
    <row r="2413" spans="1:28" x14ac:dyDescent="0.25">
      <c r="A2413" t="s">
        <v>2417</v>
      </c>
      <c r="B2413">
        <v>0.98018197421672304</v>
      </c>
      <c r="C2413">
        <v>0.92724003665810195</v>
      </c>
      <c r="D2413">
        <v>0.87769409832131795</v>
      </c>
      <c r="E2413">
        <v>0.64631726550063395</v>
      </c>
      <c r="F2413">
        <v>0.43025772340717899</v>
      </c>
      <c r="G2413">
        <v>0.28277523335405502</v>
      </c>
      <c r="H2413">
        <v>0.194245927330641</v>
      </c>
      <c r="I2413">
        <v>0.17374351972332999</v>
      </c>
      <c r="J2413">
        <v>0.195473892545212</v>
      </c>
      <c r="K2413">
        <v>0.162409354352295</v>
      </c>
      <c r="L2413">
        <v>826.38530883950705</v>
      </c>
      <c r="M2413">
        <v>16.2623715030897</v>
      </c>
      <c r="N2413">
        <v>52.004601517355098</v>
      </c>
      <c r="O2413">
        <v>50.066038889081803</v>
      </c>
      <c r="P2413">
        <v>-6.8603747399552995E-2</v>
      </c>
      <c r="Q2413">
        <v>0.15523632410028201</v>
      </c>
      <c r="R2413">
        <v>0.99768895358860499</v>
      </c>
      <c r="S2413" t="s">
        <v>6042</v>
      </c>
      <c r="T2413" t="s">
        <v>7256</v>
      </c>
      <c r="U2413" t="s">
        <v>7256</v>
      </c>
      <c r="V2413" t="s">
        <v>7256</v>
      </c>
      <c r="W2413">
        <v>2</v>
      </c>
      <c r="X2413" t="s">
        <v>9669</v>
      </c>
      <c r="Y2413">
        <v>0.47689269431194442</v>
      </c>
      <c r="Z2413" t="str">
        <f>HYPERLINK("Melting_Curves/meltCurve_sp_Q9BU89_DOHH_HUMAN_.pdf", "Melting_Curves/meltCurve_sp_Q9BU89_DOHH_HUMAN_.pdf")</f>
        <v>Melting_Curves/meltCurve_sp_Q9BU89_DOHH_HUMAN_.pdf</v>
      </c>
      <c r="AA2413" t="s">
        <v>13264</v>
      </c>
      <c r="AB2413" t="s">
        <v>16838</v>
      </c>
    </row>
    <row r="2414" spans="1:28" x14ac:dyDescent="0.25">
      <c r="A2414" t="s">
        <v>2418</v>
      </c>
      <c r="B2414">
        <v>0.98018197421672304</v>
      </c>
      <c r="C2414">
        <v>1.00928820124606</v>
      </c>
      <c r="D2414">
        <v>0.928503335455239</v>
      </c>
      <c r="E2414">
        <v>0.830362081615587</v>
      </c>
      <c r="F2414">
        <v>0.69314539958792198</v>
      </c>
      <c r="G2414">
        <v>0.51043988716463395</v>
      </c>
      <c r="H2414">
        <v>0.275516698643063</v>
      </c>
      <c r="I2414">
        <v>0.20851966080651199</v>
      </c>
      <c r="J2414">
        <v>0.11078636650677599</v>
      </c>
      <c r="K2414">
        <v>0.126139034129816</v>
      </c>
      <c r="L2414">
        <v>702.85600907971502</v>
      </c>
      <c r="M2414">
        <v>12.4449773758777</v>
      </c>
      <c r="N2414">
        <v>56.645562105655102</v>
      </c>
      <c r="O2414">
        <v>55.078285083742202</v>
      </c>
      <c r="P2414">
        <v>-5.5472954686262503E-2</v>
      </c>
      <c r="Q2414">
        <v>1.8169111423821702E-2</v>
      </c>
      <c r="R2414">
        <v>0.99643635204816094</v>
      </c>
      <c r="S2414" t="s">
        <v>6043</v>
      </c>
      <c r="T2414" t="s">
        <v>7256</v>
      </c>
      <c r="U2414" t="s">
        <v>7256</v>
      </c>
      <c r="V2414" t="s">
        <v>7256</v>
      </c>
      <c r="W2414">
        <v>2</v>
      </c>
      <c r="X2414" t="s">
        <v>9670</v>
      </c>
      <c r="Y2414">
        <v>0.57567209874923786</v>
      </c>
      <c r="Z2414" t="str">
        <f>HYPERLINK("Melting_Curves/meltCurve_sp_Q9BUE6_ISCA1_HUMAN_.pdf", "Melting_Curves/meltCurve_sp_Q9BUE6_ISCA1_HUMAN_.pdf")</f>
        <v>Melting_Curves/meltCurve_sp_Q9BUE6_ISCA1_HUMAN_.pdf</v>
      </c>
      <c r="AA2414" t="s">
        <v>13265</v>
      </c>
      <c r="AB2414" t="s">
        <v>16839</v>
      </c>
    </row>
    <row r="2415" spans="1:28" x14ac:dyDescent="0.25">
      <c r="A2415" t="s">
        <v>2419</v>
      </c>
      <c r="B2415">
        <v>0.98018197421672304</v>
      </c>
      <c r="C2415">
        <v>1.0356715193110799</v>
      </c>
      <c r="D2415">
        <v>0.90600541252741496</v>
      </c>
      <c r="E2415">
        <v>0.78272612591394897</v>
      </c>
      <c r="F2415">
        <v>0.72766459377478998</v>
      </c>
      <c r="G2415">
        <v>0.554269838075657</v>
      </c>
      <c r="H2415">
        <v>0.44272660757933802</v>
      </c>
      <c r="I2415">
        <v>0.42044063118418201</v>
      </c>
      <c r="J2415">
        <v>0.397035089567015</v>
      </c>
      <c r="K2415">
        <v>0.326064864507493</v>
      </c>
      <c r="L2415">
        <v>629.65518867876006</v>
      </c>
      <c r="M2415">
        <v>11.588002597146099</v>
      </c>
      <c r="N2415">
        <v>59.083024947473398</v>
      </c>
      <c r="O2415">
        <v>52.7942521402599</v>
      </c>
      <c r="P2415">
        <v>-3.8263008489399397E-2</v>
      </c>
      <c r="Q2415">
        <v>0.302896373804866</v>
      </c>
      <c r="R2415">
        <v>0.98712935997263695</v>
      </c>
      <c r="S2415" t="s">
        <v>6044</v>
      </c>
      <c r="T2415" t="s">
        <v>7256</v>
      </c>
      <c r="U2415" t="s">
        <v>7256</v>
      </c>
      <c r="V2415" t="s">
        <v>7256</v>
      </c>
      <c r="W2415">
        <v>6</v>
      </c>
      <c r="X2415" t="s">
        <v>9671</v>
      </c>
      <c r="Y2415">
        <v>0.6541605322046915</v>
      </c>
      <c r="Z2415" t="str">
        <f>HYPERLINK("Melting_Curves/meltCurve_sp_Q9BUH6_CI142_HUMAN_.pdf", "Melting_Curves/meltCurve_sp_Q9BUH6_CI142_HUMAN_.pdf")</f>
        <v>Melting_Curves/meltCurve_sp_Q9BUH6_CI142_HUMAN_.pdf</v>
      </c>
      <c r="AA2415" t="s">
        <v>13266</v>
      </c>
      <c r="AB2415" t="s">
        <v>16840</v>
      </c>
    </row>
    <row r="2416" spans="1:28" x14ac:dyDescent="0.25">
      <c r="A2416" t="s">
        <v>2420</v>
      </c>
      <c r="B2416">
        <v>0.98018197421672304</v>
      </c>
      <c r="C2416">
        <v>0.84014682484994596</v>
      </c>
      <c r="D2416">
        <v>0.81885137964478205</v>
      </c>
      <c r="E2416">
        <v>0.71419183207209502</v>
      </c>
      <c r="F2416">
        <v>0.37964880203913898</v>
      </c>
      <c r="G2416">
        <v>0.211842809783405</v>
      </c>
      <c r="H2416">
        <v>0.13740864051718099</v>
      </c>
      <c r="I2416">
        <v>0.1434120978449</v>
      </c>
      <c r="J2416">
        <v>0.119817854852555</v>
      </c>
      <c r="K2416">
        <v>0.15606728271770701</v>
      </c>
      <c r="L2416">
        <v>749.59701137710999</v>
      </c>
      <c r="M2416">
        <v>14.7170020097301</v>
      </c>
      <c r="N2416">
        <v>51.665692687876103</v>
      </c>
      <c r="O2416">
        <v>50.021394123474501</v>
      </c>
      <c r="P2416">
        <v>-6.6642453568544896E-2</v>
      </c>
      <c r="Q2416">
        <v>9.4058530173580596E-2</v>
      </c>
      <c r="R2416">
        <v>0.97317129909619204</v>
      </c>
      <c r="S2416" t="s">
        <v>6045</v>
      </c>
      <c r="T2416" t="s">
        <v>7256</v>
      </c>
      <c r="U2416" t="s">
        <v>7256</v>
      </c>
      <c r="V2416" t="s">
        <v>7256</v>
      </c>
      <c r="W2416">
        <v>19</v>
      </c>
      <c r="X2416" t="s">
        <v>9672</v>
      </c>
      <c r="Y2416">
        <v>0.44589257516445863</v>
      </c>
      <c r="Z2416" t="str">
        <f>HYPERLINK("Melting_Curves/meltCurve_sp_Q9BUJ2_2_HNRL1_HUMAN_.pdf", "Melting_Curves/meltCurve_sp_Q9BUJ2_2_HNRL1_HUMAN_.pdf")</f>
        <v>Melting_Curves/meltCurve_sp_Q9BUJ2_2_HNRL1_HUMAN_.pdf</v>
      </c>
      <c r="AA2416" t="s">
        <v>13267</v>
      </c>
      <c r="AB2416" t="s">
        <v>16841</v>
      </c>
    </row>
    <row r="2417" spans="1:28" x14ac:dyDescent="0.25">
      <c r="A2417" t="s">
        <v>2421</v>
      </c>
      <c r="B2417">
        <v>0.98018197421672304</v>
      </c>
      <c r="C2417">
        <v>0.83677138710750498</v>
      </c>
      <c r="D2417">
        <v>0.71487054975322895</v>
      </c>
      <c r="E2417">
        <v>0.46468669240239602</v>
      </c>
      <c r="F2417">
        <v>0.30946118502673298</v>
      </c>
      <c r="G2417">
        <v>0.18145720977973101</v>
      </c>
      <c r="H2417">
        <v>0.17296741320485101</v>
      </c>
      <c r="I2417">
        <v>0.160042141753966</v>
      </c>
      <c r="J2417">
        <v>0.162837128134382</v>
      </c>
      <c r="K2417">
        <v>0.16576398436117501</v>
      </c>
      <c r="L2417">
        <v>711.256321189049</v>
      </c>
      <c r="M2417">
        <v>14.8172887252785</v>
      </c>
      <c r="N2417">
        <v>49.096711181566803</v>
      </c>
      <c r="O2417">
        <v>47.152902730730901</v>
      </c>
      <c r="P2417">
        <v>-6.7513498113784001E-2</v>
      </c>
      <c r="Q2417">
        <v>0.14070104415639401</v>
      </c>
      <c r="R2417">
        <v>0.99565764771853904</v>
      </c>
      <c r="S2417" t="s">
        <v>6046</v>
      </c>
      <c r="T2417" t="s">
        <v>7256</v>
      </c>
      <c r="U2417" t="s">
        <v>7256</v>
      </c>
      <c r="V2417" t="s">
        <v>7256</v>
      </c>
      <c r="W2417">
        <v>7</v>
      </c>
      <c r="X2417" t="s">
        <v>9673</v>
      </c>
      <c r="Y2417">
        <v>0.39255091162101069</v>
      </c>
      <c r="Z2417" t="str">
        <f>HYPERLINK("Melting_Curves/meltCurve_sp_Q9BUP0_EFHD1_HUMAN_.pdf", "Melting_Curves/meltCurve_sp_Q9BUP0_EFHD1_HUMAN_.pdf")</f>
        <v>Melting_Curves/meltCurve_sp_Q9BUP0_EFHD1_HUMAN_.pdf</v>
      </c>
      <c r="AA2417" t="s">
        <v>13268</v>
      </c>
      <c r="AB2417" t="s">
        <v>16842</v>
      </c>
    </row>
    <row r="2418" spans="1:28" x14ac:dyDescent="0.25">
      <c r="A2418" t="s">
        <v>2422</v>
      </c>
      <c r="B2418">
        <v>0.98018197421672304</v>
      </c>
      <c r="C2418">
        <v>0.87091514862006003</v>
      </c>
      <c r="D2418">
        <v>0.75628198923036705</v>
      </c>
      <c r="E2418">
        <v>0.60293592214038905</v>
      </c>
      <c r="F2418">
        <v>0.41131290042104601</v>
      </c>
      <c r="G2418">
        <v>0.260600991068412</v>
      </c>
      <c r="H2418">
        <v>0.20972044421992</v>
      </c>
      <c r="I2418">
        <v>0.189673789824229</v>
      </c>
      <c r="J2418">
        <v>0.22012945403491299</v>
      </c>
      <c r="K2418">
        <v>0.23719188947387301</v>
      </c>
      <c r="L2418">
        <v>660.66940601398198</v>
      </c>
      <c r="M2418">
        <v>13.388248259183101</v>
      </c>
      <c r="N2418">
        <v>51.025995030444598</v>
      </c>
      <c r="O2418">
        <v>48.285026544007401</v>
      </c>
      <c r="P2418">
        <v>-5.6978165083117802E-2</v>
      </c>
      <c r="Q2418">
        <v>0.17815719707962899</v>
      </c>
      <c r="R2418">
        <v>0.98932699849932504</v>
      </c>
      <c r="S2418" t="s">
        <v>6047</v>
      </c>
      <c r="T2418" t="s">
        <v>7256</v>
      </c>
      <c r="U2418" t="s">
        <v>7256</v>
      </c>
      <c r="V2418" t="s">
        <v>7256</v>
      </c>
      <c r="W2418">
        <v>1</v>
      </c>
      <c r="X2418" t="s">
        <v>9674</v>
      </c>
      <c r="Y2418">
        <v>0.45878367456693819</v>
      </c>
      <c r="Z2418" t="str">
        <f>HYPERLINK("Melting_Curves/meltCurve_sp_Q9BUQ8_DDX23_HUMAN_.pdf", "Melting_Curves/meltCurve_sp_Q9BUQ8_DDX23_HUMAN_.pdf")</f>
        <v>Melting_Curves/meltCurve_sp_Q9BUQ8_DDX23_HUMAN_.pdf</v>
      </c>
      <c r="AA2418" t="s">
        <v>13269</v>
      </c>
      <c r="AB2418" t="s">
        <v>16843</v>
      </c>
    </row>
    <row r="2419" spans="1:28" x14ac:dyDescent="0.25">
      <c r="A2419" t="s">
        <v>2423</v>
      </c>
      <c r="B2419">
        <v>0.98018197421672304</v>
      </c>
      <c r="C2419">
        <v>0.75109114443796399</v>
      </c>
      <c r="D2419">
        <v>0.84937634379525095</v>
      </c>
      <c r="E2419">
        <v>0.60218352187457802</v>
      </c>
      <c r="F2419">
        <v>0.16303001749941401</v>
      </c>
      <c r="G2419">
        <v>6.06255060571569E-2</v>
      </c>
      <c r="H2419">
        <v>3.45470916174365E-2</v>
      </c>
      <c r="I2419">
        <v>2.3292290834830601E-2</v>
      </c>
      <c r="J2419">
        <v>2.28708320705324E-2</v>
      </c>
      <c r="K2419">
        <v>1.82858742560538E-2</v>
      </c>
      <c r="L2419">
        <v>924.72078599236795</v>
      </c>
      <c r="M2419">
        <v>18.5104027760609</v>
      </c>
      <c r="N2419">
        <v>49.956800240971504</v>
      </c>
      <c r="O2419">
        <v>49.384706155568097</v>
      </c>
      <c r="P2419">
        <v>-9.3709275501895603E-2</v>
      </c>
      <c r="Q2419">
        <v>0</v>
      </c>
      <c r="R2419">
        <v>0.95519479128816198</v>
      </c>
      <c r="S2419" t="s">
        <v>6048</v>
      </c>
      <c r="T2419" t="s">
        <v>7256</v>
      </c>
      <c r="U2419" t="s">
        <v>7256</v>
      </c>
      <c r="V2419" t="s">
        <v>7256</v>
      </c>
      <c r="W2419">
        <v>11</v>
      </c>
      <c r="X2419" t="s">
        <v>9675</v>
      </c>
      <c r="Y2419">
        <v>0.34806944935209722</v>
      </c>
      <c r="Z2419" t="str">
        <f>HYPERLINK("Melting_Curves/meltCurve_sp_Q9BUT1_BDH2_HUMAN_.pdf", "Melting_Curves/meltCurve_sp_Q9BUT1_BDH2_HUMAN_.pdf")</f>
        <v>Melting_Curves/meltCurve_sp_Q9BUT1_BDH2_HUMAN_.pdf</v>
      </c>
      <c r="AA2419" t="s">
        <v>13270</v>
      </c>
      <c r="AB2419" t="s">
        <v>16844</v>
      </c>
    </row>
    <row r="2420" spans="1:28" x14ac:dyDescent="0.25">
      <c r="A2420" t="s">
        <v>2424</v>
      </c>
      <c r="B2420">
        <v>0.98018197421672304</v>
      </c>
      <c r="C2420">
        <v>1.06045773294781</v>
      </c>
      <c r="D2420">
        <v>1.0057224902995101</v>
      </c>
      <c r="E2420">
        <v>0.79655560376717405</v>
      </c>
      <c r="F2420">
        <v>0.66300584186419398</v>
      </c>
      <c r="G2420">
        <v>0.39586592837755602</v>
      </c>
      <c r="H2420">
        <v>0.459089338413526</v>
      </c>
      <c r="I2420">
        <v>0.27897284446882598</v>
      </c>
      <c r="J2420">
        <v>0.58728297704536003</v>
      </c>
      <c r="K2420">
        <v>0.53289934583819598</v>
      </c>
      <c r="L2420">
        <v>1528.52548767902</v>
      </c>
      <c r="M2420">
        <v>29.743770001012098</v>
      </c>
      <c r="N2420">
        <v>55.715961251723797</v>
      </c>
      <c r="O2420">
        <v>51.159154392549503</v>
      </c>
      <c r="P2420">
        <v>-7.9892361479976901E-2</v>
      </c>
      <c r="Q2420">
        <v>0.45034565495533202</v>
      </c>
      <c r="R2420">
        <v>0.89476623598942095</v>
      </c>
      <c r="S2420" t="s">
        <v>6049</v>
      </c>
      <c r="T2420" t="s">
        <v>7256</v>
      </c>
      <c r="U2420" t="s">
        <v>7256</v>
      </c>
      <c r="V2420" t="s">
        <v>7256</v>
      </c>
      <c r="W2420">
        <v>3</v>
      </c>
      <c r="X2420" t="s">
        <v>9676</v>
      </c>
      <c r="Y2420">
        <v>0.66256484404627125</v>
      </c>
      <c r="Z2420" t="str">
        <f>HYPERLINK("Melting_Curves/meltCurve_sp_Q9BUT9_F195A_HUMAN_.pdf", "Melting_Curves/meltCurve_sp_Q9BUT9_F195A_HUMAN_.pdf")</f>
        <v>Melting_Curves/meltCurve_sp_Q9BUT9_F195A_HUMAN_.pdf</v>
      </c>
      <c r="AA2420" t="s">
        <v>13271</v>
      </c>
      <c r="AB2420" t="s">
        <v>16845</v>
      </c>
    </row>
    <row r="2421" spans="1:28" x14ac:dyDescent="0.25">
      <c r="A2421" t="s">
        <v>2425</v>
      </c>
      <c r="B2421">
        <v>0.98018197421672304</v>
      </c>
      <c r="C2421">
        <v>1.02116582852869</v>
      </c>
      <c r="D2421">
        <v>0.94144223689655304</v>
      </c>
      <c r="E2421">
        <v>0.77698955976020101</v>
      </c>
      <c r="F2421">
        <v>0.41722691540065199</v>
      </c>
      <c r="G2421">
        <v>0.15750704608042901</v>
      </c>
      <c r="H2421">
        <v>0.30032682765213697</v>
      </c>
      <c r="I2421">
        <v>0.35956581653767</v>
      </c>
      <c r="J2421">
        <v>1.0454102365420399</v>
      </c>
      <c r="K2421">
        <v>0.408477318448911</v>
      </c>
      <c r="L2421">
        <v>12519.4273114772</v>
      </c>
      <c r="M2421">
        <v>250</v>
      </c>
      <c r="N2421">
        <v>50.5355637482063</v>
      </c>
      <c r="O2421">
        <v>50.074504651273003</v>
      </c>
      <c r="P2421">
        <v>-0.68886651135062305</v>
      </c>
      <c r="Q2421">
        <v>0.44808561193278101</v>
      </c>
      <c r="R2421">
        <v>0.55148261759461104</v>
      </c>
      <c r="S2421" t="s">
        <v>6050</v>
      </c>
      <c r="T2421" t="s">
        <v>7256</v>
      </c>
      <c r="U2421" t="s">
        <v>7256</v>
      </c>
      <c r="V2421" t="s">
        <v>7256</v>
      </c>
      <c r="W2421">
        <v>4</v>
      </c>
      <c r="X2421" t="s">
        <v>9677</v>
      </c>
      <c r="Y2421">
        <v>0.63353520831261911</v>
      </c>
      <c r="Z2421" t="str">
        <f>HYPERLINK("Melting_Curves/meltCurve_sp_Q9BV19_CA050_HUMAN_.pdf", "Melting_Curves/meltCurve_sp_Q9BV19_CA050_HUMAN_.pdf")</f>
        <v>Melting_Curves/meltCurve_sp_Q9BV19_CA050_HUMAN_.pdf</v>
      </c>
      <c r="AA2421" t="s">
        <v>13272</v>
      </c>
      <c r="AB2421" t="s">
        <v>16846</v>
      </c>
    </row>
    <row r="2422" spans="1:28" x14ac:dyDescent="0.25">
      <c r="A2422" t="s">
        <v>2426</v>
      </c>
      <c r="B2422">
        <v>0.98018197421672304</v>
      </c>
      <c r="C2422">
        <v>0.90751484689606898</v>
      </c>
      <c r="D2422">
        <v>0.902994980628546</v>
      </c>
      <c r="E2422">
        <v>0.78415384266656296</v>
      </c>
      <c r="F2422">
        <v>0.745688826276933</v>
      </c>
      <c r="G2422">
        <v>0.51917435664561096</v>
      </c>
      <c r="H2422">
        <v>0.15581393060965701</v>
      </c>
      <c r="I2422">
        <v>6.7356939724384404E-2</v>
      </c>
      <c r="J2422">
        <v>6.7687496603350994E-2</v>
      </c>
      <c r="K2422">
        <v>3.61982907297397E-2</v>
      </c>
      <c r="L2422">
        <v>872.70101967069502</v>
      </c>
      <c r="M2422">
        <v>15.5861765178681</v>
      </c>
      <c r="N2422">
        <v>55.9920026778086</v>
      </c>
      <c r="O2422">
        <v>55.0945675159535</v>
      </c>
      <c r="P2422">
        <v>-7.0730800668382998E-2</v>
      </c>
      <c r="Q2422">
        <v>0</v>
      </c>
      <c r="R2422">
        <v>0.97540367962711405</v>
      </c>
      <c r="S2422" t="s">
        <v>6051</v>
      </c>
      <c r="T2422" t="s">
        <v>7256</v>
      </c>
      <c r="U2422" t="s">
        <v>7256</v>
      </c>
      <c r="V2422" t="s">
        <v>7256</v>
      </c>
      <c r="W2422">
        <v>6</v>
      </c>
      <c r="X2422" t="s">
        <v>9678</v>
      </c>
      <c r="Y2422">
        <v>0.55022851989305421</v>
      </c>
      <c r="Z2422" t="str">
        <f>HYPERLINK("Melting_Curves/meltCurve_sp_Q9BV20_MTNA_HUMAN_.pdf", "Melting_Curves/meltCurve_sp_Q9BV20_MTNA_HUMAN_.pdf")</f>
        <v>Melting_Curves/meltCurve_sp_Q9BV20_MTNA_HUMAN_.pdf</v>
      </c>
      <c r="AA2422" t="s">
        <v>13273</v>
      </c>
      <c r="AB2422" t="s">
        <v>16847</v>
      </c>
    </row>
    <row r="2423" spans="1:28" x14ac:dyDescent="0.25">
      <c r="A2423" t="s">
        <v>2427</v>
      </c>
      <c r="B2423">
        <v>0.98018197421672304</v>
      </c>
      <c r="C2423">
        <v>0.89963173217551495</v>
      </c>
      <c r="D2423">
        <v>0.80176297567768096</v>
      </c>
      <c r="E2423">
        <v>0.75440996850494901</v>
      </c>
      <c r="F2423">
        <v>0.60951011012802703</v>
      </c>
      <c r="G2423">
        <v>0.39954104524186002</v>
      </c>
      <c r="H2423">
        <v>0.23458191444997101</v>
      </c>
      <c r="I2423">
        <v>9.8083373994623996E-2</v>
      </c>
      <c r="J2423">
        <v>8.0940818878906098E-2</v>
      </c>
      <c r="K2423">
        <v>7.3882182698765203E-2</v>
      </c>
      <c r="L2423">
        <v>604.01678632638595</v>
      </c>
      <c r="M2423">
        <v>11.1097251833841</v>
      </c>
      <c r="N2423">
        <v>54.368292215953502</v>
      </c>
      <c r="O2423">
        <v>52.695916979273697</v>
      </c>
      <c r="P2423">
        <v>-5.27238598106331E-2</v>
      </c>
      <c r="Q2423">
        <v>0</v>
      </c>
      <c r="R2423">
        <v>0.98559246233470099</v>
      </c>
      <c r="S2423" t="s">
        <v>6052</v>
      </c>
      <c r="T2423" t="s">
        <v>7256</v>
      </c>
      <c r="U2423" t="s">
        <v>7256</v>
      </c>
      <c r="V2423" t="s">
        <v>7256</v>
      </c>
      <c r="W2423">
        <v>2</v>
      </c>
      <c r="X2423" t="s">
        <v>9679</v>
      </c>
      <c r="Y2423">
        <v>0.50569269097566172</v>
      </c>
      <c r="Z2423" t="str">
        <f>HYPERLINK("Melting_Curves/meltCurve_sp_Q9BV44_THUM3_HUMAN_.pdf", "Melting_Curves/meltCurve_sp_Q9BV44_THUM3_HUMAN_.pdf")</f>
        <v>Melting_Curves/meltCurve_sp_Q9BV44_THUM3_HUMAN_.pdf</v>
      </c>
      <c r="AA2423" t="s">
        <v>13274</v>
      </c>
      <c r="AB2423" t="s">
        <v>16848</v>
      </c>
    </row>
    <row r="2424" spans="1:28" x14ac:dyDescent="0.25">
      <c r="A2424" t="s">
        <v>2428</v>
      </c>
      <c r="B2424">
        <v>0.98018197421672304</v>
      </c>
      <c r="C2424">
        <v>1.0295181440958501</v>
      </c>
      <c r="D2424">
        <v>0.980272015832787</v>
      </c>
      <c r="E2424">
        <v>0.76700875959238501</v>
      </c>
      <c r="F2424">
        <v>0.60285403742766897</v>
      </c>
      <c r="G2424">
        <v>0.25924796690531399</v>
      </c>
      <c r="H2424">
        <v>0.10564340471583</v>
      </c>
      <c r="I2424">
        <v>7.2732879488623503E-2</v>
      </c>
      <c r="J2424">
        <v>6.5443701556699096E-2</v>
      </c>
      <c r="K2424">
        <v>5.8394438013334597E-2</v>
      </c>
      <c r="L2424">
        <v>1041.2380696103801</v>
      </c>
      <c r="M2424">
        <v>19.4351643890163</v>
      </c>
      <c r="N2424">
        <v>53.797871630336203</v>
      </c>
      <c r="O2424">
        <v>53.0174324359389</v>
      </c>
      <c r="P2424">
        <v>-8.8102950912625794E-2</v>
      </c>
      <c r="Q2424">
        <v>3.8686492426990397E-2</v>
      </c>
      <c r="R2424">
        <v>0.99669050485311395</v>
      </c>
      <c r="S2424" t="s">
        <v>6053</v>
      </c>
      <c r="T2424" t="s">
        <v>7256</v>
      </c>
      <c r="U2424" t="s">
        <v>7256</v>
      </c>
      <c r="V2424" t="s">
        <v>7256</v>
      </c>
      <c r="W2424">
        <v>9</v>
      </c>
      <c r="X2424" t="s">
        <v>9680</v>
      </c>
      <c r="Y2424">
        <v>0.48745407168166188</v>
      </c>
      <c r="Z2424" t="str">
        <f>HYPERLINK("Melting_Curves/meltCurve_sp_Q9BV57_MTND_HUMAN_.pdf", "Melting_Curves/meltCurve_sp_Q9BV57_MTND_HUMAN_.pdf")</f>
        <v>Melting_Curves/meltCurve_sp_Q9BV57_MTND_HUMAN_.pdf</v>
      </c>
      <c r="AA2424" t="s">
        <v>13275</v>
      </c>
      <c r="AB2424" t="s">
        <v>16849</v>
      </c>
    </row>
    <row r="2425" spans="1:28" x14ac:dyDescent="0.25">
      <c r="A2425" t="s">
        <v>2429</v>
      </c>
      <c r="B2425">
        <v>0.98018197421672304</v>
      </c>
      <c r="C2425">
        <v>1.01239850767242</v>
      </c>
      <c r="D2425">
        <v>0.855838621776287</v>
      </c>
      <c r="E2425">
        <v>0.48916593584371498</v>
      </c>
      <c r="F2425">
        <v>0.15827494449542301</v>
      </c>
      <c r="G2425">
        <v>8.4466100050657605E-2</v>
      </c>
      <c r="H2425">
        <v>5.2172600885649199E-2</v>
      </c>
      <c r="I2425">
        <v>3.6896800962970502E-2</v>
      </c>
      <c r="J2425">
        <v>3.7784620984206402E-2</v>
      </c>
      <c r="K2425">
        <v>2.8744737901134899E-2</v>
      </c>
      <c r="L2425">
        <v>1265.4406504774399</v>
      </c>
      <c r="M2425">
        <v>25.530633730773101</v>
      </c>
      <c r="N2425">
        <v>49.708859094096702</v>
      </c>
      <c r="O2425">
        <v>49.264484891784598</v>
      </c>
      <c r="P2425">
        <v>-0.12496469196655299</v>
      </c>
      <c r="Q2425">
        <v>3.54732381000551E-2</v>
      </c>
      <c r="R2425">
        <v>0.99751540875632805</v>
      </c>
      <c r="S2425" t="s">
        <v>6054</v>
      </c>
      <c r="T2425" t="s">
        <v>7256</v>
      </c>
      <c r="U2425" t="s">
        <v>7256</v>
      </c>
      <c r="V2425" t="s">
        <v>7256</v>
      </c>
      <c r="W2425">
        <v>6</v>
      </c>
      <c r="X2425" t="s">
        <v>9681</v>
      </c>
      <c r="Y2425">
        <v>0.35124129874774651</v>
      </c>
      <c r="Z2425" t="str">
        <f>HYPERLINK("Melting_Curves/meltCurve_sp_Q9BV79_MECR_HUMAN_.pdf", "Melting_Curves/meltCurve_sp_Q9BV79_MECR_HUMAN_.pdf")</f>
        <v>Melting_Curves/meltCurve_sp_Q9BV79_MECR_HUMAN_.pdf</v>
      </c>
      <c r="AA2425" t="s">
        <v>13276</v>
      </c>
      <c r="AB2425" t="s">
        <v>16850</v>
      </c>
    </row>
    <row r="2426" spans="1:28" x14ac:dyDescent="0.25">
      <c r="A2426" t="s">
        <v>2430</v>
      </c>
      <c r="B2426">
        <v>0.98018197421672304</v>
      </c>
      <c r="C2426">
        <v>0.91059211147053198</v>
      </c>
      <c r="D2426">
        <v>0.46263410590107001</v>
      </c>
      <c r="E2426">
        <v>0.104221036255894</v>
      </c>
      <c r="F2426">
        <v>4.4978213582745702E-2</v>
      </c>
      <c r="G2426">
        <v>2.4419413005509701E-2</v>
      </c>
      <c r="H2426">
        <v>1.7062198155076098E-2</v>
      </c>
      <c r="I2426">
        <v>1.7625387520882201E-2</v>
      </c>
      <c r="J2426">
        <v>2.9766492850800599E-2</v>
      </c>
      <c r="K2426">
        <v>7.3345151631374903E-3</v>
      </c>
      <c r="L2426">
        <v>1440.9885815016701</v>
      </c>
      <c r="M2426">
        <v>31.481991747605601</v>
      </c>
      <c r="N2426">
        <v>45.840234250946899</v>
      </c>
      <c r="O2426">
        <v>45.588343279659</v>
      </c>
      <c r="P2426">
        <v>-0.16868326315430501</v>
      </c>
      <c r="Q2426">
        <v>2.2939991028026501E-2</v>
      </c>
      <c r="R2426">
        <v>0.99908927785333101</v>
      </c>
      <c r="S2426" t="s">
        <v>6055</v>
      </c>
      <c r="T2426" t="s">
        <v>7256</v>
      </c>
      <c r="U2426" t="s">
        <v>7256</v>
      </c>
      <c r="V2426" t="s">
        <v>7256</v>
      </c>
      <c r="W2426">
        <v>3</v>
      </c>
      <c r="X2426" t="s">
        <v>9682</v>
      </c>
      <c r="Y2426">
        <v>0.216301465208177</v>
      </c>
      <c r="Z2426" t="str">
        <f>HYPERLINK("Melting_Curves/meltCurve_sp_Q9BV86_NTM1A_HUMAN_.pdf", "Melting_Curves/meltCurve_sp_Q9BV86_NTM1A_HUMAN_.pdf")</f>
        <v>Melting_Curves/meltCurve_sp_Q9BV86_NTM1A_HUMAN_.pdf</v>
      </c>
      <c r="AA2426" t="s">
        <v>13277</v>
      </c>
      <c r="AB2426" t="s">
        <v>16851</v>
      </c>
    </row>
    <row r="2427" spans="1:28" x14ac:dyDescent="0.25">
      <c r="A2427" t="s">
        <v>2431</v>
      </c>
      <c r="B2427">
        <v>0.98018197421672304</v>
      </c>
      <c r="C2427">
        <v>1.0046264258658</v>
      </c>
      <c r="D2427">
        <v>0.96162316656674096</v>
      </c>
      <c r="E2427">
        <v>0.82368611050372398</v>
      </c>
      <c r="F2427">
        <v>0.75834583307534198</v>
      </c>
      <c r="G2427">
        <v>0.52641921834301997</v>
      </c>
      <c r="H2427">
        <v>0.28620642933000301</v>
      </c>
      <c r="I2427">
        <v>0.18979465640641999</v>
      </c>
      <c r="J2427">
        <v>0.14661433035202201</v>
      </c>
      <c r="K2427">
        <v>0.13362102177190299</v>
      </c>
      <c r="L2427">
        <v>783.39191599826302</v>
      </c>
      <c r="M2427">
        <v>13.8361666628146</v>
      </c>
      <c r="N2427">
        <v>57.046634973958398</v>
      </c>
      <c r="O2427">
        <v>55.475756207614197</v>
      </c>
      <c r="P2427">
        <v>-5.9290004420509197E-2</v>
      </c>
      <c r="Q2427">
        <v>4.92450277706864E-2</v>
      </c>
      <c r="R2427">
        <v>0.99587167728343795</v>
      </c>
      <c r="S2427" t="s">
        <v>6056</v>
      </c>
      <c r="T2427" t="s">
        <v>7256</v>
      </c>
      <c r="U2427" t="s">
        <v>7256</v>
      </c>
      <c r="V2427" t="s">
        <v>7256</v>
      </c>
      <c r="W2427">
        <v>8</v>
      </c>
      <c r="X2427" t="s">
        <v>9683</v>
      </c>
      <c r="Y2427">
        <v>0.59249656368421311</v>
      </c>
      <c r="Z2427" t="str">
        <f>HYPERLINK("Melting_Curves/meltCurve_sp_Q9BVG4_PBDC1_HUMAN_.pdf", "Melting_Curves/meltCurve_sp_Q9BVG4_PBDC1_HUMAN_.pdf")</f>
        <v>Melting_Curves/meltCurve_sp_Q9BVG4_PBDC1_HUMAN_.pdf</v>
      </c>
      <c r="AA2427" t="s">
        <v>13278</v>
      </c>
      <c r="AB2427" t="s">
        <v>16852</v>
      </c>
    </row>
    <row r="2428" spans="1:28" x14ac:dyDescent="0.25">
      <c r="A2428" t="s">
        <v>2432</v>
      </c>
      <c r="B2428">
        <v>0.98018197421672304</v>
      </c>
      <c r="C2428">
        <v>1.03358449071034</v>
      </c>
      <c r="D2428">
        <v>0.94111177255426104</v>
      </c>
      <c r="E2428">
        <v>0.80099751566897304</v>
      </c>
      <c r="F2428">
        <v>0.734696520939225</v>
      </c>
      <c r="G2428">
        <v>0.45944729985090399</v>
      </c>
      <c r="H2428">
        <v>0.16884069670217</v>
      </c>
      <c r="I2428">
        <v>8.5807946320521994E-2</v>
      </c>
      <c r="J2428">
        <v>9.6612403522669699E-2</v>
      </c>
      <c r="K2428">
        <v>7.4937378510606695E-2</v>
      </c>
      <c r="L2428">
        <v>877.77454570535303</v>
      </c>
      <c r="M2428">
        <v>15.7351260559512</v>
      </c>
      <c r="N2428">
        <v>55.847285023603199</v>
      </c>
      <c r="O2428">
        <v>54.906689197864402</v>
      </c>
      <c r="P2428">
        <v>-7.1021648379519006E-2</v>
      </c>
      <c r="Q2428">
        <v>8.7810614843180403E-3</v>
      </c>
      <c r="R2428">
        <v>0.99053290009270301</v>
      </c>
      <c r="S2428" t="s">
        <v>6057</v>
      </c>
      <c r="T2428" t="s">
        <v>7256</v>
      </c>
      <c r="U2428" t="s">
        <v>7256</v>
      </c>
      <c r="V2428" t="s">
        <v>7256</v>
      </c>
      <c r="W2428">
        <v>13</v>
      </c>
      <c r="X2428" t="s">
        <v>9684</v>
      </c>
      <c r="Y2428">
        <v>0.54746066815356942</v>
      </c>
      <c r="Z2428" t="str">
        <f>HYPERLINK("Melting_Curves/meltCurve_sp_Q9BVJ7_DUS23_HUMAN_.pdf", "Melting_Curves/meltCurve_sp_Q9BVJ7_DUS23_HUMAN_.pdf")</f>
        <v>Melting_Curves/meltCurve_sp_Q9BVJ7_DUS23_HUMAN_.pdf</v>
      </c>
      <c r="AA2428" t="s">
        <v>13279</v>
      </c>
      <c r="AB2428" t="s">
        <v>16853</v>
      </c>
    </row>
    <row r="2429" spans="1:28" x14ac:dyDescent="0.25">
      <c r="A2429" t="s">
        <v>2433</v>
      </c>
      <c r="B2429">
        <v>0.98018197421672304</v>
      </c>
      <c r="C2429">
        <v>0.79713210150731495</v>
      </c>
      <c r="D2429">
        <v>0.45655017140395099</v>
      </c>
      <c r="E2429">
        <v>0.195306962749485</v>
      </c>
      <c r="F2429">
        <v>0.108990940659822</v>
      </c>
      <c r="G2429">
        <v>6.4692931218467503E-2</v>
      </c>
      <c r="H2429">
        <v>5.2348234423236203E-2</v>
      </c>
      <c r="I2429">
        <v>4.2376273297681399E-2</v>
      </c>
      <c r="J2429">
        <v>5.5056948902972101E-2</v>
      </c>
      <c r="K2429">
        <v>4.5897623685043402E-2</v>
      </c>
      <c r="L2429">
        <v>961.20831342812301</v>
      </c>
      <c r="M2429">
        <v>21.114655663561798</v>
      </c>
      <c r="N2429">
        <v>45.759792355827699</v>
      </c>
      <c r="O2429">
        <v>45.120847596264099</v>
      </c>
      <c r="P2429">
        <v>-0.11094515484386901</v>
      </c>
      <c r="Q2429">
        <v>5.1690432547259198E-2</v>
      </c>
      <c r="R2429">
        <v>0.99830483232729195</v>
      </c>
      <c r="S2429" t="s">
        <v>6058</v>
      </c>
      <c r="T2429" t="s">
        <v>7256</v>
      </c>
      <c r="U2429" t="s">
        <v>7256</v>
      </c>
      <c r="V2429" t="s">
        <v>7256</v>
      </c>
      <c r="W2429">
        <v>14</v>
      </c>
      <c r="X2429" t="s">
        <v>9685</v>
      </c>
      <c r="Y2429">
        <v>0.23970537090591129</v>
      </c>
      <c r="Z2429" t="str">
        <f>HYPERLINK("Melting_Curves/meltCurve_sp_Q9BVL4_SELO_HUMAN_.pdf", "Melting_Curves/meltCurve_sp_Q9BVL4_SELO_HUMAN_.pdf")</f>
        <v>Melting_Curves/meltCurve_sp_Q9BVL4_SELO_HUMAN_.pdf</v>
      </c>
      <c r="AA2429" t="s">
        <v>13280</v>
      </c>
      <c r="AB2429" t="s">
        <v>16854</v>
      </c>
    </row>
    <row r="2430" spans="1:28" x14ac:dyDescent="0.25">
      <c r="A2430" t="s">
        <v>2434</v>
      </c>
      <c r="B2430">
        <v>0.98018197421672304</v>
      </c>
      <c r="C2430">
        <v>1.02486518201685</v>
      </c>
      <c r="D2430">
        <v>0.91125820336300301</v>
      </c>
      <c r="E2430">
        <v>0.71203422670680505</v>
      </c>
      <c r="F2430">
        <v>0.51708118583983997</v>
      </c>
      <c r="G2430">
        <v>0.25465829347027802</v>
      </c>
      <c r="H2430">
        <v>0.167998235328951</v>
      </c>
      <c r="I2430">
        <v>0.13238376327788301</v>
      </c>
      <c r="J2430">
        <v>0.20614610065706299</v>
      </c>
      <c r="K2430">
        <v>0.117092965245845</v>
      </c>
      <c r="L2430">
        <v>981.31432808392697</v>
      </c>
      <c r="M2430">
        <v>18.864422537257301</v>
      </c>
      <c r="N2430">
        <v>52.874729551413097</v>
      </c>
      <c r="O2430">
        <v>51.445332610700397</v>
      </c>
      <c r="P2430">
        <v>-7.9619654142312604E-2</v>
      </c>
      <c r="Q2430">
        <v>0.131509804062929</v>
      </c>
      <c r="R2430">
        <v>0.99322073673233702</v>
      </c>
      <c r="S2430" t="s">
        <v>6059</v>
      </c>
      <c r="T2430" t="s">
        <v>7256</v>
      </c>
      <c r="U2430" t="s">
        <v>7256</v>
      </c>
      <c r="V2430" t="s">
        <v>7256</v>
      </c>
      <c r="W2430">
        <v>3</v>
      </c>
      <c r="X2430" t="s">
        <v>9686</v>
      </c>
      <c r="Y2430">
        <v>0.49279109206501309</v>
      </c>
      <c r="Z2430" t="str">
        <f>HYPERLINK("Melting_Curves/meltCurve_sp_Q9BVM4_GGACT_HUMAN_.pdf", "Melting_Curves/meltCurve_sp_Q9BVM4_GGACT_HUMAN_.pdf")</f>
        <v>Melting_Curves/meltCurve_sp_Q9BVM4_GGACT_HUMAN_.pdf</v>
      </c>
      <c r="AA2430" t="s">
        <v>13281</v>
      </c>
      <c r="AB2430" t="s">
        <v>16855</v>
      </c>
    </row>
    <row r="2431" spans="1:28" x14ac:dyDescent="0.25">
      <c r="A2431" t="s">
        <v>2435</v>
      </c>
      <c r="B2431">
        <v>0.98018197421672304</v>
      </c>
      <c r="C2431">
        <v>0.79475092967501604</v>
      </c>
      <c r="D2431">
        <v>0.81053475327494595</v>
      </c>
      <c r="E2431">
        <v>0.60363631425828201</v>
      </c>
      <c r="F2431">
        <v>0.413907009959672</v>
      </c>
      <c r="G2431">
        <v>0.21079972402226599</v>
      </c>
      <c r="H2431">
        <v>6.2267047361961501E-2</v>
      </c>
      <c r="I2431">
        <v>3.5226944334798303E-2</v>
      </c>
      <c r="J2431">
        <v>2.6590099704295399E-2</v>
      </c>
      <c r="K2431">
        <v>1.50511683041511E-2</v>
      </c>
      <c r="L2431">
        <v>648.98477068522595</v>
      </c>
      <c r="M2431">
        <v>12.712875262955199</v>
      </c>
      <c r="N2431">
        <v>51.049409190577897</v>
      </c>
      <c r="O2431">
        <v>49.835697776562498</v>
      </c>
      <c r="P2431">
        <v>-6.3786220463092402E-2</v>
      </c>
      <c r="Q2431">
        <v>0</v>
      </c>
      <c r="R2431">
        <v>0.982774718060203</v>
      </c>
      <c r="S2431" t="s">
        <v>6060</v>
      </c>
      <c r="T2431" t="s">
        <v>7256</v>
      </c>
      <c r="U2431" t="s">
        <v>7256</v>
      </c>
      <c r="V2431" t="s">
        <v>7256</v>
      </c>
      <c r="W2431">
        <v>4</v>
      </c>
      <c r="X2431" t="s">
        <v>9687</v>
      </c>
      <c r="Y2431">
        <v>0.39821238307375079</v>
      </c>
      <c r="Z2431" t="str">
        <f>HYPERLINK("Melting_Curves/meltCurve_sp_Q9BVS5_TR61B_HUMAN_.pdf", "Melting_Curves/meltCurve_sp_Q9BVS5_TR61B_HUMAN_.pdf")</f>
        <v>Melting_Curves/meltCurve_sp_Q9BVS5_TR61B_HUMAN_.pdf</v>
      </c>
      <c r="AA2431" t="s">
        <v>13282</v>
      </c>
      <c r="AB2431" t="s">
        <v>16856</v>
      </c>
    </row>
    <row r="2432" spans="1:28" x14ac:dyDescent="0.25">
      <c r="A2432" t="s">
        <v>2436</v>
      </c>
      <c r="B2432">
        <v>0.98018197421672304</v>
      </c>
      <c r="C2432">
        <v>1.0640944404971</v>
      </c>
      <c r="D2432">
        <v>0.90950189098585399</v>
      </c>
      <c r="E2432">
        <v>0.74710743392007595</v>
      </c>
      <c r="F2432">
        <v>0.59879033494856804</v>
      </c>
      <c r="G2432">
        <v>0.42477304867084997</v>
      </c>
      <c r="H2432">
        <v>0.31226743246342498</v>
      </c>
      <c r="I2432">
        <v>0.34289072486733602</v>
      </c>
      <c r="J2432">
        <v>0.256726892434398</v>
      </c>
      <c r="K2432">
        <v>0.20927702087952099</v>
      </c>
      <c r="L2432">
        <v>779.01003450350004</v>
      </c>
      <c r="M2432">
        <v>14.7726019708723</v>
      </c>
      <c r="N2432">
        <v>55.033789292819101</v>
      </c>
      <c r="O2432">
        <v>51.795393216851998</v>
      </c>
      <c r="P2432">
        <v>-5.4884071138147097E-2</v>
      </c>
      <c r="Q2432">
        <v>0.23034894779426199</v>
      </c>
      <c r="R2432">
        <v>0.98506358102050195</v>
      </c>
      <c r="S2432" t="s">
        <v>6061</v>
      </c>
      <c r="T2432" t="s">
        <v>7256</v>
      </c>
      <c r="U2432" t="s">
        <v>7256</v>
      </c>
      <c r="V2432" t="s">
        <v>7256</v>
      </c>
      <c r="W2432">
        <v>1</v>
      </c>
      <c r="X2432" t="s">
        <v>9688</v>
      </c>
      <c r="Y2432">
        <v>0.57413679671697193</v>
      </c>
      <c r="Z2432" t="str">
        <f>HYPERLINK("Melting_Curves/meltCurve_sp_Q9BW61_DDA1_HUMAN_.pdf", "Melting_Curves/meltCurve_sp_Q9BW61_DDA1_HUMAN_.pdf")</f>
        <v>Melting_Curves/meltCurve_sp_Q9BW61_DDA1_HUMAN_.pdf</v>
      </c>
      <c r="AA2432" t="s">
        <v>13283</v>
      </c>
      <c r="AB2432" t="s">
        <v>16857</v>
      </c>
    </row>
    <row r="2433" spans="1:28" x14ac:dyDescent="0.25">
      <c r="A2433" t="s">
        <v>2437</v>
      </c>
      <c r="B2433">
        <v>0.98018197421672304</v>
      </c>
      <c r="C2433">
        <v>0.78899532469002298</v>
      </c>
      <c r="D2433">
        <v>0.79911653119215198</v>
      </c>
      <c r="E2433">
        <v>0.68873604515429299</v>
      </c>
      <c r="F2433">
        <v>0.61110179230054795</v>
      </c>
      <c r="G2433">
        <v>0.42736353871977201</v>
      </c>
      <c r="H2433">
        <v>0.34437706695963399</v>
      </c>
      <c r="I2433">
        <v>0.32447615831240001</v>
      </c>
      <c r="J2433">
        <v>0.36985784237591501</v>
      </c>
      <c r="K2433">
        <v>0.43478918303420799</v>
      </c>
      <c r="L2433">
        <v>484.56267046427098</v>
      </c>
      <c r="M2433">
        <v>9.7222336888240708</v>
      </c>
      <c r="N2433">
        <v>55.303819232864498</v>
      </c>
      <c r="O2433">
        <v>47.869139556797201</v>
      </c>
      <c r="P2433">
        <v>-3.5123325915206297E-2</v>
      </c>
      <c r="Q2433">
        <v>0.30863079880842398</v>
      </c>
      <c r="R2433">
        <v>0.93468832016133296</v>
      </c>
      <c r="S2433" t="s">
        <v>6062</v>
      </c>
      <c r="T2433" t="s">
        <v>7256</v>
      </c>
      <c r="U2433" t="s">
        <v>7256</v>
      </c>
      <c r="V2433" t="s">
        <v>7256</v>
      </c>
      <c r="W2433">
        <v>2</v>
      </c>
      <c r="X2433" t="s">
        <v>9689</v>
      </c>
      <c r="Y2433">
        <v>0.56831607049569444</v>
      </c>
      <c r="Z2433" t="str">
        <f>HYPERLINK("Melting_Curves/meltCurve_sp_Q9BW71_2_HIRP3_HUMAN_.pdf", "Melting_Curves/meltCurve_sp_Q9BW71_2_HIRP3_HUMAN_.pdf")</f>
        <v>Melting_Curves/meltCurve_sp_Q9BW71_2_HIRP3_HUMAN_.pdf</v>
      </c>
      <c r="AA2433" t="s">
        <v>13284</v>
      </c>
      <c r="AB2433" t="s">
        <v>16858</v>
      </c>
    </row>
    <row r="2434" spans="1:28" x14ac:dyDescent="0.25">
      <c r="A2434" t="s">
        <v>2438</v>
      </c>
      <c r="B2434">
        <v>0.98018197421672304</v>
      </c>
      <c r="C2434">
        <v>0.92271203082783004</v>
      </c>
      <c r="D2434">
        <v>0.78383812646692996</v>
      </c>
      <c r="E2434">
        <v>0.39595653071267001</v>
      </c>
      <c r="F2434">
        <v>0.167037792812509</v>
      </c>
      <c r="G2434">
        <v>8.5734309149210805E-2</v>
      </c>
      <c r="H2434">
        <v>4.5552691524334402E-2</v>
      </c>
      <c r="I2434">
        <v>3.1119645883988599E-2</v>
      </c>
      <c r="J2434">
        <v>3.1625903203761498E-2</v>
      </c>
      <c r="K2434">
        <v>2.4100063074813001E-2</v>
      </c>
      <c r="L2434">
        <v>988.48409952604402</v>
      </c>
      <c r="M2434">
        <v>20.286049638563199</v>
      </c>
      <c r="N2434">
        <v>48.854855528926201</v>
      </c>
      <c r="O2434">
        <v>48.261212490998098</v>
      </c>
      <c r="P2434">
        <v>-0.10237702416424301</v>
      </c>
      <c r="Q2434">
        <v>2.5796565683570898E-2</v>
      </c>
      <c r="R2434">
        <v>0.99928122857018098</v>
      </c>
      <c r="S2434" t="s">
        <v>6063</v>
      </c>
      <c r="T2434" t="s">
        <v>7256</v>
      </c>
      <c r="U2434" t="s">
        <v>7256</v>
      </c>
      <c r="V2434" t="s">
        <v>7256</v>
      </c>
      <c r="W2434">
        <v>5</v>
      </c>
      <c r="X2434" t="s">
        <v>9690</v>
      </c>
      <c r="Y2434">
        <v>0.32249293620149638</v>
      </c>
      <c r="Z2434" t="str">
        <f>HYPERLINK("Melting_Curves/meltCurve_sp_Q9BW83_IFT27_HUMAN_.pdf", "Melting_Curves/meltCurve_sp_Q9BW83_IFT27_HUMAN_.pdf")</f>
        <v>Melting_Curves/meltCurve_sp_Q9BW83_IFT27_HUMAN_.pdf</v>
      </c>
      <c r="AA2434" t="s">
        <v>13285</v>
      </c>
      <c r="AB2434" t="s">
        <v>16859</v>
      </c>
    </row>
    <row r="2435" spans="1:28" x14ac:dyDescent="0.25">
      <c r="A2435" t="s">
        <v>2439</v>
      </c>
      <c r="B2435">
        <v>0.98018197421672304</v>
      </c>
      <c r="C2435">
        <v>0.88386071859446202</v>
      </c>
      <c r="D2435">
        <v>0.88081979626538498</v>
      </c>
      <c r="E2435">
        <v>0.71472702682863398</v>
      </c>
      <c r="F2435">
        <v>0.52714653533050704</v>
      </c>
      <c r="G2435">
        <v>0.35058146639424798</v>
      </c>
      <c r="H2435">
        <v>0.29848448012382001</v>
      </c>
      <c r="I2435">
        <v>0.29125083424029002</v>
      </c>
      <c r="J2435">
        <v>0.258066820867696</v>
      </c>
      <c r="K2435">
        <v>0.34655671550529898</v>
      </c>
      <c r="L2435">
        <v>786.88255263646397</v>
      </c>
      <c r="M2435">
        <v>15.482811667735101</v>
      </c>
      <c r="N2435">
        <v>53.4847688797635</v>
      </c>
      <c r="O2435">
        <v>49.997781239132003</v>
      </c>
      <c r="P2435">
        <v>-5.66268163919268E-2</v>
      </c>
      <c r="Q2435">
        <v>0.26861796585270198</v>
      </c>
      <c r="R2435">
        <v>0.98075860819574201</v>
      </c>
      <c r="S2435" t="s">
        <v>6064</v>
      </c>
      <c r="T2435" t="s">
        <v>7256</v>
      </c>
      <c r="U2435" t="s">
        <v>7256</v>
      </c>
      <c r="V2435" t="s">
        <v>7256</v>
      </c>
      <c r="W2435">
        <v>1</v>
      </c>
      <c r="X2435" t="s">
        <v>9691</v>
      </c>
      <c r="Y2435">
        <v>0.54858315663147417</v>
      </c>
      <c r="Z2435" t="str">
        <f>HYPERLINK("Melting_Curves/meltCurve_sp_Q9BW85_CCD94_HUMAN_.pdf", "Melting_Curves/meltCurve_sp_Q9BW85_CCD94_HUMAN_.pdf")</f>
        <v>Melting_Curves/meltCurve_sp_Q9BW85_CCD94_HUMAN_.pdf</v>
      </c>
      <c r="AA2435" t="s">
        <v>13286</v>
      </c>
      <c r="AB2435" t="s">
        <v>16860</v>
      </c>
    </row>
    <row r="2436" spans="1:28" x14ac:dyDescent="0.25">
      <c r="A2436" t="s">
        <v>2440</v>
      </c>
      <c r="B2436">
        <v>0.98018197421672304</v>
      </c>
      <c r="C2436">
        <v>0.92069536482789005</v>
      </c>
      <c r="D2436">
        <v>0.85663567365943705</v>
      </c>
      <c r="E2436">
        <v>0.72337628463660397</v>
      </c>
      <c r="F2436">
        <v>0.66009880450639902</v>
      </c>
      <c r="G2436">
        <v>0.48198829820976502</v>
      </c>
      <c r="H2436">
        <v>0.24385727068363999</v>
      </c>
      <c r="I2436">
        <v>0.208932677055398</v>
      </c>
      <c r="J2436">
        <v>0.23021823591273899</v>
      </c>
      <c r="K2436">
        <v>0.25155432032867697</v>
      </c>
      <c r="L2436">
        <v>582.82629434348405</v>
      </c>
      <c r="M2436">
        <v>10.798661361052799</v>
      </c>
      <c r="N2436">
        <v>55.449399121388701</v>
      </c>
      <c r="O2436">
        <v>52.220062524930299</v>
      </c>
      <c r="P2436">
        <v>-4.5251535869895498E-2</v>
      </c>
      <c r="Q2436">
        <v>0.12500919910257699</v>
      </c>
      <c r="R2436">
        <v>0.97845365973676501</v>
      </c>
      <c r="S2436" t="s">
        <v>6065</v>
      </c>
      <c r="T2436" t="s">
        <v>7256</v>
      </c>
      <c r="U2436" t="s">
        <v>7256</v>
      </c>
      <c r="V2436" t="s">
        <v>7256</v>
      </c>
      <c r="W2436">
        <v>8</v>
      </c>
      <c r="X2436" t="s">
        <v>9692</v>
      </c>
      <c r="Y2436">
        <v>0.55760418831442826</v>
      </c>
      <c r="Z2436" t="str">
        <f>HYPERLINK("Melting_Curves/meltCurve_sp_Q9BW91_2_NUDT9_HUMAN_.pdf", "Melting_Curves/meltCurve_sp_Q9BW91_2_NUDT9_HUMAN_.pdf")</f>
        <v>Melting_Curves/meltCurve_sp_Q9BW91_2_NUDT9_HUMAN_.pdf</v>
      </c>
      <c r="AA2436" t="s">
        <v>13287</v>
      </c>
      <c r="AB2436" t="s">
        <v>16861</v>
      </c>
    </row>
    <row r="2437" spans="1:28" x14ac:dyDescent="0.25">
      <c r="A2437" t="s">
        <v>2441</v>
      </c>
      <c r="B2437">
        <v>0.98018197421672304</v>
      </c>
      <c r="C2437">
        <v>0.90252426348316495</v>
      </c>
      <c r="D2437">
        <v>0.82565999652741096</v>
      </c>
      <c r="E2437">
        <v>0.48642607862988102</v>
      </c>
      <c r="F2437">
        <v>0.20359718264274601</v>
      </c>
      <c r="G2437">
        <v>0.119802648334586</v>
      </c>
      <c r="H2437">
        <v>7.2311918969590494E-2</v>
      </c>
      <c r="I2437">
        <v>6.1198693160616498E-2</v>
      </c>
      <c r="J2437">
        <v>6.3778577629708802E-2</v>
      </c>
      <c r="K2437">
        <v>5.1250192275144602E-2</v>
      </c>
      <c r="L2437">
        <v>973.31196644664101</v>
      </c>
      <c r="M2437">
        <v>19.740086979353201</v>
      </c>
      <c r="N2437">
        <v>49.571632154708396</v>
      </c>
      <c r="O2437">
        <v>48.808722635390701</v>
      </c>
      <c r="P2437">
        <v>-9.6044879088619195E-2</v>
      </c>
      <c r="Q2437">
        <v>5.0122230693011603E-2</v>
      </c>
      <c r="R2437">
        <v>0.99628478285677302</v>
      </c>
      <c r="S2437" t="s">
        <v>6066</v>
      </c>
      <c r="T2437" t="s">
        <v>7256</v>
      </c>
      <c r="U2437" t="s">
        <v>7256</v>
      </c>
      <c r="V2437" t="s">
        <v>7256</v>
      </c>
      <c r="W2437">
        <v>15</v>
      </c>
      <c r="X2437" t="s">
        <v>9693</v>
      </c>
      <c r="Y2437">
        <v>0.35841089270560711</v>
      </c>
      <c r="Z2437" t="str">
        <f>HYPERLINK("Melting_Curves/meltCurve_sp_Q9BW92_SYTM_HUMAN_.pdf", "Melting_Curves/meltCurve_sp_Q9BW92_SYTM_HUMAN_.pdf")</f>
        <v>Melting_Curves/meltCurve_sp_Q9BW92_SYTM_HUMAN_.pdf</v>
      </c>
      <c r="AA2437" t="s">
        <v>13288</v>
      </c>
      <c r="AB2437" t="s">
        <v>16862</v>
      </c>
    </row>
    <row r="2438" spans="1:28" x14ac:dyDescent="0.25">
      <c r="A2438" t="s">
        <v>2442</v>
      </c>
      <c r="B2438">
        <v>0.98018197421672304</v>
      </c>
      <c r="C2438">
        <v>1.02485826766663</v>
      </c>
      <c r="D2438">
        <v>0.95929976851548404</v>
      </c>
      <c r="E2438">
        <v>0.88022801681335305</v>
      </c>
      <c r="F2438">
        <v>0.78278921424291703</v>
      </c>
      <c r="G2438">
        <v>0.70166179996382205</v>
      </c>
      <c r="H2438">
        <v>0.53433890225032998</v>
      </c>
      <c r="I2438">
        <v>0.50970756661669103</v>
      </c>
      <c r="J2438">
        <v>0.103991705230859</v>
      </c>
      <c r="K2438">
        <v>4.78493813386471E-2</v>
      </c>
      <c r="L2438">
        <v>770.31941884327205</v>
      </c>
      <c r="M2438">
        <v>12.685246160345301</v>
      </c>
      <c r="N2438">
        <v>60.725618574355899</v>
      </c>
      <c r="O2438">
        <v>59.275812984046802</v>
      </c>
      <c r="P2438">
        <v>-5.3511334229991901E-2</v>
      </c>
      <c r="Q2438">
        <v>0</v>
      </c>
      <c r="R2438">
        <v>0.93652241048381901</v>
      </c>
      <c r="S2438" t="s">
        <v>6067</v>
      </c>
      <c r="T2438" t="s">
        <v>7256</v>
      </c>
      <c r="U2438" t="s">
        <v>7256</v>
      </c>
      <c r="V2438" t="s">
        <v>7256</v>
      </c>
      <c r="W2438">
        <v>21</v>
      </c>
      <c r="X2438" t="s">
        <v>9694</v>
      </c>
      <c r="Y2438">
        <v>0.69049880633235616</v>
      </c>
      <c r="Z2438" t="str">
        <f>HYPERLINK("Melting_Curves/meltCurve_sp_Q9BWD1_THIC_HUMAN_.pdf", "Melting_Curves/meltCurve_sp_Q9BWD1_THIC_HUMAN_.pdf")</f>
        <v>Melting_Curves/meltCurve_sp_Q9BWD1_THIC_HUMAN_.pdf</v>
      </c>
      <c r="AA2438" t="s">
        <v>13289</v>
      </c>
      <c r="AB2438" t="s">
        <v>16863</v>
      </c>
    </row>
    <row r="2439" spans="1:28" x14ac:dyDescent="0.25">
      <c r="A2439" t="s">
        <v>2443</v>
      </c>
      <c r="B2439">
        <v>0.98018197421672304</v>
      </c>
      <c r="C2439">
        <v>1.25801275488191</v>
      </c>
      <c r="D2439">
        <v>1.37769284725347</v>
      </c>
      <c r="E2439">
        <v>0.84616783650696903</v>
      </c>
      <c r="F2439">
        <v>1.30122641412985</v>
      </c>
      <c r="G2439">
        <v>0.63883675228491599</v>
      </c>
      <c r="H2439">
        <v>0.54625448010254096</v>
      </c>
      <c r="I2439">
        <v>0.43646203140283102</v>
      </c>
      <c r="J2439">
        <v>0.46948503427425398</v>
      </c>
      <c r="K2439">
        <v>0.44715128829033601</v>
      </c>
      <c r="L2439">
        <v>14205.000087454</v>
      </c>
      <c r="M2439">
        <v>250</v>
      </c>
      <c r="N2439">
        <v>57.507632515763397</v>
      </c>
      <c r="O2439">
        <v>56.816377444189399</v>
      </c>
      <c r="P2439">
        <v>-0.57769646315590695</v>
      </c>
      <c r="Q2439">
        <v>0.47483819737861199</v>
      </c>
      <c r="R2439">
        <v>0.74039625536214104</v>
      </c>
      <c r="S2439" t="s">
        <v>6068</v>
      </c>
      <c r="T2439" t="s">
        <v>7256</v>
      </c>
      <c r="U2439" t="s">
        <v>7256</v>
      </c>
      <c r="V2439" t="s">
        <v>7256</v>
      </c>
      <c r="W2439">
        <v>1</v>
      </c>
      <c r="X2439" t="s">
        <v>9695</v>
      </c>
      <c r="Y2439">
        <v>0.76933128903689618</v>
      </c>
      <c r="Z2439" t="str">
        <f>HYPERLINK("Melting_Curves/meltCurve_sp_Q9BWE0_REPI1_HUMAN_.pdf", "Melting_Curves/meltCurve_sp_Q9BWE0_REPI1_HUMAN_.pdf")</f>
        <v>Melting_Curves/meltCurve_sp_Q9BWE0_REPI1_HUMAN_.pdf</v>
      </c>
      <c r="AA2439" t="s">
        <v>13290</v>
      </c>
      <c r="AB2439" t="s">
        <v>16864</v>
      </c>
    </row>
    <row r="2440" spans="1:28" x14ac:dyDescent="0.25">
      <c r="A2440" t="s">
        <v>2444</v>
      </c>
      <c r="B2440">
        <v>0.98018197421672304</v>
      </c>
      <c r="C2440">
        <v>0.94158505877885401</v>
      </c>
      <c r="D2440">
        <v>0.88561453285634595</v>
      </c>
      <c r="E2440">
        <v>0.69441175316305004</v>
      </c>
      <c r="F2440">
        <v>0.51536596829395498</v>
      </c>
      <c r="G2440">
        <v>0.40073721176354599</v>
      </c>
      <c r="H2440">
        <v>0.27117766182605402</v>
      </c>
      <c r="I2440">
        <v>0.23435803800497801</v>
      </c>
      <c r="J2440">
        <v>0.263355978230289</v>
      </c>
      <c r="K2440">
        <v>0.29589609502938102</v>
      </c>
      <c r="L2440">
        <v>776.48896670629597</v>
      </c>
      <c r="M2440">
        <v>15.172000478455599</v>
      </c>
      <c r="N2440">
        <v>53.482965689059299</v>
      </c>
      <c r="O2440">
        <v>50.314665226488799</v>
      </c>
      <c r="P2440">
        <v>-5.7305653241581697E-2</v>
      </c>
      <c r="Q2440">
        <v>0.239906110338381</v>
      </c>
      <c r="R2440">
        <v>0.992999847311971</v>
      </c>
      <c r="S2440" t="s">
        <v>6069</v>
      </c>
      <c r="T2440" t="s">
        <v>7256</v>
      </c>
      <c r="U2440" t="s">
        <v>7256</v>
      </c>
      <c r="V2440" t="s">
        <v>7256</v>
      </c>
      <c r="W2440">
        <v>3</v>
      </c>
      <c r="X2440" t="s">
        <v>9696</v>
      </c>
      <c r="Y2440">
        <v>0.5402837548127809</v>
      </c>
      <c r="Z2440" t="str">
        <f>HYPERLINK("Melting_Curves/meltCurve_sp_Q9BWF3_4_RBM4_HUMAN_.pdf", "Melting_Curves/meltCurve_sp_Q9BWF3_4_RBM4_HUMAN_.pdf")</f>
        <v>Melting_Curves/meltCurve_sp_Q9BWF3_4_RBM4_HUMAN_.pdf</v>
      </c>
      <c r="AA2440" t="s">
        <v>13291</v>
      </c>
      <c r="AB2440" t="s">
        <v>16865</v>
      </c>
    </row>
    <row r="2441" spans="1:28" x14ac:dyDescent="0.25">
      <c r="A2441" t="s">
        <v>2445</v>
      </c>
      <c r="B2441">
        <v>0.98018197421672304</v>
      </c>
      <c r="C2441">
        <v>0.93264454446951806</v>
      </c>
      <c r="D2441">
        <v>0.96715913810909904</v>
      </c>
      <c r="E2441">
        <v>0.83192933222518695</v>
      </c>
      <c r="F2441">
        <v>0.78022102911456803</v>
      </c>
      <c r="G2441">
        <v>0.50204981594578801</v>
      </c>
      <c r="H2441">
        <v>0.32041821292387102</v>
      </c>
      <c r="I2441">
        <v>0.44275655377430501</v>
      </c>
      <c r="J2441">
        <v>0.33499451723172102</v>
      </c>
      <c r="K2441">
        <v>0.493577619917559</v>
      </c>
      <c r="L2441">
        <v>1190.4885689826699</v>
      </c>
      <c r="M2441">
        <v>22.289887943392898</v>
      </c>
      <c r="N2441">
        <v>57.227780710761401</v>
      </c>
      <c r="O2441">
        <v>52.985049403604897</v>
      </c>
      <c r="P2441">
        <v>-6.4470578064762099E-2</v>
      </c>
      <c r="Q2441">
        <v>0.387003811153387</v>
      </c>
      <c r="R2441">
        <v>0.93989128740896899</v>
      </c>
      <c r="S2441" t="s">
        <v>6070</v>
      </c>
      <c r="T2441" t="s">
        <v>7256</v>
      </c>
      <c r="U2441" t="s">
        <v>7256</v>
      </c>
      <c r="V2441" t="s">
        <v>7256</v>
      </c>
      <c r="W2441">
        <v>8</v>
      </c>
      <c r="X2441" t="s">
        <v>9697</v>
      </c>
      <c r="Y2441">
        <v>0.66796826592524461</v>
      </c>
      <c r="Z2441" t="str">
        <f>HYPERLINK("Melting_Curves/meltCurve_sp_Q9BWU0_NADAP_HUMAN_.pdf", "Melting_Curves/meltCurve_sp_Q9BWU0_NADAP_HUMAN_.pdf")</f>
        <v>Melting_Curves/meltCurve_sp_Q9BWU0_NADAP_HUMAN_.pdf</v>
      </c>
      <c r="AA2441" t="s">
        <v>13292</v>
      </c>
      <c r="AB2441" t="s">
        <v>16866</v>
      </c>
    </row>
    <row r="2442" spans="1:28" x14ac:dyDescent="0.25">
      <c r="A2442" t="s">
        <v>2446</v>
      </c>
      <c r="B2442">
        <v>0.98018197421672304</v>
      </c>
      <c r="C2442">
        <v>0.98876621823464705</v>
      </c>
      <c r="D2442">
        <v>0.94251497116247895</v>
      </c>
      <c r="E2442">
        <v>0.78289698085311099</v>
      </c>
      <c r="F2442">
        <v>0.61596267321485998</v>
      </c>
      <c r="G2442">
        <v>0.40388958615005999</v>
      </c>
      <c r="H2442">
        <v>0.39798006839987998</v>
      </c>
      <c r="I2442">
        <v>0.39741185884292901</v>
      </c>
      <c r="J2442">
        <v>0.40808283324873101</v>
      </c>
      <c r="K2442">
        <v>0.51717230104283096</v>
      </c>
      <c r="L2442">
        <v>1308.54901188742</v>
      </c>
      <c r="M2442">
        <v>25.613831530965602</v>
      </c>
      <c r="N2442">
        <v>54.999491227809898</v>
      </c>
      <c r="O2442">
        <v>50.779244900374501</v>
      </c>
      <c r="P2442">
        <v>-7.3250324579914206E-2</v>
      </c>
      <c r="Q2442">
        <v>0.41913403658509102</v>
      </c>
      <c r="R2442">
        <v>0.97275196134746</v>
      </c>
      <c r="S2442" t="s">
        <v>6071</v>
      </c>
      <c r="T2442" t="s">
        <v>7256</v>
      </c>
      <c r="U2442" t="s">
        <v>7256</v>
      </c>
      <c r="V2442" t="s">
        <v>7256</v>
      </c>
      <c r="W2442">
        <v>18</v>
      </c>
      <c r="X2442" t="s">
        <v>9698</v>
      </c>
      <c r="Y2442">
        <v>0.63882197723380174</v>
      </c>
      <c r="Z2442" t="str">
        <f>HYPERLINK("Melting_Curves/meltCurve_sp_Q9BX66_9_SRBS1_HUMAN_.pdf", "Melting_Curves/meltCurve_sp_Q9BX66_9_SRBS1_HUMAN_.pdf")</f>
        <v>Melting_Curves/meltCurve_sp_Q9BX66_9_SRBS1_HUMAN_.pdf</v>
      </c>
      <c r="AA2442" t="s">
        <v>13293</v>
      </c>
      <c r="AB2442" t="s">
        <v>16867</v>
      </c>
    </row>
    <row r="2443" spans="1:28" x14ac:dyDescent="0.25">
      <c r="A2443" t="s">
        <v>2447</v>
      </c>
      <c r="B2443">
        <v>0.98018197421672304</v>
      </c>
      <c r="C2443">
        <v>0.95146733137574102</v>
      </c>
      <c r="D2443">
        <v>1.06470030010409</v>
      </c>
      <c r="E2443">
        <v>0.96766189033987804</v>
      </c>
      <c r="F2443">
        <v>0.83231075815321298</v>
      </c>
      <c r="G2443">
        <v>1.10695648827503</v>
      </c>
      <c r="H2443">
        <v>0.76772190302020404</v>
      </c>
      <c r="I2443">
        <v>0.69180263440880996</v>
      </c>
      <c r="J2443">
        <v>0.79754767915652403</v>
      </c>
      <c r="K2443">
        <v>0.56956371489621505</v>
      </c>
      <c r="L2443">
        <v>608.75712734482704</v>
      </c>
      <c r="M2443">
        <v>8.2799658967705998</v>
      </c>
      <c r="O2443">
        <v>69.607477694086697</v>
      </c>
      <c r="P2443">
        <v>-2.9767640105931401E-2</v>
      </c>
      <c r="Q2443">
        <v>0</v>
      </c>
      <c r="R2443">
        <v>0.67218474782668103</v>
      </c>
      <c r="S2443" t="s">
        <v>6072</v>
      </c>
      <c r="T2443" t="s">
        <v>7256</v>
      </c>
      <c r="U2443" t="s">
        <v>7256</v>
      </c>
      <c r="V2443" t="s">
        <v>7256</v>
      </c>
      <c r="W2443">
        <v>7</v>
      </c>
      <c r="X2443" t="s">
        <v>9699</v>
      </c>
      <c r="Y2443">
        <v>0.89059073498589347</v>
      </c>
      <c r="Z2443" t="str">
        <f>HYPERLINK("Melting_Curves/meltCurve_sp_Q9BX68_HINT2_HUMAN_.pdf", "Melting_Curves/meltCurve_sp_Q9BX68_HINT2_HUMAN_.pdf")</f>
        <v>Melting_Curves/meltCurve_sp_Q9BX68_HINT2_HUMAN_.pdf</v>
      </c>
      <c r="AA2443" t="s">
        <v>13294</v>
      </c>
      <c r="AB2443" t="s">
        <v>16868</v>
      </c>
    </row>
    <row r="2444" spans="1:28" x14ac:dyDescent="0.25">
      <c r="A2444" t="s">
        <v>2448</v>
      </c>
      <c r="B2444">
        <v>0.98018197421672304</v>
      </c>
      <c r="C2444">
        <v>0.90572373065742795</v>
      </c>
      <c r="D2444">
        <v>0.814564120988297</v>
      </c>
      <c r="E2444">
        <v>0.578405411147633</v>
      </c>
      <c r="F2444">
        <v>0.44916834845470899</v>
      </c>
      <c r="G2444">
        <v>0.32575346498844898</v>
      </c>
      <c r="H2444">
        <v>0.30464472791271302</v>
      </c>
      <c r="I2444">
        <v>0.32851863990952701</v>
      </c>
      <c r="J2444">
        <v>0.479966274453205</v>
      </c>
      <c r="K2444">
        <v>0.48291959691355701</v>
      </c>
      <c r="L2444">
        <v>997.63270706593005</v>
      </c>
      <c r="M2444">
        <v>20.9024708175006</v>
      </c>
      <c r="N2444">
        <v>51.263047627717</v>
      </c>
      <c r="O2444">
        <v>47.297575778813702</v>
      </c>
      <c r="P2444">
        <v>-6.8313543047351502E-2</v>
      </c>
      <c r="Q2444">
        <v>0.38170435400034503</v>
      </c>
      <c r="R2444">
        <v>0.932533861115452</v>
      </c>
      <c r="S2444" t="s">
        <v>6073</v>
      </c>
      <c r="T2444" t="s">
        <v>7256</v>
      </c>
      <c r="U2444" t="s">
        <v>7256</v>
      </c>
      <c r="V2444" t="s">
        <v>7256</v>
      </c>
      <c r="W2444">
        <v>5</v>
      </c>
      <c r="X2444" t="s">
        <v>9700</v>
      </c>
      <c r="Y2444">
        <v>0.54901855144402179</v>
      </c>
      <c r="Z2444" t="str">
        <f>HYPERLINK("Melting_Curves/meltCurve_sp_Q9BXI6_TB10A_HUMAN_.pdf", "Melting_Curves/meltCurve_sp_Q9BXI6_TB10A_HUMAN_.pdf")</f>
        <v>Melting_Curves/meltCurve_sp_Q9BXI6_TB10A_HUMAN_.pdf</v>
      </c>
      <c r="AA2444" t="s">
        <v>13295</v>
      </c>
      <c r="AB2444" t="s">
        <v>16869</v>
      </c>
    </row>
    <row r="2445" spans="1:28" x14ac:dyDescent="0.25">
      <c r="A2445" t="s">
        <v>2449</v>
      </c>
      <c r="B2445">
        <v>0.98018197421672304</v>
      </c>
      <c r="C2445">
        <v>0.97968724216585501</v>
      </c>
      <c r="D2445">
        <v>0.88515610135897804</v>
      </c>
      <c r="E2445">
        <v>0.75244306703945696</v>
      </c>
      <c r="F2445">
        <v>0.30050661327815298</v>
      </c>
      <c r="G2445">
        <v>0.11954310921724901</v>
      </c>
      <c r="H2445">
        <v>8.3341222998878806E-2</v>
      </c>
      <c r="I2445">
        <v>5.0870836034139402E-2</v>
      </c>
      <c r="J2445">
        <v>5.2373442228981298E-2</v>
      </c>
      <c r="K2445">
        <v>7.2489082202437494E-2</v>
      </c>
      <c r="L2445">
        <v>1580.7318121487899</v>
      </c>
      <c r="M2445">
        <v>30.7636496374963</v>
      </c>
      <c r="N2445">
        <v>51.607697950955398</v>
      </c>
      <c r="O2445">
        <v>51.167449196459799</v>
      </c>
      <c r="P2445">
        <v>-0.140892197865676</v>
      </c>
      <c r="Q2445">
        <v>6.2653232661418798E-2</v>
      </c>
      <c r="R2445">
        <v>0.99275677610789403</v>
      </c>
      <c r="S2445" t="s">
        <v>6074</v>
      </c>
      <c r="T2445" t="s">
        <v>7256</v>
      </c>
      <c r="U2445" t="s">
        <v>7256</v>
      </c>
      <c r="V2445" t="s">
        <v>7256</v>
      </c>
      <c r="W2445">
        <v>10</v>
      </c>
      <c r="X2445" t="s">
        <v>9701</v>
      </c>
      <c r="Y2445">
        <v>0.42395718842474123</v>
      </c>
      <c r="Z2445" t="str">
        <f>HYPERLINK("Melting_Curves/meltCurve_sp_Q9BXJ9_NAA15_HUMAN_.pdf", "Melting_Curves/meltCurve_sp_Q9BXJ9_NAA15_HUMAN_.pdf")</f>
        <v>Melting_Curves/meltCurve_sp_Q9BXJ9_NAA15_HUMAN_.pdf</v>
      </c>
      <c r="AA2445" t="s">
        <v>13296</v>
      </c>
      <c r="AB2445" t="s">
        <v>16870</v>
      </c>
    </row>
    <row r="2446" spans="1:28" x14ac:dyDescent="0.25">
      <c r="A2446" t="s">
        <v>2450</v>
      </c>
      <c r="B2446">
        <v>0.98018197421672304</v>
      </c>
      <c r="C2446">
        <v>0.89925508953025401</v>
      </c>
      <c r="D2446">
        <v>0.89262192153293096</v>
      </c>
      <c r="E2446">
        <v>0.76283943798435405</v>
      </c>
      <c r="F2446">
        <v>0.63693048204032399</v>
      </c>
      <c r="G2446">
        <v>0.43177948860668602</v>
      </c>
      <c r="H2446">
        <v>0.28088221427839999</v>
      </c>
      <c r="I2446">
        <v>8.8491335883027503E-2</v>
      </c>
      <c r="J2446">
        <v>3.8646349290006501E-2</v>
      </c>
      <c r="K2446">
        <v>2.66693964117958E-2</v>
      </c>
      <c r="L2446">
        <v>692.82402940620398</v>
      </c>
      <c r="M2446">
        <v>12.580810478608701</v>
      </c>
      <c r="N2446">
        <v>55.069904322381902</v>
      </c>
      <c r="O2446">
        <v>53.734094994301003</v>
      </c>
      <c r="P2446">
        <v>-5.8544476560167098E-2</v>
      </c>
      <c r="Q2446">
        <v>0</v>
      </c>
      <c r="R2446">
        <v>0.98495727711687198</v>
      </c>
      <c r="S2446" t="s">
        <v>6075</v>
      </c>
      <c r="T2446" t="s">
        <v>7256</v>
      </c>
      <c r="U2446" t="s">
        <v>7256</v>
      </c>
      <c r="V2446" t="s">
        <v>7256</v>
      </c>
      <c r="W2446">
        <v>6</v>
      </c>
      <c r="X2446" t="s">
        <v>9702</v>
      </c>
      <c r="Y2446">
        <v>0.52481191206961397</v>
      </c>
      <c r="Z2446" t="str">
        <f>HYPERLINK("Melting_Curves/meltCurve_sp_Q9BXK5_B2L13_HUMAN_.pdf", "Melting_Curves/meltCurve_sp_Q9BXK5_B2L13_HUMAN_.pdf")</f>
        <v>Melting_Curves/meltCurve_sp_Q9BXK5_B2L13_HUMAN_.pdf</v>
      </c>
      <c r="AA2446" t="s">
        <v>13297</v>
      </c>
      <c r="AB2446" t="s">
        <v>16871</v>
      </c>
    </row>
    <row r="2447" spans="1:28" x14ac:dyDescent="0.25">
      <c r="A2447" t="s">
        <v>2451</v>
      </c>
      <c r="B2447">
        <v>0.98018197421672304</v>
      </c>
      <c r="C2447">
        <v>0.89993211634025905</v>
      </c>
      <c r="D2447">
        <v>0.77517524919677205</v>
      </c>
      <c r="E2447">
        <v>0.31287602543047599</v>
      </c>
      <c r="F2447">
        <v>0.192125540525976</v>
      </c>
      <c r="G2447">
        <v>0.11196451153609099</v>
      </c>
      <c r="H2447">
        <v>7.0416797849014195E-2</v>
      </c>
      <c r="I2447">
        <v>7.6887591516199005E-2</v>
      </c>
      <c r="J2447">
        <v>7.8665407270472207E-2</v>
      </c>
      <c r="K2447">
        <v>8.12700758534841E-2</v>
      </c>
      <c r="L2447">
        <v>1080.57492888713</v>
      </c>
      <c r="M2447">
        <v>22.530877003667399</v>
      </c>
      <c r="N2447">
        <v>48.317169957251899</v>
      </c>
      <c r="O2447">
        <v>47.586742807723098</v>
      </c>
      <c r="P2447">
        <v>-0.10928293949545401</v>
      </c>
      <c r="Q2447">
        <v>7.6767178400871605E-2</v>
      </c>
      <c r="R2447">
        <v>0.99683551946528604</v>
      </c>
      <c r="S2447" t="s">
        <v>6076</v>
      </c>
      <c r="T2447" t="s">
        <v>7256</v>
      </c>
      <c r="U2447" t="s">
        <v>7256</v>
      </c>
      <c r="V2447" t="s">
        <v>7256</v>
      </c>
      <c r="W2447">
        <v>7</v>
      </c>
      <c r="X2447" t="s">
        <v>9703</v>
      </c>
      <c r="Y2447">
        <v>0.33190976812687539</v>
      </c>
      <c r="Z2447" t="str">
        <f>HYPERLINK("Melting_Curves/meltCurve_sp_Q9BXP5_5_SRRT_HUMAN_.pdf", "Melting_Curves/meltCurve_sp_Q9BXP5_5_SRRT_HUMAN_.pdf")</f>
        <v>Melting_Curves/meltCurve_sp_Q9BXP5_5_SRRT_HUMAN_.pdf</v>
      </c>
      <c r="AA2447" t="s">
        <v>13298</v>
      </c>
      <c r="AB2447" t="s">
        <v>16872</v>
      </c>
    </row>
    <row r="2448" spans="1:28" x14ac:dyDescent="0.25">
      <c r="A2448" t="s">
        <v>2452</v>
      </c>
      <c r="B2448">
        <v>0.98018197421672304</v>
      </c>
      <c r="C2448">
        <v>0.94181123645599996</v>
      </c>
      <c r="D2448">
        <v>0.88590160791509898</v>
      </c>
      <c r="E2448">
        <v>0.73326042407598802</v>
      </c>
      <c r="F2448">
        <v>0.58220034549869903</v>
      </c>
      <c r="G2448">
        <v>0.310060754771456</v>
      </c>
      <c r="H2448">
        <v>0.15860865379316899</v>
      </c>
      <c r="I2448">
        <v>0.14526056026370901</v>
      </c>
      <c r="J2448">
        <v>0.11426148318833799</v>
      </c>
      <c r="K2448">
        <v>6.0710569507232699E-2</v>
      </c>
      <c r="L2448">
        <v>712.75996944160499</v>
      </c>
      <c r="M2448">
        <v>13.300314631782101</v>
      </c>
      <c r="N2448">
        <v>53.828112286784602</v>
      </c>
      <c r="O2448">
        <v>52.421723157856398</v>
      </c>
      <c r="P2448">
        <v>-6.1625150817040501E-2</v>
      </c>
      <c r="Q2448">
        <v>2.86021849764517E-2</v>
      </c>
      <c r="R2448">
        <v>0.99663629969698098</v>
      </c>
      <c r="S2448" t="s">
        <v>6077</v>
      </c>
      <c r="T2448" t="s">
        <v>7256</v>
      </c>
      <c r="U2448" t="s">
        <v>7256</v>
      </c>
      <c r="V2448" t="s">
        <v>7256</v>
      </c>
      <c r="W2448">
        <v>7</v>
      </c>
      <c r="X2448" t="s">
        <v>9704</v>
      </c>
      <c r="Y2448">
        <v>0.49221818008942558</v>
      </c>
      <c r="Z2448" t="str">
        <f>HYPERLINK("Melting_Curves/meltCurve_sp_Q9BXR0_TGT_HUMAN_.pdf", "Melting_Curves/meltCurve_sp_Q9BXR0_TGT_HUMAN_.pdf")</f>
        <v>Melting_Curves/meltCurve_sp_Q9BXR0_TGT_HUMAN_.pdf</v>
      </c>
      <c r="AA2448" t="s">
        <v>13299</v>
      </c>
      <c r="AB2448" t="s">
        <v>16873</v>
      </c>
    </row>
    <row r="2449" spans="1:28" x14ac:dyDescent="0.25">
      <c r="A2449" t="s">
        <v>2453</v>
      </c>
      <c r="B2449">
        <v>0.98018197421672304</v>
      </c>
      <c r="C2449">
        <v>0.85711148297794304</v>
      </c>
      <c r="D2449">
        <v>1.0662086973843601</v>
      </c>
      <c r="E2449">
        <v>0.76601461416135996</v>
      </c>
      <c r="F2449">
        <v>0.478243349382029</v>
      </c>
      <c r="G2449">
        <v>0.40580881633640398</v>
      </c>
      <c r="H2449">
        <v>0.28223464697130701</v>
      </c>
      <c r="I2449">
        <v>0.24310981301934401</v>
      </c>
      <c r="J2449">
        <v>0.39442391969775797</v>
      </c>
      <c r="K2449">
        <v>0.27542018411944502</v>
      </c>
      <c r="L2449">
        <v>1592.10301154737</v>
      </c>
      <c r="M2449">
        <v>31.1023781049463</v>
      </c>
      <c r="N2449">
        <v>52.842912664430401</v>
      </c>
      <c r="O2449">
        <v>50.978890811459401</v>
      </c>
      <c r="P2449">
        <v>-0.10507532733597701</v>
      </c>
      <c r="Q2449">
        <v>0.31110176449674498</v>
      </c>
      <c r="R2449">
        <v>0.946961116808968</v>
      </c>
      <c r="S2449" t="s">
        <v>6078</v>
      </c>
      <c r="T2449" t="s">
        <v>7256</v>
      </c>
      <c r="U2449" t="s">
        <v>7256</v>
      </c>
      <c r="V2449" t="s">
        <v>7256</v>
      </c>
      <c r="W2449">
        <v>2</v>
      </c>
      <c r="X2449" t="s">
        <v>9705</v>
      </c>
      <c r="Y2449">
        <v>0.57208243041644957</v>
      </c>
      <c r="Z2449" t="str">
        <f>HYPERLINK("Melting_Curves/meltCurve_sp_Q9BXS6_7_NUSAP_HUMAN_.pdf", "Melting_Curves/meltCurve_sp_Q9BXS6_7_NUSAP_HUMAN_.pdf")</f>
        <v>Melting_Curves/meltCurve_sp_Q9BXS6_7_NUSAP_HUMAN_.pdf</v>
      </c>
      <c r="AA2449" t="s">
        <v>13300</v>
      </c>
      <c r="AB2449" t="s">
        <v>16874</v>
      </c>
    </row>
    <row r="2450" spans="1:28" x14ac:dyDescent="0.25">
      <c r="A2450" t="s">
        <v>2454</v>
      </c>
      <c r="B2450">
        <v>0.98018197421672304</v>
      </c>
      <c r="C2450">
        <v>0.73004144232952495</v>
      </c>
      <c r="D2450">
        <v>0.70115166422560904</v>
      </c>
      <c r="E2450">
        <v>0.25685777644117203</v>
      </c>
      <c r="F2450">
        <v>7.8069503065366405E-2</v>
      </c>
      <c r="G2450">
        <v>6.4810503051792201E-2</v>
      </c>
      <c r="H2450">
        <v>3.8445185055850803E-2</v>
      </c>
      <c r="I2450">
        <v>2.4850874117466799E-2</v>
      </c>
      <c r="J2450">
        <v>2.8207337524210799E-2</v>
      </c>
      <c r="K2450">
        <v>2.0015271576772801E-2</v>
      </c>
      <c r="L2450">
        <v>815.441612616008</v>
      </c>
      <c r="M2450">
        <v>17.319574985250501</v>
      </c>
      <c r="N2450">
        <v>47.137578752700499</v>
      </c>
      <c r="O2450">
        <v>46.467850903421599</v>
      </c>
      <c r="P2450">
        <v>-9.2244863638229896E-2</v>
      </c>
      <c r="Q2450">
        <v>1.0096968772083799E-2</v>
      </c>
      <c r="R2450">
        <v>0.97751665643765395</v>
      </c>
      <c r="S2450" t="s">
        <v>6079</v>
      </c>
      <c r="T2450" t="s">
        <v>7256</v>
      </c>
      <c r="U2450" t="s">
        <v>7256</v>
      </c>
      <c r="V2450" t="s">
        <v>7256</v>
      </c>
      <c r="W2450">
        <v>1</v>
      </c>
      <c r="X2450" t="s">
        <v>9706</v>
      </c>
      <c r="Y2450">
        <v>0.26355307768221697</v>
      </c>
      <c r="Z2450" t="str">
        <f>HYPERLINK("Melting_Curves/meltCurve_sp_Q9BXU1_3_STK31_HUMAN_.pdf", "Melting_Curves/meltCurve_sp_Q9BXU1_3_STK31_HUMAN_.pdf")</f>
        <v>Melting_Curves/meltCurve_sp_Q9BXU1_3_STK31_HUMAN_.pdf</v>
      </c>
      <c r="AA2450" t="s">
        <v>13301</v>
      </c>
      <c r="AB2450" t="s">
        <v>16875</v>
      </c>
    </row>
    <row r="2451" spans="1:28" x14ac:dyDescent="0.25">
      <c r="A2451" t="s">
        <v>2455</v>
      </c>
      <c r="B2451">
        <v>0.98018197421672304</v>
      </c>
      <c r="C2451">
        <v>0.79406404737800496</v>
      </c>
      <c r="D2451">
        <v>0.96678782362944504</v>
      </c>
      <c r="E2451">
        <v>0.69207190974708399</v>
      </c>
      <c r="F2451">
        <v>0.73277924390358595</v>
      </c>
      <c r="G2451">
        <v>0.63878677943004003</v>
      </c>
      <c r="H2451">
        <v>0.595603271633243</v>
      </c>
      <c r="I2451">
        <v>0.53530729925237996</v>
      </c>
      <c r="J2451">
        <v>0.71126473847081195</v>
      </c>
      <c r="K2451">
        <v>0.45903499174531298</v>
      </c>
      <c r="L2451">
        <v>388.39750783060703</v>
      </c>
      <c r="M2451">
        <v>7.6284057479865499</v>
      </c>
      <c r="O2451">
        <v>47.769439349836397</v>
      </c>
      <c r="P2451">
        <v>-2.03019375744787E-2</v>
      </c>
      <c r="Q2451">
        <v>0.49215884231188101</v>
      </c>
      <c r="R2451">
        <v>0.74443532890105402</v>
      </c>
      <c r="S2451" t="s">
        <v>6080</v>
      </c>
      <c r="T2451" t="s">
        <v>7256</v>
      </c>
      <c r="U2451" t="s">
        <v>7256</v>
      </c>
      <c r="V2451" t="s">
        <v>7256</v>
      </c>
      <c r="W2451">
        <v>2</v>
      </c>
      <c r="X2451" t="s">
        <v>9707</v>
      </c>
      <c r="Y2451">
        <v>0.7056241018749273</v>
      </c>
      <c r="Z2451" t="str">
        <f>HYPERLINK("Melting_Curves/meltCurve_sp_Q9BXV9_CN142_HUMAN_.pdf", "Melting_Curves/meltCurve_sp_Q9BXV9_CN142_HUMAN_.pdf")</f>
        <v>Melting_Curves/meltCurve_sp_Q9BXV9_CN142_HUMAN_.pdf</v>
      </c>
      <c r="AA2451" t="s">
        <v>13302</v>
      </c>
      <c r="AB2451" t="s">
        <v>16876</v>
      </c>
    </row>
    <row r="2452" spans="1:28" x14ac:dyDescent="0.25">
      <c r="A2452" t="s">
        <v>2456</v>
      </c>
      <c r="B2452">
        <v>0.98018197421672304</v>
      </c>
      <c r="C2452">
        <v>1.0963735949415501</v>
      </c>
      <c r="D2452">
        <v>0.678980354262542</v>
      </c>
      <c r="E2452">
        <v>0.27550614291798298</v>
      </c>
      <c r="F2452">
        <v>0.18320426947891799</v>
      </c>
      <c r="G2452">
        <v>0.10614180656748801</v>
      </c>
      <c r="H2452">
        <v>8.6305221294448703E-2</v>
      </c>
      <c r="I2452">
        <v>6.8436453679881201E-2</v>
      </c>
      <c r="J2452">
        <v>8.6572719079821295E-2</v>
      </c>
      <c r="K2452">
        <v>5.7048477861464698E-2</v>
      </c>
      <c r="L2452">
        <v>1326.8041774410799</v>
      </c>
      <c r="M2452">
        <v>27.971876336579399</v>
      </c>
      <c r="N2452">
        <v>47.765085250437501</v>
      </c>
      <c r="O2452">
        <v>47.193058023646103</v>
      </c>
      <c r="P2452">
        <v>-0.13510328088278001</v>
      </c>
      <c r="Q2452">
        <v>8.8243917065225594E-2</v>
      </c>
      <c r="R2452">
        <v>0.98147070869039199</v>
      </c>
      <c r="S2452" t="s">
        <v>6081</v>
      </c>
      <c r="T2452" t="s">
        <v>7256</v>
      </c>
      <c r="U2452" t="s">
        <v>7256</v>
      </c>
      <c r="V2452" t="s">
        <v>7256</v>
      </c>
      <c r="W2452">
        <v>10</v>
      </c>
      <c r="X2452" t="s">
        <v>9708</v>
      </c>
      <c r="Y2452">
        <v>0.3205106461925461</v>
      </c>
      <c r="Z2452" t="str">
        <f>HYPERLINK("Melting_Curves/meltCurve_sp_Q9BXW7_2_CECR5_HUMAN_.pdf", "Melting_Curves/meltCurve_sp_Q9BXW7_2_CECR5_HUMAN_.pdf")</f>
        <v>Melting_Curves/meltCurve_sp_Q9BXW7_2_CECR5_HUMAN_.pdf</v>
      </c>
      <c r="AA2452" t="s">
        <v>13303</v>
      </c>
      <c r="AB2452" t="s">
        <v>16877</v>
      </c>
    </row>
    <row r="2453" spans="1:28" x14ac:dyDescent="0.25">
      <c r="A2453" t="s">
        <v>2457</v>
      </c>
      <c r="B2453">
        <v>0.98018197421672304</v>
      </c>
      <c r="C2453">
        <v>0.88310627360264404</v>
      </c>
      <c r="D2453">
        <v>0.76997760405273596</v>
      </c>
      <c r="E2453">
        <v>0.58411864669254998</v>
      </c>
      <c r="F2453">
        <v>0.490105245536124</v>
      </c>
      <c r="G2453">
        <v>0.336673199433283</v>
      </c>
      <c r="H2453">
        <v>0.23470711865806199</v>
      </c>
      <c r="I2453">
        <v>0.22887135026847799</v>
      </c>
      <c r="J2453">
        <v>0.207545930205419</v>
      </c>
      <c r="K2453">
        <v>0.10503384057598</v>
      </c>
      <c r="L2453">
        <v>500.76530787988497</v>
      </c>
      <c r="M2453">
        <v>9.7528695017514693</v>
      </c>
      <c r="N2453">
        <v>52.378101202689997</v>
      </c>
      <c r="O2453">
        <v>49.326300238211402</v>
      </c>
      <c r="P2453">
        <v>-4.5131147331147002E-2</v>
      </c>
      <c r="Q2453">
        <v>8.7463773046342994E-2</v>
      </c>
      <c r="R2453">
        <v>0.99308414633198305</v>
      </c>
      <c r="S2453" t="s">
        <v>6082</v>
      </c>
      <c r="T2453" t="s">
        <v>7256</v>
      </c>
      <c r="U2453" t="s">
        <v>7256</v>
      </c>
      <c r="V2453" t="s">
        <v>7256</v>
      </c>
      <c r="W2453">
        <v>2</v>
      </c>
      <c r="X2453" t="s">
        <v>9709</v>
      </c>
      <c r="Y2453">
        <v>0.47048200591404771</v>
      </c>
      <c r="Z2453" t="str">
        <f>HYPERLINK("Melting_Curves/meltCurve_sp_Q9BY32_ITPA_HUMAN_.pdf", "Melting_Curves/meltCurve_sp_Q9BY32_ITPA_HUMAN_.pdf")</f>
        <v>Melting_Curves/meltCurve_sp_Q9BY32_ITPA_HUMAN_.pdf</v>
      </c>
      <c r="AA2453" t="s">
        <v>13304</v>
      </c>
      <c r="AB2453" t="s">
        <v>16878</v>
      </c>
    </row>
    <row r="2454" spans="1:28" x14ac:dyDescent="0.25">
      <c r="A2454" t="s">
        <v>2458</v>
      </c>
      <c r="B2454">
        <v>0.98018197421672304</v>
      </c>
      <c r="C2454">
        <v>1.0063751856568499</v>
      </c>
      <c r="D2454">
        <v>0.86229209023950804</v>
      </c>
      <c r="E2454">
        <v>0.76049969662293704</v>
      </c>
      <c r="F2454">
        <v>0.66849953416802799</v>
      </c>
      <c r="G2454">
        <v>0.43138677892169602</v>
      </c>
      <c r="H2454">
        <v>0.25513727737499498</v>
      </c>
      <c r="I2454">
        <v>0.19060092946089799</v>
      </c>
      <c r="J2454">
        <v>0.30503517151442799</v>
      </c>
      <c r="K2454">
        <v>0.247818063333164</v>
      </c>
      <c r="L2454">
        <v>765.47252968710995</v>
      </c>
      <c r="M2454">
        <v>14.3665137587384</v>
      </c>
      <c r="N2454">
        <v>55.203795272977203</v>
      </c>
      <c r="O2454">
        <v>52.281255003303301</v>
      </c>
      <c r="P2454">
        <v>-5.5184951707143298E-2</v>
      </c>
      <c r="Q2454">
        <v>0.19680047246040899</v>
      </c>
      <c r="R2454">
        <v>0.976485046967843</v>
      </c>
      <c r="S2454" t="s">
        <v>6083</v>
      </c>
      <c r="T2454" t="s">
        <v>7256</v>
      </c>
      <c r="U2454" t="s">
        <v>7256</v>
      </c>
      <c r="V2454" t="s">
        <v>7256</v>
      </c>
      <c r="W2454">
        <v>3</v>
      </c>
      <c r="X2454" t="s">
        <v>9710</v>
      </c>
      <c r="Y2454">
        <v>0.57047257753770231</v>
      </c>
      <c r="Z2454" t="str">
        <f>HYPERLINK("Melting_Curves/meltCurve_sp_Q9BY42_RTF2_HUMAN_.pdf", "Melting_Curves/meltCurve_sp_Q9BY42_RTF2_HUMAN_.pdf")</f>
        <v>Melting_Curves/meltCurve_sp_Q9BY42_RTF2_HUMAN_.pdf</v>
      </c>
      <c r="AA2454" t="s">
        <v>13305</v>
      </c>
      <c r="AB2454" t="s">
        <v>16879</v>
      </c>
    </row>
    <row r="2455" spans="1:28" x14ac:dyDescent="0.25">
      <c r="A2455" t="s">
        <v>2459</v>
      </c>
      <c r="B2455">
        <v>0.98018197421672304</v>
      </c>
      <c r="C2455">
        <v>0.91796539634309304</v>
      </c>
      <c r="D2455">
        <v>0.90915721203264399</v>
      </c>
      <c r="E2455">
        <v>0.829497441317955</v>
      </c>
      <c r="F2455">
        <v>0.765716892769854</v>
      </c>
      <c r="G2455">
        <v>0.54657889871771004</v>
      </c>
      <c r="H2455">
        <v>0.52075286705178103</v>
      </c>
      <c r="I2455">
        <v>0.55799107170289497</v>
      </c>
      <c r="J2455">
        <v>0.71671904447545898</v>
      </c>
      <c r="K2455">
        <v>0.75892506677330596</v>
      </c>
      <c r="L2455">
        <v>961.293488202866</v>
      </c>
      <c r="M2455">
        <v>19.333465595012999</v>
      </c>
      <c r="O2455">
        <v>49.198933434125202</v>
      </c>
      <c r="P2455">
        <v>-3.7069989109542303E-2</v>
      </c>
      <c r="Q2455">
        <v>0.62267779881173202</v>
      </c>
      <c r="R2455">
        <v>0.73800079378391403</v>
      </c>
      <c r="S2455" t="s">
        <v>6084</v>
      </c>
      <c r="T2455" t="s">
        <v>7256</v>
      </c>
      <c r="U2455" t="s">
        <v>7256</v>
      </c>
      <c r="V2455" t="s">
        <v>7256</v>
      </c>
      <c r="W2455">
        <v>9</v>
      </c>
      <c r="X2455" t="s">
        <v>9711</v>
      </c>
      <c r="Y2455">
        <v>0.75057369155724984</v>
      </c>
      <c r="Z2455" t="str">
        <f>HYPERLINK("Melting_Curves/meltCurve_sp_Q9BY43_CHM4A_HUMAN_.pdf", "Melting_Curves/meltCurve_sp_Q9BY43_CHM4A_HUMAN_.pdf")</f>
        <v>Melting_Curves/meltCurve_sp_Q9BY43_CHM4A_HUMAN_.pdf</v>
      </c>
      <c r="AA2455" t="s">
        <v>13306</v>
      </c>
      <c r="AB2455" t="s">
        <v>16880</v>
      </c>
    </row>
    <row r="2456" spans="1:28" x14ac:dyDescent="0.25">
      <c r="A2456" t="s">
        <v>2460</v>
      </c>
      <c r="B2456">
        <v>0.98018197421672304</v>
      </c>
      <c r="C2456">
        <v>0.93331482204813598</v>
      </c>
      <c r="D2456">
        <v>0.61744031951797496</v>
      </c>
      <c r="E2456">
        <v>0.264274539384457</v>
      </c>
      <c r="F2456">
        <v>0.12392112590615301</v>
      </c>
      <c r="G2456">
        <v>7.3535004925189107E-2</v>
      </c>
      <c r="H2456">
        <v>4.7742143973571703E-2</v>
      </c>
      <c r="I2456">
        <v>3.1055080838075799E-2</v>
      </c>
      <c r="J2456">
        <v>3.4202963779742003E-2</v>
      </c>
      <c r="K2456">
        <v>2.8077766127882001E-2</v>
      </c>
      <c r="L2456">
        <v>1014.75134641929</v>
      </c>
      <c r="M2456">
        <v>21.530894861441698</v>
      </c>
      <c r="N2456">
        <v>47.300045398640599</v>
      </c>
      <c r="O2456">
        <v>46.729103688367303</v>
      </c>
      <c r="P2456">
        <v>-0.110903593534192</v>
      </c>
      <c r="Q2456">
        <v>3.7234715105391801E-2</v>
      </c>
      <c r="R2456">
        <v>0.99810601661944298</v>
      </c>
      <c r="S2456" t="s">
        <v>6085</v>
      </c>
      <c r="T2456" t="s">
        <v>7256</v>
      </c>
      <c r="U2456" t="s">
        <v>7256</v>
      </c>
      <c r="V2456" t="s">
        <v>7256</v>
      </c>
      <c r="W2456">
        <v>13</v>
      </c>
      <c r="X2456" t="s">
        <v>9712</v>
      </c>
      <c r="Y2456">
        <v>0.27797162234034611</v>
      </c>
      <c r="Z2456" t="str">
        <f>HYPERLINK("Melting_Curves/meltCurve_sp_Q9BY49_PECR_HUMAN_.pdf", "Melting_Curves/meltCurve_sp_Q9BY49_PECR_HUMAN_.pdf")</f>
        <v>Melting_Curves/meltCurve_sp_Q9BY49_PECR_HUMAN_.pdf</v>
      </c>
      <c r="AA2456" t="s">
        <v>13307</v>
      </c>
      <c r="AB2456" t="s">
        <v>16881</v>
      </c>
    </row>
    <row r="2457" spans="1:28" x14ac:dyDescent="0.25">
      <c r="A2457" t="s">
        <v>2461</v>
      </c>
      <c r="B2457">
        <v>0.98018197421672304</v>
      </c>
      <c r="C2457">
        <v>0.90969847729572295</v>
      </c>
      <c r="D2457">
        <v>0.87542316455781899</v>
      </c>
      <c r="E2457">
        <v>0.73797591733488899</v>
      </c>
      <c r="F2457">
        <v>0.59465145350373605</v>
      </c>
      <c r="G2457">
        <v>0.39581823563556001</v>
      </c>
      <c r="H2457">
        <v>0.30810925136245698</v>
      </c>
      <c r="I2457">
        <v>0.291359398404817</v>
      </c>
      <c r="J2457">
        <v>0.33763067987878997</v>
      </c>
      <c r="K2457">
        <v>0.39222949392310402</v>
      </c>
      <c r="L2457">
        <v>789.98850405742303</v>
      </c>
      <c r="M2457">
        <v>15.440882893701801</v>
      </c>
      <c r="N2457">
        <v>54.498673546720298</v>
      </c>
      <c r="O2457">
        <v>50.327038247968801</v>
      </c>
      <c r="P2457">
        <v>-5.32576354904623E-2</v>
      </c>
      <c r="Q2457">
        <v>0.30572434413607802</v>
      </c>
      <c r="R2457">
        <v>0.975045600099266</v>
      </c>
      <c r="S2457" t="s">
        <v>6086</v>
      </c>
      <c r="T2457" t="s">
        <v>7256</v>
      </c>
      <c r="U2457" t="s">
        <v>7256</v>
      </c>
      <c r="V2457" t="s">
        <v>7256</v>
      </c>
      <c r="W2457">
        <v>8</v>
      </c>
      <c r="X2457" t="s">
        <v>9713</v>
      </c>
      <c r="Y2457">
        <v>0.5792594080984983</v>
      </c>
      <c r="Z2457" t="str">
        <f>HYPERLINK("Melting_Curves/meltCurve_sp_Q9BY89_K1671_HUMAN_.pdf", "Melting_Curves/meltCurve_sp_Q9BY89_K1671_HUMAN_.pdf")</f>
        <v>Melting_Curves/meltCurve_sp_Q9BY89_K1671_HUMAN_.pdf</v>
      </c>
      <c r="AA2457" t="s">
        <v>13308</v>
      </c>
      <c r="AB2457" t="s">
        <v>16882</v>
      </c>
    </row>
    <row r="2458" spans="1:28" x14ac:dyDescent="0.25">
      <c r="A2458" t="s">
        <v>2462</v>
      </c>
      <c r="B2458">
        <v>0.98018197421672304</v>
      </c>
      <c r="C2458">
        <v>0.93809975277948798</v>
      </c>
      <c r="D2458">
        <v>0.58357235348609704</v>
      </c>
      <c r="E2458">
        <v>0.23132567941572901</v>
      </c>
      <c r="F2458">
        <v>0.14128593111881799</v>
      </c>
      <c r="G2458">
        <v>8.6075058768327897E-2</v>
      </c>
      <c r="H2458">
        <v>4.6891204779067497E-2</v>
      </c>
      <c r="I2458">
        <v>3.4509439090560097E-2</v>
      </c>
      <c r="J2458">
        <v>2.1489782945715501E-2</v>
      </c>
      <c r="K2458">
        <v>1.5507008708089701E-2</v>
      </c>
      <c r="L2458">
        <v>1033.1110528082299</v>
      </c>
      <c r="M2458">
        <v>22.052422466009101</v>
      </c>
      <c r="N2458">
        <v>47.024339248874497</v>
      </c>
      <c r="O2458">
        <v>46.467831312793699</v>
      </c>
      <c r="P2458">
        <v>-0.11393675760246</v>
      </c>
      <c r="Q2458">
        <v>3.9692520196469898E-2</v>
      </c>
      <c r="R2458">
        <v>0.99512494567934695</v>
      </c>
      <c r="S2458" t="s">
        <v>6087</v>
      </c>
      <c r="T2458" t="s">
        <v>7256</v>
      </c>
      <c r="U2458" t="s">
        <v>7256</v>
      </c>
      <c r="V2458" t="s">
        <v>7256</v>
      </c>
      <c r="W2458">
        <v>1</v>
      </c>
      <c r="X2458" t="s">
        <v>9714</v>
      </c>
      <c r="Y2458">
        <v>0.27027577948649761</v>
      </c>
      <c r="Z2458" t="str">
        <f>HYPERLINK("Melting_Curves/meltCurve_sp_Q9BYD6_RM01_HUMAN_.pdf", "Melting_Curves/meltCurve_sp_Q9BYD6_RM01_HUMAN_.pdf")</f>
        <v>Melting_Curves/meltCurve_sp_Q9BYD6_RM01_HUMAN_.pdf</v>
      </c>
      <c r="AA2458" t="s">
        <v>13309</v>
      </c>
      <c r="AB2458" t="s">
        <v>16883</v>
      </c>
    </row>
    <row r="2459" spans="1:28" x14ac:dyDescent="0.25">
      <c r="A2459" t="s">
        <v>2463</v>
      </c>
      <c r="B2459">
        <v>0.98018197421672304</v>
      </c>
      <c r="C2459">
        <v>0.90138395001716398</v>
      </c>
      <c r="D2459">
        <v>0.71089201699567806</v>
      </c>
      <c r="E2459">
        <v>0.382773796959824</v>
      </c>
      <c r="F2459">
        <v>0.23321717768931799</v>
      </c>
      <c r="G2459">
        <v>0.14793437315774799</v>
      </c>
      <c r="H2459">
        <v>0.10977072589805199</v>
      </c>
      <c r="I2459">
        <v>0.115636746060303</v>
      </c>
      <c r="J2459">
        <v>0.12707116412550601</v>
      </c>
      <c r="K2459">
        <v>0.123672172012052</v>
      </c>
      <c r="L2459">
        <v>898.224731874501</v>
      </c>
      <c r="M2459">
        <v>18.800496391737099</v>
      </c>
      <c r="N2459">
        <v>48.427190509563303</v>
      </c>
      <c r="O2459">
        <v>47.245974955195898</v>
      </c>
      <c r="P2459">
        <v>-8.8384219714964699E-2</v>
      </c>
      <c r="Q2459">
        <v>0.111592959227426</v>
      </c>
      <c r="R2459">
        <v>0.99947437454263899</v>
      </c>
      <c r="S2459" t="s">
        <v>6088</v>
      </c>
      <c r="T2459" t="s">
        <v>7256</v>
      </c>
      <c r="U2459" t="s">
        <v>7256</v>
      </c>
      <c r="V2459" t="s">
        <v>7256</v>
      </c>
      <c r="W2459">
        <v>5</v>
      </c>
      <c r="X2459" t="s">
        <v>9715</v>
      </c>
      <c r="Y2459">
        <v>0.35636596915396551</v>
      </c>
      <c r="Z2459" t="str">
        <f>HYPERLINK("Melting_Curves/meltCurve_sp_Q9BYN8_RT26_HUMAN_.pdf", "Melting_Curves/meltCurve_sp_Q9BYN8_RT26_HUMAN_.pdf")</f>
        <v>Melting_Curves/meltCurve_sp_Q9BYN8_RT26_HUMAN_.pdf</v>
      </c>
      <c r="AA2459" t="s">
        <v>13310</v>
      </c>
      <c r="AB2459" t="s">
        <v>16884</v>
      </c>
    </row>
    <row r="2460" spans="1:28" x14ac:dyDescent="0.25">
      <c r="A2460" t="s">
        <v>2464</v>
      </c>
      <c r="B2460">
        <v>0.98018197421672304</v>
      </c>
      <c r="C2460">
        <v>0.94726151358692301</v>
      </c>
      <c r="D2460">
        <v>0.90630576892281201</v>
      </c>
      <c r="E2460">
        <v>0.77231586133167196</v>
      </c>
      <c r="F2460">
        <v>0.66038525721734298</v>
      </c>
      <c r="G2460">
        <v>0.47841891209227699</v>
      </c>
      <c r="H2460">
        <v>0.14430343497434001</v>
      </c>
      <c r="I2460">
        <v>9.3461966021071305E-2</v>
      </c>
      <c r="J2460">
        <v>7.32649876892143E-2</v>
      </c>
      <c r="K2460">
        <v>5.30247482388587E-2</v>
      </c>
      <c r="L2460">
        <v>768.87209189715304</v>
      </c>
      <c r="M2460">
        <v>13.9198387044275</v>
      </c>
      <c r="N2460">
        <v>55.235698431743501</v>
      </c>
      <c r="O2460">
        <v>54.1331653043678</v>
      </c>
      <c r="P2460">
        <v>-6.4293868841489396E-2</v>
      </c>
      <c r="Q2460">
        <v>0</v>
      </c>
      <c r="R2460">
        <v>0.98716526537539795</v>
      </c>
      <c r="S2460" t="s">
        <v>6089</v>
      </c>
      <c r="T2460" t="s">
        <v>7256</v>
      </c>
      <c r="U2460" t="s">
        <v>7256</v>
      </c>
      <c r="V2460" t="s">
        <v>7256</v>
      </c>
      <c r="W2460">
        <v>22</v>
      </c>
      <c r="X2460" t="s">
        <v>9716</v>
      </c>
      <c r="Y2460">
        <v>0.52820424083494932</v>
      </c>
      <c r="Z2460" t="str">
        <f>HYPERLINK("Melting_Curves/meltCurve_sp_Q9BYT8_NEUL_HUMAN_.pdf", "Melting_Curves/meltCurve_sp_Q9BYT8_NEUL_HUMAN_.pdf")</f>
        <v>Melting_Curves/meltCurve_sp_Q9BYT8_NEUL_HUMAN_.pdf</v>
      </c>
      <c r="AA2460" t="s">
        <v>13311</v>
      </c>
      <c r="AB2460" t="s">
        <v>16885</v>
      </c>
    </row>
    <row r="2461" spans="1:28" x14ac:dyDescent="0.25">
      <c r="A2461" t="s">
        <v>2465</v>
      </c>
      <c r="B2461">
        <v>0.98018197421672304</v>
      </c>
      <c r="C2461">
        <v>0.91915078950067697</v>
      </c>
      <c r="D2461">
        <v>0.76616844711591303</v>
      </c>
      <c r="E2461">
        <v>0.56097321317523696</v>
      </c>
      <c r="F2461">
        <v>0.418214027265152</v>
      </c>
      <c r="G2461">
        <v>0.23404992675698799</v>
      </c>
      <c r="H2461">
        <v>0.101772006296502</v>
      </c>
      <c r="I2461">
        <v>6.28364590629516E-2</v>
      </c>
      <c r="J2461">
        <v>5.7173703100030497E-2</v>
      </c>
      <c r="K2461">
        <v>4.2807783437458703E-2</v>
      </c>
      <c r="L2461">
        <v>614.77859680729898</v>
      </c>
      <c r="M2461">
        <v>12.0302264272489</v>
      </c>
      <c r="N2461">
        <v>51.102828443791203</v>
      </c>
      <c r="O2461">
        <v>49.752225355956703</v>
      </c>
      <c r="P2461">
        <v>-6.0465129661051303E-2</v>
      </c>
      <c r="Q2461">
        <v>0</v>
      </c>
      <c r="R2461">
        <v>0.99792782268927005</v>
      </c>
      <c r="S2461" t="s">
        <v>6090</v>
      </c>
      <c r="T2461" t="s">
        <v>7256</v>
      </c>
      <c r="U2461" t="s">
        <v>7256</v>
      </c>
      <c r="V2461" t="s">
        <v>7256</v>
      </c>
      <c r="W2461">
        <v>21</v>
      </c>
      <c r="X2461" t="s">
        <v>9717</v>
      </c>
      <c r="Y2461">
        <v>0.4023891129038184</v>
      </c>
      <c r="Z2461" t="str">
        <f>HYPERLINK("Melting_Curves/meltCurve_sp_Q9BYV1_AGT2_HUMAN_.pdf", "Melting_Curves/meltCurve_sp_Q9BYV1_AGT2_HUMAN_.pdf")</f>
        <v>Melting_Curves/meltCurve_sp_Q9BYV1_AGT2_HUMAN_.pdf</v>
      </c>
      <c r="AA2461" t="s">
        <v>13312</v>
      </c>
      <c r="AB2461" t="s">
        <v>16886</v>
      </c>
    </row>
    <row r="2462" spans="1:28" x14ac:dyDescent="0.25">
      <c r="A2462" t="s">
        <v>2466</v>
      </c>
      <c r="B2462">
        <v>0.98018197421672304</v>
      </c>
      <c r="C2462">
        <v>0.98514778768858102</v>
      </c>
      <c r="D2462">
        <v>0.63980360676075598</v>
      </c>
      <c r="E2462">
        <v>0.40120597863276702</v>
      </c>
      <c r="F2462">
        <v>0.233000564985471</v>
      </c>
      <c r="G2462">
        <v>0.139777834753574</v>
      </c>
      <c r="H2462">
        <v>0.111732508410626</v>
      </c>
      <c r="I2462">
        <v>8.6702722559026099E-2</v>
      </c>
      <c r="J2462">
        <v>6.1703393028192902E-2</v>
      </c>
      <c r="K2462">
        <v>7.2971573601256501E-2</v>
      </c>
      <c r="L2462">
        <v>849.63713723234105</v>
      </c>
      <c r="M2462">
        <v>17.70230150746</v>
      </c>
      <c r="N2462">
        <v>48.456459313327301</v>
      </c>
      <c r="O2462">
        <v>47.395940790107801</v>
      </c>
      <c r="P2462">
        <v>-8.6148311759953702E-2</v>
      </c>
      <c r="Q2462">
        <v>7.7438569930185497E-2</v>
      </c>
      <c r="R2462">
        <v>0.98919910665229904</v>
      </c>
      <c r="S2462" t="s">
        <v>6091</v>
      </c>
      <c r="T2462" t="s">
        <v>7256</v>
      </c>
      <c r="U2462" t="s">
        <v>7256</v>
      </c>
      <c r="V2462" t="s">
        <v>7256</v>
      </c>
      <c r="W2462">
        <v>1</v>
      </c>
      <c r="X2462" t="s">
        <v>9718</v>
      </c>
      <c r="Y2462">
        <v>0.34027753582545051</v>
      </c>
      <c r="Z2462" t="str">
        <f>HYPERLINK("Melting_Curves/meltCurve_sp_Q9BYV7_4_BCDO2_HUMAN_.pdf", "Melting_Curves/meltCurve_sp_Q9BYV7_4_BCDO2_HUMAN_.pdf")</f>
        <v>Melting_Curves/meltCurve_sp_Q9BYV7_4_BCDO2_HUMAN_.pdf</v>
      </c>
      <c r="AA2462" t="s">
        <v>13313</v>
      </c>
      <c r="AB2462" t="s">
        <v>16887</v>
      </c>
    </row>
    <row r="2463" spans="1:28" x14ac:dyDescent="0.25">
      <c r="A2463" t="s">
        <v>2467</v>
      </c>
      <c r="B2463">
        <v>0.98018197421672304</v>
      </c>
      <c r="C2463">
        <v>0.744053026537705</v>
      </c>
      <c r="D2463">
        <v>0.76833469030813994</v>
      </c>
      <c r="E2463">
        <v>0.55526072066212695</v>
      </c>
      <c r="F2463">
        <v>0.38721129973273899</v>
      </c>
      <c r="G2463">
        <v>0.223626877165155</v>
      </c>
      <c r="H2463">
        <v>4.9666440033090398E-2</v>
      </c>
      <c r="I2463">
        <v>4.6588716287220402E-2</v>
      </c>
      <c r="J2463">
        <v>6.0180240000330801E-2</v>
      </c>
      <c r="K2463">
        <v>0.116908583026018</v>
      </c>
      <c r="L2463">
        <v>544.14364862626496</v>
      </c>
      <c r="M2463">
        <v>10.815334695393901</v>
      </c>
      <c r="N2463">
        <v>50.3122338671783</v>
      </c>
      <c r="O2463">
        <v>48.683779671310397</v>
      </c>
      <c r="P2463">
        <v>-5.55586973786295E-2</v>
      </c>
      <c r="Q2463">
        <v>0</v>
      </c>
      <c r="R2463">
        <v>0.96962137352980404</v>
      </c>
      <c r="S2463" t="s">
        <v>6092</v>
      </c>
      <c r="T2463" t="s">
        <v>7256</v>
      </c>
      <c r="U2463" t="s">
        <v>7256</v>
      </c>
      <c r="V2463" t="s">
        <v>7256</v>
      </c>
      <c r="W2463">
        <v>2</v>
      </c>
      <c r="X2463" t="s">
        <v>9719</v>
      </c>
      <c r="Y2463">
        <v>0.38332613144335392</v>
      </c>
      <c r="Z2463" t="str">
        <f>HYPERLINK("Melting_Curves/meltCurve_sp_Q9BZ23_3_PANK2_HUMAN_.pdf", "Melting_Curves/meltCurve_sp_Q9BZ23_3_PANK2_HUMAN_.pdf")</f>
        <v>Melting_Curves/meltCurve_sp_Q9BZ23_3_PANK2_HUMAN_.pdf</v>
      </c>
      <c r="AA2463" t="s">
        <v>13314</v>
      </c>
      <c r="AB2463" t="s">
        <v>16888</v>
      </c>
    </row>
    <row r="2464" spans="1:28" x14ac:dyDescent="0.25">
      <c r="A2464" t="s">
        <v>2468</v>
      </c>
      <c r="B2464">
        <v>0.98018197421672304</v>
      </c>
      <c r="C2464">
        <v>0.83511577327473197</v>
      </c>
      <c r="D2464">
        <v>0.86700043473140997</v>
      </c>
      <c r="E2464">
        <v>0.66939055207814202</v>
      </c>
      <c r="F2464">
        <v>0.28847410691342601</v>
      </c>
      <c r="G2464">
        <v>0.18260364016186001</v>
      </c>
      <c r="H2464">
        <v>7.09767232253114E-2</v>
      </c>
      <c r="I2464">
        <v>7.3397914293923103E-2</v>
      </c>
      <c r="J2464">
        <v>7.8096082894258706E-2</v>
      </c>
      <c r="K2464">
        <v>3.9055390966858103E-2</v>
      </c>
      <c r="L2464">
        <v>859.07946515690298</v>
      </c>
      <c r="M2464">
        <v>16.885511869794001</v>
      </c>
      <c r="N2464">
        <v>51.102175830088299</v>
      </c>
      <c r="O2464">
        <v>50.1792328478043</v>
      </c>
      <c r="P2464">
        <v>-8.1111221484773094E-2</v>
      </c>
      <c r="Q2464">
        <v>3.5897955687564098E-2</v>
      </c>
      <c r="R2464">
        <v>0.97827787080861195</v>
      </c>
      <c r="S2464" t="s">
        <v>6093</v>
      </c>
      <c r="T2464" t="s">
        <v>7256</v>
      </c>
      <c r="U2464" t="s">
        <v>7256</v>
      </c>
      <c r="V2464" t="s">
        <v>7256</v>
      </c>
      <c r="W2464">
        <v>2</v>
      </c>
      <c r="X2464" t="s">
        <v>9720</v>
      </c>
      <c r="Y2464">
        <v>0.40368260130387851</v>
      </c>
      <c r="Z2464" t="str">
        <f>HYPERLINK("Melting_Curves/meltCurve_sp_Q9BZE2_PUS3_HUMAN_.pdf", "Melting_Curves/meltCurve_sp_Q9BZE2_PUS3_HUMAN_.pdf")</f>
        <v>Melting_Curves/meltCurve_sp_Q9BZE2_PUS3_HUMAN_.pdf</v>
      </c>
      <c r="AA2464" t="s">
        <v>13315</v>
      </c>
      <c r="AB2464" t="s">
        <v>16889</v>
      </c>
    </row>
    <row r="2465" spans="1:28" x14ac:dyDescent="0.25">
      <c r="A2465" t="s">
        <v>2469</v>
      </c>
      <c r="B2465">
        <v>0.98018197421672304</v>
      </c>
      <c r="C2465">
        <v>0.94353375318785704</v>
      </c>
      <c r="D2465">
        <v>0.84152712081270598</v>
      </c>
      <c r="E2465">
        <v>0.65116082588887703</v>
      </c>
      <c r="F2465">
        <v>0.36498309342762197</v>
      </c>
      <c r="G2465">
        <v>0.17711803713657401</v>
      </c>
      <c r="H2465">
        <v>0.10809352267529899</v>
      </c>
      <c r="I2465">
        <v>9.2913161210919901E-2</v>
      </c>
      <c r="J2465">
        <v>7.5494490431926603E-2</v>
      </c>
      <c r="K2465">
        <v>7.8366846206090995E-2</v>
      </c>
      <c r="L2465">
        <v>865.35708661663705</v>
      </c>
      <c r="M2465">
        <v>16.968016494907801</v>
      </c>
      <c r="N2465">
        <v>51.373596080687001</v>
      </c>
      <c r="O2465">
        <v>50.306757570651698</v>
      </c>
      <c r="P2465">
        <v>-7.9424895054576894E-2</v>
      </c>
      <c r="Q2465">
        <v>5.8143366565926502E-2</v>
      </c>
      <c r="R2465">
        <v>0.99695204554640404</v>
      </c>
      <c r="S2465" t="s">
        <v>6094</v>
      </c>
      <c r="T2465" t="s">
        <v>7256</v>
      </c>
      <c r="U2465" t="s">
        <v>7256</v>
      </c>
      <c r="V2465" t="s">
        <v>7256</v>
      </c>
      <c r="W2465">
        <v>9</v>
      </c>
      <c r="X2465" t="s">
        <v>9721</v>
      </c>
      <c r="Y2465">
        <v>0.42109937861929742</v>
      </c>
      <c r="Z2465" t="str">
        <f>HYPERLINK("Melting_Curves/meltCurve_sp_Q9BZE9_ASPC1_HUMAN_.pdf", "Melting_Curves/meltCurve_sp_Q9BZE9_ASPC1_HUMAN_.pdf")</f>
        <v>Melting_Curves/meltCurve_sp_Q9BZE9_ASPC1_HUMAN_.pdf</v>
      </c>
      <c r="AA2465" t="s">
        <v>13316</v>
      </c>
      <c r="AB2465" t="s">
        <v>16890</v>
      </c>
    </row>
    <row r="2466" spans="1:28" x14ac:dyDescent="0.25">
      <c r="A2466" t="s">
        <v>2470</v>
      </c>
      <c r="B2466">
        <v>0.98018197421672304</v>
      </c>
      <c r="C2466">
        <v>1.1187252138888899</v>
      </c>
      <c r="D2466">
        <v>0.96713612069168797</v>
      </c>
      <c r="E2466">
        <v>0.70917140623318897</v>
      </c>
      <c r="F2466">
        <v>0.53453429762419402</v>
      </c>
      <c r="G2466">
        <v>0.217667937185822</v>
      </c>
      <c r="H2466">
        <v>0.116598289364004</v>
      </c>
      <c r="I2466">
        <v>2.4450559505508802E-2</v>
      </c>
      <c r="J2466">
        <v>0</v>
      </c>
      <c r="K2466">
        <v>0</v>
      </c>
      <c r="L2466">
        <v>974.74480930963</v>
      </c>
      <c r="M2466">
        <v>18.3504087668449</v>
      </c>
      <c r="N2466">
        <v>53.118425197900201</v>
      </c>
      <c r="O2466">
        <v>52.4996614296602</v>
      </c>
      <c r="P2466">
        <v>-8.7387458287868203E-2</v>
      </c>
      <c r="Q2466">
        <v>0</v>
      </c>
      <c r="R2466">
        <v>0.98736581758103803</v>
      </c>
      <c r="S2466" t="s">
        <v>6095</v>
      </c>
      <c r="T2466" t="s">
        <v>7256</v>
      </c>
      <c r="U2466" t="s">
        <v>7256</v>
      </c>
      <c r="V2466" t="s">
        <v>7256</v>
      </c>
      <c r="W2466">
        <v>1</v>
      </c>
      <c r="X2466" t="s">
        <v>9722</v>
      </c>
      <c r="Y2466">
        <v>0.45312122702740842</v>
      </c>
      <c r="Z2466" t="str">
        <f>HYPERLINK("Melting_Curves/meltCurve_sp_Q9BZG8_3_DPH1_HUMAN_.pdf", "Melting_Curves/meltCurve_sp_Q9BZG8_3_DPH1_HUMAN_.pdf")</f>
        <v>Melting_Curves/meltCurve_sp_Q9BZG8_3_DPH1_HUMAN_.pdf</v>
      </c>
      <c r="AA2466" t="s">
        <v>13317</v>
      </c>
      <c r="AB2466" t="s">
        <v>16891</v>
      </c>
    </row>
    <row r="2467" spans="1:28" x14ac:dyDescent="0.25">
      <c r="A2467" t="s">
        <v>2471</v>
      </c>
      <c r="B2467">
        <v>0.98018197421672304</v>
      </c>
      <c r="C2467">
        <v>0.90572372054540995</v>
      </c>
      <c r="D2467">
        <v>0.82913147676635701</v>
      </c>
      <c r="E2467">
        <v>0.71581149760150897</v>
      </c>
      <c r="F2467">
        <v>0.49752466741524998</v>
      </c>
      <c r="G2467">
        <v>0.199485351251907</v>
      </c>
      <c r="H2467">
        <v>0.10525045895433401</v>
      </c>
      <c r="I2467">
        <v>6.02622806193834E-2</v>
      </c>
      <c r="J2467">
        <v>4.5521947932887802E-2</v>
      </c>
      <c r="K2467">
        <v>2.8332628834722599E-2</v>
      </c>
      <c r="L2467">
        <v>756.27156359243202</v>
      </c>
      <c r="M2467">
        <v>14.406797433213001</v>
      </c>
      <c r="N2467">
        <v>52.4940968865372</v>
      </c>
      <c r="O2467">
        <v>51.513754274501501</v>
      </c>
      <c r="P2467">
        <v>-6.9925508273763606E-2</v>
      </c>
      <c r="Q2467">
        <v>0</v>
      </c>
      <c r="R2467">
        <v>0.99181486188003498</v>
      </c>
      <c r="S2467" t="s">
        <v>6096</v>
      </c>
      <c r="T2467" t="s">
        <v>7256</v>
      </c>
      <c r="U2467" t="s">
        <v>7256</v>
      </c>
      <c r="V2467" t="s">
        <v>7256</v>
      </c>
      <c r="W2467">
        <v>7</v>
      </c>
      <c r="X2467" t="s">
        <v>9723</v>
      </c>
      <c r="Y2467">
        <v>0.43974110051549059</v>
      </c>
      <c r="Z2467" t="str">
        <f>HYPERLINK("Melting_Curves/meltCurve_sp_Q9BZH6_WDR11_HUMAN_.pdf", "Melting_Curves/meltCurve_sp_Q9BZH6_WDR11_HUMAN_.pdf")</f>
        <v>Melting_Curves/meltCurve_sp_Q9BZH6_WDR11_HUMAN_.pdf</v>
      </c>
      <c r="AA2467" t="s">
        <v>13318</v>
      </c>
      <c r="AB2467" t="s">
        <v>16892</v>
      </c>
    </row>
    <row r="2468" spans="1:28" x14ac:dyDescent="0.25">
      <c r="A2468" t="s">
        <v>2472</v>
      </c>
      <c r="B2468">
        <v>0.98018197421672304</v>
      </c>
      <c r="C2468">
        <v>0.95301092571625801</v>
      </c>
      <c r="D2468">
        <v>1.0141610440176601</v>
      </c>
      <c r="E2468">
        <v>0.85494639592756305</v>
      </c>
      <c r="F2468">
        <v>0.80527308808446596</v>
      </c>
      <c r="G2468">
        <v>0.77058948670253502</v>
      </c>
      <c r="H2468">
        <v>0.54092294663512097</v>
      </c>
      <c r="I2468">
        <v>0.58914086999107995</v>
      </c>
      <c r="J2468">
        <v>0.58669103548397705</v>
      </c>
      <c r="K2468">
        <v>0.57878482695506195</v>
      </c>
      <c r="L2468">
        <v>752.09905484177705</v>
      </c>
      <c r="M2468">
        <v>13.8467650513852</v>
      </c>
      <c r="O2468">
        <v>53.220612558540701</v>
      </c>
      <c r="P2468">
        <v>-2.9846790046487999E-2</v>
      </c>
      <c r="Q2468">
        <v>0.54119403631028196</v>
      </c>
      <c r="R2468">
        <v>0.94005426480889198</v>
      </c>
      <c r="S2468" t="s">
        <v>6097</v>
      </c>
      <c r="T2468" t="s">
        <v>7256</v>
      </c>
      <c r="U2468" t="s">
        <v>7256</v>
      </c>
      <c r="V2468" t="s">
        <v>7256</v>
      </c>
      <c r="W2468">
        <v>5</v>
      </c>
      <c r="X2468" t="s">
        <v>9724</v>
      </c>
      <c r="Y2468">
        <v>0.77025503017764563</v>
      </c>
      <c r="Z2468" t="str">
        <f>HYPERLINK("Melting_Curves/meltCurve_sp_Q9BZI7_2_REN3B_HUMAN_.pdf", "Melting_Curves/meltCurve_sp_Q9BZI7_2_REN3B_HUMAN_.pdf")</f>
        <v>Melting_Curves/meltCurve_sp_Q9BZI7_2_REN3B_HUMAN_.pdf</v>
      </c>
      <c r="AA2468" t="s">
        <v>13319</v>
      </c>
      <c r="AB2468" t="s">
        <v>16893</v>
      </c>
    </row>
    <row r="2469" spans="1:28" x14ac:dyDescent="0.25">
      <c r="A2469" t="s">
        <v>2473</v>
      </c>
      <c r="B2469">
        <v>0.98018197421672304</v>
      </c>
      <c r="C2469">
        <v>0.80673737578967997</v>
      </c>
      <c r="D2469">
        <v>0.87683497061817295</v>
      </c>
      <c r="E2469">
        <v>0.69741436030050197</v>
      </c>
      <c r="F2469">
        <v>0.528910495717267</v>
      </c>
      <c r="G2469">
        <v>0.33144285967183401</v>
      </c>
      <c r="H2469">
        <v>0.208308001692425</v>
      </c>
      <c r="I2469">
        <v>0.142307362257731</v>
      </c>
      <c r="J2469">
        <v>0.13254809389794101</v>
      </c>
      <c r="K2469">
        <v>0.139607335314158</v>
      </c>
      <c r="L2469">
        <v>555.23724821160499</v>
      </c>
      <c r="M2469">
        <v>10.4682888766246</v>
      </c>
      <c r="N2469">
        <v>53.375872129242801</v>
      </c>
      <c r="O2469">
        <v>51.213995163781703</v>
      </c>
      <c r="P2469">
        <v>-4.9491706851900102E-2</v>
      </c>
      <c r="Q2469">
        <v>3.1882319320811099E-2</v>
      </c>
      <c r="R2469">
        <v>0.980641508835293</v>
      </c>
      <c r="S2469" t="s">
        <v>6098</v>
      </c>
      <c r="T2469" t="s">
        <v>7256</v>
      </c>
      <c r="U2469" t="s">
        <v>7256</v>
      </c>
      <c r="V2469" t="s">
        <v>7256</v>
      </c>
      <c r="W2469">
        <v>4</v>
      </c>
      <c r="X2469" t="s">
        <v>9725</v>
      </c>
      <c r="Y2469">
        <v>0.48430042155801079</v>
      </c>
      <c r="Z2469" t="str">
        <f>HYPERLINK("Melting_Curves/meltCurve_sp_Q9BZK7_TBL1R_HUMAN_.pdf", "Melting_Curves/meltCurve_sp_Q9BZK7_TBL1R_HUMAN_.pdf")</f>
        <v>Melting_Curves/meltCurve_sp_Q9BZK7_TBL1R_HUMAN_.pdf</v>
      </c>
      <c r="AA2469" t="s">
        <v>13320</v>
      </c>
      <c r="AB2469" t="s">
        <v>16894</v>
      </c>
    </row>
    <row r="2470" spans="1:28" x14ac:dyDescent="0.25">
      <c r="A2470" t="s">
        <v>2474</v>
      </c>
      <c r="B2470">
        <v>0.98018197421672304</v>
      </c>
      <c r="C2470">
        <v>1.0396827567317</v>
      </c>
      <c r="D2470">
        <v>0.96928124110351999</v>
      </c>
      <c r="E2470">
        <v>0.82138906960957803</v>
      </c>
      <c r="F2470">
        <v>0.727542265839484</v>
      </c>
      <c r="G2470">
        <v>0.44337632681215999</v>
      </c>
      <c r="H2470">
        <v>0.15466292886102401</v>
      </c>
      <c r="I2470">
        <v>9.0187430323627998E-2</v>
      </c>
      <c r="J2470">
        <v>9.6079880135400905E-2</v>
      </c>
      <c r="K2470">
        <v>6.9069609729429896E-2</v>
      </c>
      <c r="L2470">
        <v>952.46903154025404</v>
      </c>
      <c r="M2470">
        <v>17.1346749351978</v>
      </c>
      <c r="N2470">
        <v>55.742691270121298</v>
      </c>
      <c r="O2470">
        <v>54.846658892804697</v>
      </c>
      <c r="P2470">
        <v>-7.6284893092564504E-2</v>
      </c>
      <c r="Q2470">
        <v>2.3332334530025301E-2</v>
      </c>
      <c r="R2470">
        <v>0.99316854338391702</v>
      </c>
      <c r="S2470" t="s">
        <v>6099</v>
      </c>
      <c r="T2470" t="s">
        <v>7256</v>
      </c>
      <c r="U2470" t="s">
        <v>7256</v>
      </c>
      <c r="V2470" t="s">
        <v>7256</v>
      </c>
      <c r="W2470">
        <v>3</v>
      </c>
      <c r="X2470" t="s">
        <v>9726</v>
      </c>
      <c r="Y2470">
        <v>0.54640614316359071</v>
      </c>
      <c r="Z2470" t="str">
        <f>HYPERLINK("Melting_Curves/meltCurve_sp_Q9BZL1_UBL5_HUMAN_.pdf", "Melting_Curves/meltCurve_sp_Q9BZL1_UBL5_HUMAN_.pdf")</f>
        <v>Melting_Curves/meltCurve_sp_Q9BZL1_UBL5_HUMAN_.pdf</v>
      </c>
      <c r="AA2470" t="s">
        <v>13321</v>
      </c>
      <c r="AB2470" t="s">
        <v>16895</v>
      </c>
    </row>
    <row r="2471" spans="1:28" x14ac:dyDescent="0.25">
      <c r="A2471" t="s">
        <v>2475</v>
      </c>
      <c r="B2471">
        <v>0.98018197421672304</v>
      </c>
      <c r="C2471">
        <v>0.92301013411274002</v>
      </c>
      <c r="D2471">
        <v>0.85565336064497199</v>
      </c>
      <c r="E2471">
        <v>0.69961316470577894</v>
      </c>
      <c r="F2471">
        <v>0.59142462355084602</v>
      </c>
      <c r="G2471">
        <v>0.44248880842949601</v>
      </c>
      <c r="H2471">
        <v>0.39978184257939903</v>
      </c>
      <c r="I2471">
        <v>0.39440163918295601</v>
      </c>
      <c r="J2471">
        <v>0.50534370046153598</v>
      </c>
      <c r="K2471">
        <v>0.48674348932682299</v>
      </c>
      <c r="L2471">
        <v>804.68533483725605</v>
      </c>
      <c r="M2471">
        <v>16.3531433140224</v>
      </c>
      <c r="N2471">
        <v>56.034958975355003</v>
      </c>
      <c r="O2471">
        <v>48.488597049158699</v>
      </c>
      <c r="P2471">
        <v>-4.7907614922236198E-2</v>
      </c>
      <c r="Q2471">
        <v>0.43183868697236699</v>
      </c>
      <c r="R2471">
        <v>0.963014643078554</v>
      </c>
      <c r="S2471" t="s">
        <v>6100</v>
      </c>
      <c r="T2471" t="s">
        <v>7256</v>
      </c>
      <c r="U2471" t="s">
        <v>7256</v>
      </c>
      <c r="V2471" t="s">
        <v>7256</v>
      </c>
      <c r="W2471">
        <v>12</v>
      </c>
      <c r="X2471" t="s">
        <v>9727</v>
      </c>
      <c r="Y2471">
        <v>0.61802315743203839</v>
      </c>
      <c r="Z2471" t="str">
        <f>HYPERLINK("Melting_Curves/meltCurve_sp_Q9BZL4_PP12C_HUMAN_.pdf", "Melting_Curves/meltCurve_sp_Q9BZL4_PP12C_HUMAN_.pdf")</f>
        <v>Melting_Curves/meltCurve_sp_Q9BZL4_PP12C_HUMAN_.pdf</v>
      </c>
      <c r="AA2471" t="s">
        <v>13322</v>
      </c>
      <c r="AB2471" t="s">
        <v>16896</v>
      </c>
    </row>
    <row r="2472" spans="1:28" x14ac:dyDescent="0.25">
      <c r="A2472" t="s">
        <v>2476</v>
      </c>
      <c r="B2472">
        <v>0.98018197421672304</v>
      </c>
      <c r="C2472">
        <v>0.91597260361338495</v>
      </c>
      <c r="D2472">
        <v>0.93514350713178795</v>
      </c>
      <c r="E2472">
        <v>0.82438917097276998</v>
      </c>
      <c r="F2472">
        <v>0.646054500002614</v>
      </c>
      <c r="G2472">
        <v>0.262112831171115</v>
      </c>
      <c r="H2472">
        <v>9.5009106541567898E-2</v>
      </c>
      <c r="I2472">
        <v>5.5191517396688601E-2</v>
      </c>
      <c r="J2472">
        <v>6.8265394547063304E-2</v>
      </c>
      <c r="K2472">
        <v>5.84674115628405E-2</v>
      </c>
      <c r="L2472">
        <v>1112.7960476483199</v>
      </c>
      <c r="M2472">
        <v>20.604799057834299</v>
      </c>
      <c r="N2472">
        <v>54.184286849999701</v>
      </c>
      <c r="O2472">
        <v>53.505665076189402</v>
      </c>
      <c r="P2472">
        <v>-9.3132244878742595E-2</v>
      </c>
      <c r="Q2472">
        <v>3.2660597138482801E-2</v>
      </c>
      <c r="R2472">
        <v>0.99248481396639998</v>
      </c>
      <c r="S2472" t="s">
        <v>6101</v>
      </c>
      <c r="T2472" t="s">
        <v>7256</v>
      </c>
      <c r="U2472" t="s">
        <v>7256</v>
      </c>
      <c r="V2472" t="s">
        <v>7256</v>
      </c>
      <c r="W2472">
        <v>12</v>
      </c>
      <c r="X2472" t="s">
        <v>9728</v>
      </c>
      <c r="Y2472">
        <v>0.49682429410000212</v>
      </c>
      <c r="Z2472" t="str">
        <f>HYPERLINK("Melting_Curves/meltCurve_sp_Q9BZZ5_2_API5_HUMAN_.pdf", "Melting_Curves/meltCurve_sp_Q9BZZ5_2_API5_HUMAN_.pdf")</f>
        <v>Melting_Curves/meltCurve_sp_Q9BZZ5_2_API5_HUMAN_.pdf</v>
      </c>
      <c r="AA2472" t="s">
        <v>13323</v>
      </c>
      <c r="AB2472" t="s">
        <v>16897</v>
      </c>
    </row>
    <row r="2473" spans="1:28" x14ac:dyDescent="0.25">
      <c r="A2473" t="s">
        <v>2477</v>
      </c>
      <c r="B2473">
        <v>0.98018197421672304</v>
      </c>
      <c r="C2473">
        <v>0.94877493987752004</v>
      </c>
      <c r="D2473">
        <v>0.93943550194333802</v>
      </c>
      <c r="E2473">
        <v>0.79974862399556801</v>
      </c>
      <c r="F2473">
        <v>0.67552842418270098</v>
      </c>
      <c r="G2473">
        <v>0.50647188301784996</v>
      </c>
      <c r="H2473">
        <v>0.45049333275347297</v>
      </c>
      <c r="I2473">
        <v>0.48536053496904202</v>
      </c>
      <c r="J2473">
        <v>0.56197553428251501</v>
      </c>
      <c r="K2473">
        <v>0.63165893554525698</v>
      </c>
      <c r="L2473">
        <v>1219.1873597138001</v>
      </c>
      <c r="M2473">
        <v>24.0820882105123</v>
      </c>
      <c r="O2473">
        <v>50.281096621418399</v>
      </c>
      <c r="P2473">
        <v>-5.7021418118546101E-2</v>
      </c>
      <c r="Q2473">
        <v>0.52378636182182903</v>
      </c>
      <c r="R2473">
        <v>0.92786452059631497</v>
      </c>
      <c r="S2473" t="s">
        <v>6102</v>
      </c>
      <c r="T2473" t="s">
        <v>7256</v>
      </c>
      <c r="U2473" t="s">
        <v>7256</v>
      </c>
      <c r="V2473" t="s">
        <v>7256</v>
      </c>
      <c r="W2473">
        <v>3</v>
      </c>
      <c r="X2473" t="s">
        <v>9729</v>
      </c>
      <c r="Y2473">
        <v>0.69707997409453326</v>
      </c>
      <c r="Z2473" t="str">
        <f>HYPERLINK("Melting_Curves/meltCurve_sp_Q9C005_DPY30_HUMAN_.pdf", "Melting_Curves/meltCurve_sp_Q9C005_DPY30_HUMAN_.pdf")</f>
        <v>Melting_Curves/meltCurve_sp_Q9C005_DPY30_HUMAN_.pdf</v>
      </c>
      <c r="AA2473" t="s">
        <v>13324</v>
      </c>
      <c r="AB2473" t="s">
        <v>16898</v>
      </c>
    </row>
    <row r="2474" spans="1:28" x14ac:dyDescent="0.25">
      <c r="A2474" t="s">
        <v>2478</v>
      </c>
      <c r="B2474">
        <v>0.98018197421672304</v>
      </c>
      <c r="C2474">
        <v>0.86967202664745602</v>
      </c>
      <c r="D2474">
        <v>0.79598280432038604</v>
      </c>
      <c r="E2474">
        <v>0.68857034440708798</v>
      </c>
      <c r="F2474">
        <v>0.49794012782597902</v>
      </c>
      <c r="G2474">
        <v>0.324573434875014</v>
      </c>
      <c r="H2474">
        <v>0.29275390589858502</v>
      </c>
      <c r="I2474">
        <v>0.43868185277065103</v>
      </c>
      <c r="J2474">
        <v>0.41899593649967898</v>
      </c>
      <c r="K2474">
        <v>0.30663441133438502</v>
      </c>
      <c r="L2474">
        <v>693.41053590747799</v>
      </c>
      <c r="M2474">
        <v>14.162317458650101</v>
      </c>
      <c r="N2474">
        <v>53.030424374205197</v>
      </c>
      <c r="O2474">
        <v>48.016458413598102</v>
      </c>
      <c r="P2474">
        <v>-4.9312521192023902E-2</v>
      </c>
      <c r="Q2474">
        <v>0.33132019275296498</v>
      </c>
      <c r="R2474">
        <v>0.93906218890687698</v>
      </c>
      <c r="S2474" t="s">
        <v>6103</v>
      </c>
      <c r="T2474" t="s">
        <v>7256</v>
      </c>
      <c r="U2474" t="s">
        <v>7256</v>
      </c>
      <c r="V2474" t="s">
        <v>7256</v>
      </c>
      <c r="W2474">
        <v>1</v>
      </c>
      <c r="X2474" t="s">
        <v>9730</v>
      </c>
      <c r="Y2474">
        <v>0.54946287697171736</v>
      </c>
      <c r="Z2474" t="str">
        <f>HYPERLINK("Melting_Curves/meltCurve_sp_Q9C040_TRIM2_HUMAN_.pdf", "Melting_Curves/meltCurve_sp_Q9C040_TRIM2_HUMAN_.pdf")</f>
        <v>Melting_Curves/meltCurve_sp_Q9C040_TRIM2_HUMAN_.pdf</v>
      </c>
      <c r="AA2474" t="s">
        <v>13325</v>
      </c>
      <c r="AB2474" t="s">
        <v>16899</v>
      </c>
    </row>
    <row r="2475" spans="1:28" x14ac:dyDescent="0.25">
      <c r="A2475" t="s">
        <v>2479</v>
      </c>
      <c r="B2475">
        <v>0.98018197421672304</v>
      </c>
      <c r="C2475">
        <v>0.90129386513421195</v>
      </c>
      <c r="D2475">
        <v>0.89105789553361503</v>
      </c>
      <c r="E2475">
        <v>0.76583896134085805</v>
      </c>
      <c r="F2475">
        <v>0.563387890905371</v>
      </c>
      <c r="G2475">
        <v>0.41238200859753599</v>
      </c>
      <c r="H2475">
        <v>0.36430279362795598</v>
      </c>
      <c r="I2475">
        <v>0.376247593316625</v>
      </c>
      <c r="J2475">
        <v>0.431055203491575</v>
      </c>
      <c r="K2475">
        <v>0.49135504669032398</v>
      </c>
      <c r="L2475">
        <v>989.17336548303297</v>
      </c>
      <c r="M2475">
        <v>19.648594767736299</v>
      </c>
      <c r="N2475">
        <v>54.870455917800399</v>
      </c>
      <c r="O2475">
        <v>49.830442668748503</v>
      </c>
      <c r="P2475">
        <v>-5.9033477565185198E-2</v>
      </c>
      <c r="Q2475">
        <v>0.40116600337910202</v>
      </c>
      <c r="R2475">
        <v>0.95465719067632804</v>
      </c>
      <c r="S2475" t="s">
        <v>6104</v>
      </c>
      <c r="T2475" t="s">
        <v>7256</v>
      </c>
      <c r="U2475" t="s">
        <v>7256</v>
      </c>
      <c r="V2475" t="s">
        <v>7256</v>
      </c>
      <c r="W2475">
        <v>3</v>
      </c>
      <c r="X2475" t="s">
        <v>9731</v>
      </c>
      <c r="Y2475">
        <v>0.61624332154256201</v>
      </c>
      <c r="Z2475" t="str">
        <f>HYPERLINK("Melting_Curves/meltCurve_sp_Q9C0B0_UNK_HUMAN_.pdf", "Melting_Curves/meltCurve_sp_Q9C0B0_UNK_HUMAN_.pdf")</f>
        <v>Melting_Curves/meltCurve_sp_Q9C0B0_UNK_HUMAN_.pdf</v>
      </c>
      <c r="AA2475" t="s">
        <v>13326</v>
      </c>
      <c r="AB2475" t="s">
        <v>16900</v>
      </c>
    </row>
    <row r="2476" spans="1:28" x14ac:dyDescent="0.25">
      <c r="A2476" t="s">
        <v>2480</v>
      </c>
      <c r="B2476">
        <v>0.98018197421672304</v>
      </c>
      <c r="C2476">
        <v>0.88506161517918702</v>
      </c>
      <c r="D2476">
        <v>0.88192810192938598</v>
      </c>
      <c r="E2476">
        <v>0.64358817634033505</v>
      </c>
      <c r="F2476">
        <v>0.35123759565753598</v>
      </c>
      <c r="G2476">
        <v>0.21031212211709499</v>
      </c>
      <c r="H2476">
        <v>0.12691912674713299</v>
      </c>
      <c r="I2476">
        <v>9.4353142890643601E-2</v>
      </c>
      <c r="J2476">
        <v>9.90187774134864E-2</v>
      </c>
      <c r="K2476">
        <v>0.10334034880059199</v>
      </c>
      <c r="L2476">
        <v>873.50655995711202</v>
      </c>
      <c r="M2476">
        <v>17.179310581114699</v>
      </c>
      <c r="N2476">
        <v>51.3698584904852</v>
      </c>
      <c r="O2476">
        <v>50.1724807832585</v>
      </c>
      <c r="P2476">
        <v>-7.8732902400024105E-2</v>
      </c>
      <c r="Q2476">
        <v>8.0291623021795502E-2</v>
      </c>
      <c r="R2476">
        <v>0.992402631441203</v>
      </c>
      <c r="S2476" t="s">
        <v>6105</v>
      </c>
      <c r="T2476" t="s">
        <v>7256</v>
      </c>
      <c r="U2476" t="s">
        <v>7256</v>
      </c>
      <c r="V2476" t="s">
        <v>7256</v>
      </c>
      <c r="W2476">
        <v>4</v>
      </c>
      <c r="X2476" t="s">
        <v>9732</v>
      </c>
      <c r="Y2476">
        <v>0.42969588372534312</v>
      </c>
      <c r="Z2476" t="str">
        <f>HYPERLINK("Melting_Curves/meltCurve_sp_Q9C0B1_FTO_HUMAN_.pdf", "Melting_Curves/meltCurve_sp_Q9C0B1_FTO_HUMAN_.pdf")</f>
        <v>Melting_Curves/meltCurve_sp_Q9C0B1_FTO_HUMAN_.pdf</v>
      </c>
      <c r="AA2476" t="s">
        <v>13327</v>
      </c>
      <c r="AB2476" t="s">
        <v>16901</v>
      </c>
    </row>
    <row r="2477" spans="1:28" x14ac:dyDescent="0.25">
      <c r="A2477" t="s">
        <v>2481</v>
      </c>
      <c r="B2477">
        <v>0.98018197421672304</v>
      </c>
      <c r="C2477">
        <v>1.0540472555218501</v>
      </c>
      <c r="D2477">
        <v>0.95927285404336604</v>
      </c>
      <c r="E2477">
        <v>0.74022836419131599</v>
      </c>
      <c r="F2477">
        <v>0.62795843201370505</v>
      </c>
      <c r="G2477">
        <v>0.313711416524591</v>
      </c>
      <c r="H2477">
        <v>0.33540906590254999</v>
      </c>
      <c r="I2477">
        <v>0.321995944397372</v>
      </c>
      <c r="J2477">
        <v>0.40969557868897899</v>
      </c>
      <c r="K2477">
        <v>0.38564772424569999</v>
      </c>
      <c r="L2477">
        <v>1271.5999795530499</v>
      </c>
      <c r="M2477">
        <v>24.750561531501301</v>
      </c>
      <c r="N2477">
        <v>53.963022317376499</v>
      </c>
      <c r="O2477">
        <v>51.0447327446632</v>
      </c>
      <c r="P2477">
        <v>-7.9118674945272804E-2</v>
      </c>
      <c r="Q2477">
        <v>0.34732209936280101</v>
      </c>
      <c r="R2477">
        <v>0.969496167153717</v>
      </c>
      <c r="S2477" t="s">
        <v>6106</v>
      </c>
      <c r="T2477" t="s">
        <v>7256</v>
      </c>
      <c r="U2477" t="s">
        <v>7256</v>
      </c>
      <c r="V2477" t="s">
        <v>7256</v>
      </c>
      <c r="W2477">
        <v>2</v>
      </c>
      <c r="X2477" t="s">
        <v>9733</v>
      </c>
      <c r="Y2477">
        <v>0.6008680687329363</v>
      </c>
      <c r="Z2477" t="str">
        <f>HYPERLINK("Melting_Curves/meltCurve_sp_Q9C0B5_2_ZDHC5_HUMAN_.pdf", "Melting_Curves/meltCurve_sp_Q9C0B5_2_ZDHC5_HUMAN_.pdf")</f>
        <v>Melting_Curves/meltCurve_sp_Q9C0B5_2_ZDHC5_HUMAN_.pdf</v>
      </c>
      <c r="AA2477" t="s">
        <v>13328</v>
      </c>
      <c r="AB2477" t="s">
        <v>16902</v>
      </c>
    </row>
    <row r="2478" spans="1:28" x14ac:dyDescent="0.25">
      <c r="A2478" t="s">
        <v>2482</v>
      </c>
      <c r="B2478">
        <v>0.98018197421672304</v>
      </c>
      <c r="C2478">
        <v>1.0277002481531201</v>
      </c>
      <c r="D2478">
        <v>0.981149136495853</v>
      </c>
      <c r="E2478">
        <v>0.84312047193320805</v>
      </c>
      <c r="F2478">
        <v>0.67467787546724001</v>
      </c>
      <c r="G2478">
        <v>0.46285712226463899</v>
      </c>
      <c r="H2478">
        <v>0.47757197050268402</v>
      </c>
      <c r="I2478">
        <v>0.48668581137349198</v>
      </c>
      <c r="J2478">
        <v>0.63544424390412202</v>
      </c>
      <c r="K2478">
        <v>0.64946959255949999</v>
      </c>
      <c r="L2478">
        <v>1812.5256176657099</v>
      </c>
      <c r="M2478">
        <v>35.481314015536199</v>
      </c>
      <c r="O2478">
        <v>50.922495671450399</v>
      </c>
      <c r="P2478">
        <v>-7.9366928933915601E-2</v>
      </c>
      <c r="Q2478">
        <v>0.54437444174662397</v>
      </c>
      <c r="R2478">
        <v>0.91265354799186005</v>
      </c>
      <c r="S2478" t="s">
        <v>6107</v>
      </c>
      <c r="T2478" t="s">
        <v>7256</v>
      </c>
      <c r="U2478" t="s">
        <v>7256</v>
      </c>
      <c r="V2478" t="s">
        <v>7256</v>
      </c>
      <c r="W2478">
        <v>49</v>
      </c>
      <c r="X2478" t="s">
        <v>9734</v>
      </c>
      <c r="Y2478">
        <v>0.71476002678379724</v>
      </c>
      <c r="Z2478" t="str">
        <f>HYPERLINK("Melting_Curves/meltCurve_sp_Q9C0C2_TB182_HUMAN_.pdf", "Melting_Curves/meltCurve_sp_Q9C0C2_TB182_HUMAN_.pdf")</f>
        <v>Melting_Curves/meltCurve_sp_Q9C0C2_TB182_HUMAN_.pdf</v>
      </c>
      <c r="AA2478" t="s">
        <v>13329</v>
      </c>
      <c r="AB2478" t="s">
        <v>16903</v>
      </c>
    </row>
    <row r="2479" spans="1:28" x14ac:dyDescent="0.25">
      <c r="A2479" t="s">
        <v>2483</v>
      </c>
      <c r="B2479">
        <v>0.98018197421672304</v>
      </c>
      <c r="C2479">
        <v>0.92614509950260204</v>
      </c>
      <c r="D2479">
        <v>0.86252623622110902</v>
      </c>
      <c r="E2479">
        <v>0.69635640013473699</v>
      </c>
      <c r="F2479">
        <v>0.42095967033082499</v>
      </c>
      <c r="G2479">
        <v>0.21367546838177101</v>
      </c>
      <c r="H2479">
        <v>0.105908697390595</v>
      </c>
      <c r="I2479">
        <v>8.8185104445585E-2</v>
      </c>
      <c r="J2479">
        <v>0.108731291866782</v>
      </c>
      <c r="K2479">
        <v>8.1969892126042596E-2</v>
      </c>
      <c r="L2479">
        <v>857.02834103005796</v>
      </c>
      <c r="M2479">
        <v>16.598418882413299</v>
      </c>
      <c r="N2479">
        <v>52.0425575437609</v>
      </c>
      <c r="O2479">
        <v>50.901136028323897</v>
      </c>
      <c r="P2479">
        <v>-7.6538207227598395E-2</v>
      </c>
      <c r="Q2479">
        <v>6.1207639409194103E-2</v>
      </c>
      <c r="R2479">
        <v>0.995206963625199</v>
      </c>
      <c r="S2479" t="s">
        <v>6108</v>
      </c>
      <c r="T2479" t="s">
        <v>7256</v>
      </c>
      <c r="U2479" t="s">
        <v>7256</v>
      </c>
      <c r="V2479" t="s">
        <v>7256</v>
      </c>
      <c r="W2479">
        <v>4</v>
      </c>
      <c r="X2479" t="s">
        <v>9735</v>
      </c>
      <c r="Y2479">
        <v>0.44327284352863677</v>
      </c>
      <c r="Z2479" t="str">
        <f>HYPERLINK("Melting_Curves/meltCurve_sp_Q9C0C9_UBE2O_HUMAN_.pdf", "Melting_Curves/meltCurve_sp_Q9C0C9_UBE2O_HUMAN_.pdf")</f>
        <v>Melting_Curves/meltCurve_sp_Q9C0C9_UBE2O_HUMAN_.pdf</v>
      </c>
      <c r="AA2479" t="s">
        <v>13330</v>
      </c>
      <c r="AB2479" t="s">
        <v>16904</v>
      </c>
    </row>
    <row r="2480" spans="1:28" x14ac:dyDescent="0.25">
      <c r="A2480" t="s">
        <v>2484</v>
      </c>
      <c r="B2480">
        <v>0.98018197421672304</v>
      </c>
      <c r="C2480">
        <v>1.0259839801011299</v>
      </c>
      <c r="D2480">
        <v>1.0061535970086199</v>
      </c>
      <c r="E2480">
        <v>0.83584659044403897</v>
      </c>
      <c r="F2480">
        <v>0.66000312564607699</v>
      </c>
      <c r="G2480">
        <v>0.43469234288238301</v>
      </c>
      <c r="H2480">
        <v>0.32571483925733302</v>
      </c>
      <c r="I2480">
        <v>0.34234180369108103</v>
      </c>
      <c r="J2480">
        <v>0.39843630375105599</v>
      </c>
      <c r="K2480">
        <v>0.41359071509289203</v>
      </c>
      <c r="L2480">
        <v>1384.2654165569099</v>
      </c>
      <c r="M2480">
        <v>26.402975481466701</v>
      </c>
      <c r="N2480">
        <v>55.186851344319102</v>
      </c>
      <c r="O2480">
        <v>52.130404219386499</v>
      </c>
      <c r="P2480">
        <v>-8.0227699826249096E-2</v>
      </c>
      <c r="Q2480">
        <v>0.366396103355695</v>
      </c>
      <c r="R2480">
        <v>0.98735007847202105</v>
      </c>
      <c r="S2480" t="s">
        <v>6109</v>
      </c>
      <c r="T2480" t="s">
        <v>7256</v>
      </c>
      <c r="U2480" t="s">
        <v>7256</v>
      </c>
      <c r="V2480" t="s">
        <v>7256</v>
      </c>
      <c r="W2480">
        <v>4</v>
      </c>
      <c r="X2480" t="s">
        <v>9736</v>
      </c>
      <c r="Y2480">
        <v>0.63411502896606886</v>
      </c>
      <c r="Z2480" t="str">
        <f>HYPERLINK("Melting_Curves/meltCurve_sp_Q9C0H9_5_SRCN1_HUMAN_.pdf", "Melting_Curves/meltCurve_sp_Q9C0H9_5_SRCN1_HUMAN_.pdf")</f>
        <v>Melting_Curves/meltCurve_sp_Q9C0H9_5_SRCN1_HUMAN_.pdf</v>
      </c>
      <c r="AA2480" t="s">
        <v>13331</v>
      </c>
      <c r="AB2480" t="s">
        <v>16905</v>
      </c>
    </row>
    <row r="2481" spans="1:28" x14ac:dyDescent="0.25">
      <c r="A2481" t="s">
        <v>2485</v>
      </c>
      <c r="B2481">
        <v>0.98018197421672304</v>
      </c>
      <c r="C2481">
        <v>1.0880135514379199</v>
      </c>
      <c r="D2481">
        <v>0.92545568357636798</v>
      </c>
      <c r="E2481">
        <v>0.744449438886579</v>
      </c>
      <c r="F2481">
        <v>0.52448164613250903</v>
      </c>
      <c r="G2481">
        <v>0.34294197307363</v>
      </c>
      <c r="H2481">
        <v>0.24067865771698599</v>
      </c>
      <c r="I2481">
        <v>0.13953409352784299</v>
      </c>
      <c r="J2481">
        <v>0.16129569239380401</v>
      </c>
      <c r="K2481">
        <v>6.10231751917054E-2</v>
      </c>
      <c r="L2481">
        <v>815.92184531774296</v>
      </c>
      <c r="M2481">
        <v>15.349886288684401</v>
      </c>
      <c r="N2481">
        <v>53.857122384951701</v>
      </c>
      <c r="O2481">
        <v>52.277251999779999</v>
      </c>
      <c r="P2481">
        <v>-6.6755021133611606E-2</v>
      </c>
      <c r="Q2481">
        <v>9.0691115613786094E-2</v>
      </c>
      <c r="R2481">
        <v>0.98571186841547898</v>
      </c>
      <c r="S2481" t="s">
        <v>6110</v>
      </c>
      <c r="T2481" t="s">
        <v>7256</v>
      </c>
      <c r="U2481" t="s">
        <v>7256</v>
      </c>
      <c r="V2481" t="s">
        <v>7256</v>
      </c>
      <c r="W2481">
        <v>2</v>
      </c>
      <c r="X2481" t="s">
        <v>9737</v>
      </c>
      <c r="Y2481">
        <v>0.50824749477789621</v>
      </c>
      <c r="Z2481" t="str">
        <f>HYPERLINK("Melting_Curves/meltCurve_sp_Q9C0I1_MTMRC_HUMAN_.pdf", "Melting_Curves/meltCurve_sp_Q9C0I1_MTMRC_HUMAN_.pdf")</f>
        <v>Melting_Curves/meltCurve_sp_Q9C0I1_MTMRC_HUMAN_.pdf</v>
      </c>
      <c r="AA2481" t="s">
        <v>13332</v>
      </c>
      <c r="AB2481" t="s">
        <v>16906</v>
      </c>
    </row>
    <row r="2482" spans="1:28" x14ac:dyDescent="0.25">
      <c r="A2482" t="s">
        <v>2486</v>
      </c>
      <c r="B2482">
        <v>0.98018197421672304</v>
      </c>
      <c r="C2482">
        <v>1.1092085896075501</v>
      </c>
      <c r="D2482">
        <v>0.99549332368419097</v>
      </c>
      <c r="E2482">
        <v>0.80853285809114095</v>
      </c>
      <c r="F2482">
        <v>0.71613555580244803</v>
      </c>
      <c r="G2482">
        <v>0.53563370259022502</v>
      </c>
      <c r="H2482">
        <v>0.474307033943137</v>
      </c>
      <c r="I2482">
        <v>0.50249878082122001</v>
      </c>
      <c r="J2482">
        <v>0.47076971717191501</v>
      </c>
      <c r="K2482">
        <v>0.56759224368864802</v>
      </c>
      <c r="L2482">
        <v>1251.1767569280901</v>
      </c>
      <c r="M2482">
        <v>24.196042112587602</v>
      </c>
      <c r="O2482">
        <v>51.360645468580898</v>
      </c>
      <c r="P2482">
        <v>-5.8908493522630299E-2</v>
      </c>
      <c r="Q2482">
        <v>0.49983027515177902</v>
      </c>
      <c r="R2482">
        <v>0.95578720310291199</v>
      </c>
      <c r="S2482" t="s">
        <v>6111</v>
      </c>
      <c r="T2482" t="s">
        <v>7256</v>
      </c>
      <c r="U2482" t="s">
        <v>7256</v>
      </c>
      <c r="V2482" t="s">
        <v>7256</v>
      </c>
      <c r="W2482">
        <v>5</v>
      </c>
      <c r="X2482" t="s">
        <v>9738</v>
      </c>
      <c r="Y2482">
        <v>0.699912192705478</v>
      </c>
      <c r="Z2482" t="str">
        <f>HYPERLINK("Melting_Curves/meltCurve_sp_Q9C0J8_WDR33_HUMAN_.pdf", "Melting_Curves/meltCurve_sp_Q9C0J8_WDR33_HUMAN_.pdf")</f>
        <v>Melting_Curves/meltCurve_sp_Q9C0J8_WDR33_HUMAN_.pdf</v>
      </c>
      <c r="AA2482" t="s">
        <v>13333</v>
      </c>
      <c r="AB2482" t="s">
        <v>16907</v>
      </c>
    </row>
    <row r="2483" spans="1:28" x14ac:dyDescent="0.25">
      <c r="A2483" t="s">
        <v>2487</v>
      </c>
      <c r="B2483">
        <v>0.98018197421672304</v>
      </c>
      <c r="C2483">
        <v>0.79824927039225102</v>
      </c>
      <c r="D2483">
        <v>0.81671164858994005</v>
      </c>
      <c r="E2483">
        <v>0.67179451645486699</v>
      </c>
      <c r="F2483">
        <v>0.53214503330257801</v>
      </c>
      <c r="G2483">
        <v>0.363477479544288</v>
      </c>
      <c r="H2483">
        <v>0.22840195730496399</v>
      </c>
      <c r="I2483">
        <v>0.20352583411908101</v>
      </c>
      <c r="J2483">
        <v>0.16200418532063701</v>
      </c>
      <c r="K2483">
        <v>0.145136028129008</v>
      </c>
      <c r="L2483">
        <v>448.77180180188299</v>
      </c>
      <c r="M2483">
        <v>8.4067464753322199</v>
      </c>
      <c r="N2483">
        <v>53.469847990197202</v>
      </c>
      <c r="O2483">
        <v>50.618233268765799</v>
      </c>
      <c r="P2483">
        <v>-4.1275407558929E-2</v>
      </c>
      <c r="Q2483">
        <v>6.8320862092717399E-3</v>
      </c>
      <c r="R2483">
        <v>0.98550146349434797</v>
      </c>
      <c r="S2483" t="s">
        <v>6112</v>
      </c>
      <c r="T2483" t="s">
        <v>7256</v>
      </c>
      <c r="U2483" t="s">
        <v>7256</v>
      </c>
      <c r="V2483" t="s">
        <v>7256</v>
      </c>
      <c r="W2483">
        <v>3</v>
      </c>
      <c r="X2483" t="s">
        <v>9739</v>
      </c>
      <c r="Y2483">
        <v>0.48669980971374671</v>
      </c>
      <c r="Z2483" t="str">
        <f>HYPERLINK("Melting_Curves/meltCurve_sp_Q9GZP4_PITH1_HUMAN_.pdf", "Melting_Curves/meltCurve_sp_Q9GZP4_PITH1_HUMAN_.pdf")</f>
        <v>Melting_Curves/meltCurve_sp_Q9GZP4_PITH1_HUMAN_.pdf</v>
      </c>
      <c r="AA2483" t="s">
        <v>13334</v>
      </c>
      <c r="AB2483" t="s">
        <v>16908</v>
      </c>
    </row>
    <row r="2484" spans="1:28" x14ac:dyDescent="0.25">
      <c r="A2484" t="s">
        <v>2488</v>
      </c>
      <c r="B2484">
        <v>0.98018197421672304</v>
      </c>
      <c r="C2484">
        <v>0.98360095995034302</v>
      </c>
      <c r="D2484">
        <v>0.86934102854460504</v>
      </c>
      <c r="E2484">
        <v>0.67055959482747496</v>
      </c>
      <c r="F2484">
        <v>0.48542008387736102</v>
      </c>
      <c r="G2484">
        <v>0.19338502347926101</v>
      </c>
      <c r="H2484">
        <v>8.1733938795994193E-2</v>
      </c>
      <c r="I2484">
        <v>5.4602528279120002E-2</v>
      </c>
      <c r="J2484">
        <v>5.6596730200113E-2</v>
      </c>
      <c r="K2484">
        <v>3.09889785161385E-2</v>
      </c>
      <c r="L2484">
        <v>826.80889523645101</v>
      </c>
      <c r="M2484">
        <v>15.813839539105</v>
      </c>
      <c r="N2484">
        <v>52.329344757752096</v>
      </c>
      <c r="O2484">
        <v>51.469234223788497</v>
      </c>
      <c r="P2484">
        <v>-7.6294404660495002E-2</v>
      </c>
      <c r="Q2484">
        <v>6.8214102756891E-3</v>
      </c>
      <c r="R2484">
        <v>0.99743818257202599</v>
      </c>
      <c r="S2484" t="s">
        <v>6113</v>
      </c>
      <c r="T2484" t="s">
        <v>7256</v>
      </c>
      <c r="U2484" t="s">
        <v>7256</v>
      </c>
      <c r="V2484" t="s">
        <v>7256</v>
      </c>
      <c r="W2484">
        <v>4</v>
      </c>
      <c r="X2484" t="s">
        <v>9740</v>
      </c>
      <c r="Y2484">
        <v>0.43377577870508238</v>
      </c>
      <c r="Z2484" t="str">
        <f>HYPERLINK("Melting_Curves/meltCurve_sp_Q9GZQ3_COMD5_HUMAN_.pdf", "Melting_Curves/meltCurve_sp_Q9GZQ3_COMD5_HUMAN_.pdf")</f>
        <v>Melting_Curves/meltCurve_sp_Q9GZQ3_COMD5_HUMAN_.pdf</v>
      </c>
      <c r="AA2484" t="s">
        <v>13335</v>
      </c>
      <c r="AB2484" t="s">
        <v>16909</v>
      </c>
    </row>
    <row r="2485" spans="1:28" x14ac:dyDescent="0.25">
      <c r="A2485" t="s">
        <v>2489</v>
      </c>
      <c r="B2485">
        <v>0.98018197421672304</v>
      </c>
      <c r="C2485">
        <v>0.98304556790606401</v>
      </c>
      <c r="D2485">
        <v>0.92984720893471595</v>
      </c>
      <c r="E2485">
        <v>0.41410698210684399</v>
      </c>
      <c r="F2485">
        <v>0.16019166202993201</v>
      </c>
      <c r="G2485">
        <v>0.14598393775555599</v>
      </c>
      <c r="H2485">
        <v>0.16366460895916499</v>
      </c>
      <c r="I2485">
        <v>0.165935208722545</v>
      </c>
      <c r="J2485">
        <v>0.189748550047804</v>
      </c>
      <c r="K2485">
        <v>0.29459688048175497</v>
      </c>
      <c r="L2485">
        <v>2118.1325099648702</v>
      </c>
      <c r="M2485">
        <v>43.381390939036699</v>
      </c>
      <c r="N2485">
        <v>49.347208264209698</v>
      </c>
      <c r="O2485">
        <v>48.722422716954803</v>
      </c>
      <c r="P2485">
        <v>-0.18167414383236299</v>
      </c>
      <c r="Q2485">
        <v>0.18383522157879401</v>
      </c>
      <c r="R2485">
        <v>0.98521380423042004</v>
      </c>
      <c r="S2485" t="s">
        <v>6114</v>
      </c>
      <c r="T2485" t="s">
        <v>7256</v>
      </c>
      <c r="U2485" t="s">
        <v>7256</v>
      </c>
      <c r="V2485" t="s">
        <v>7256</v>
      </c>
      <c r="W2485">
        <v>8</v>
      </c>
      <c r="X2485" t="s">
        <v>9741</v>
      </c>
      <c r="Y2485">
        <v>0.42628700054534657</v>
      </c>
      <c r="Z2485" t="str">
        <f>HYPERLINK("Melting_Curves/meltCurve_sp_Q9GZT3_2_SLIRP_HUMAN_.pdf", "Melting_Curves/meltCurve_sp_Q9GZT3_2_SLIRP_HUMAN_.pdf")</f>
        <v>Melting_Curves/meltCurve_sp_Q9GZT3_2_SLIRP_HUMAN_.pdf</v>
      </c>
      <c r="AA2485" t="s">
        <v>13336</v>
      </c>
      <c r="AB2485" t="s">
        <v>16910</v>
      </c>
    </row>
    <row r="2486" spans="1:28" x14ac:dyDescent="0.25">
      <c r="A2486" t="s">
        <v>2490</v>
      </c>
      <c r="B2486">
        <v>0.98018197421672304</v>
      </c>
      <c r="C2486">
        <v>0.98519546902876998</v>
      </c>
      <c r="D2486">
        <v>0.83025607739987195</v>
      </c>
      <c r="E2486">
        <v>0.77120132340061598</v>
      </c>
      <c r="F2486">
        <v>0.69130661890711198</v>
      </c>
      <c r="G2486">
        <v>0.58538348472152002</v>
      </c>
      <c r="H2486">
        <v>0.45163625996644402</v>
      </c>
      <c r="I2486">
        <v>0.45919299517292</v>
      </c>
      <c r="J2486">
        <v>0.42267847527316099</v>
      </c>
      <c r="K2486">
        <v>0.33713398636341901</v>
      </c>
      <c r="L2486">
        <v>459.88202108699898</v>
      </c>
      <c r="M2486">
        <v>8.3836295009152604</v>
      </c>
      <c r="N2486">
        <v>60.210819696314999</v>
      </c>
      <c r="O2486">
        <v>52.000065620935302</v>
      </c>
      <c r="P2486">
        <v>-2.9741098595294401E-2</v>
      </c>
      <c r="Q2486">
        <v>0.26281451075793899</v>
      </c>
      <c r="R2486">
        <v>0.98320243178852995</v>
      </c>
      <c r="S2486" t="s">
        <v>6115</v>
      </c>
      <c r="T2486" t="s">
        <v>7256</v>
      </c>
      <c r="U2486" t="s">
        <v>7256</v>
      </c>
      <c r="V2486" t="s">
        <v>7256</v>
      </c>
      <c r="W2486">
        <v>3</v>
      </c>
      <c r="X2486" t="s">
        <v>9742</v>
      </c>
      <c r="Y2486">
        <v>0.64847819328164225</v>
      </c>
      <c r="Z2486" t="str">
        <f>HYPERLINK("Melting_Curves/meltCurve_sp_Q9GZT8_2_NIF3L_HUMAN_.pdf", "Melting_Curves/meltCurve_sp_Q9GZT8_2_NIF3L_HUMAN_.pdf")</f>
        <v>Melting_Curves/meltCurve_sp_Q9GZT8_2_NIF3L_HUMAN_.pdf</v>
      </c>
      <c r="AA2486" t="s">
        <v>13337</v>
      </c>
      <c r="AB2486" t="s">
        <v>16911</v>
      </c>
    </row>
    <row r="2487" spans="1:28" x14ac:dyDescent="0.25">
      <c r="A2487" t="s">
        <v>2491</v>
      </c>
      <c r="B2487">
        <v>0.98018197421672304</v>
      </c>
      <c r="C2487">
        <v>0.928555049849078</v>
      </c>
      <c r="D2487">
        <v>0.86273454649813397</v>
      </c>
      <c r="E2487">
        <v>0.60197333080611304</v>
      </c>
      <c r="F2487">
        <v>0.60207473373371101</v>
      </c>
      <c r="G2487">
        <v>0.47699233119435802</v>
      </c>
      <c r="H2487">
        <v>0.41716341601336299</v>
      </c>
      <c r="I2487">
        <v>0.37207151502004698</v>
      </c>
      <c r="J2487">
        <v>0.54598162472589196</v>
      </c>
      <c r="K2487">
        <v>0.48575465213546298</v>
      </c>
      <c r="L2487">
        <v>863.72391212051696</v>
      </c>
      <c r="M2487">
        <v>17.909284214569801</v>
      </c>
      <c r="N2487">
        <v>55.624919628654801</v>
      </c>
      <c r="O2487">
        <v>47.638476571132699</v>
      </c>
      <c r="P2487">
        <v>-5.1337352089976002E-2</v>
      </c>
      <c r="Q2487">
        <v>0.45380058219925701</v>
      </c>
      <c r="R2487">
        <v>0.94195493192606605</v>
      </c>
      <c r="S2487" t="s">
        <v>6116</v>
      </c>
      <c r="T2487" t="s">
        <v>7256</v>
      </c>
      <c r="U2487" t="s">
        <v>7256</v>
      </c>
      <c r="V2487" t="s">
        <v>7256</v>
      </c>
      <c r="W2487">
        <v>10</v>
      </c>
      <c r="X2487" t="s">
        <v>9743</v>
      </c>
      <c r="Y2487">
        <v>0.61332859260563954</v>
      </c>
      <c r="Z2487" t="str">
        <f>HYPERLINK("Melting_Curves/meltCurve_sp_Q9GZT9_2_EGLN1_HUMAN_.pdf", "Melting_Curves/meltCurve_sp_Q9GZT9_2_EGLN1_HUMAN_.pdf")</f>
        <v>Melting_Curves/meltCurve_sp_Q9GZT9_2_EGLN1_HUMAN_.pdf</v>
      </c>
      <c r="AA2487" t="s">
        <v>13338</v>
      </c>
      <c r="AB2487" t="s">
        <v>16912</v>
      </c>
    </row>
    <row r="2488" spans="1:28" x14ac:dyDescent="0.25">
      <c r="A2488" t="s">
        <v>2492</v>
      </c>
      <c r="B2488">
        <v>0.98018197421672304</v>
      </c>
      <c r="C2488">
        <v>0.81919421698027195</v>
      </c>
      <c r="D2488">
        <v>0.89799586740965798</v>
      </c>
      <c r="E2488">
        <v>0.72010043509130695</v>
      </c>
      <c r="F2488">
        <v>0.75374832921475698</v>
      </c>
      <c r="G2488">
        <v>0.64222087691274599</v>
      </c>
      <c r="H2488">
        <v>0.44627679848135499</v>
      </c>
      <c r="I2488">
        <v>0.466255792892386</v>
      </c>
      <c r="J2488">
        <v>0.661933240562112</v>
      </c>
      <c r="K2488">
        <v>0.41180947673357898</v>
      </c>
      <c r="L2488">
        <v>379.79941336932097</v>
      </c>
      <c r="M2488">
        <v>7.15254278392222</v>
      </c>
      <c r="N2488">
        <v>66.282584033478798</v>
      </c>
      <c r="O2488">
        <v>49.419135356282801</v>
      </c>
      <c r="P2488">
        <v>-2.24918811381353E-2</v>
      </c>
      <c r="Q2488">
        <v>0.37944940627020501</v>
      </c>
      <c r="R2488">
        <v>0.810741231673902</v>
      </c>
      <c r="S2488" t="s">
        <v>6117</v>
      </c>
      <c r="T2488" t="s">
        <v>7256</v>
      </c>
      <c r="U2488" t="s">
        <v>7256</v>
      </c>
      <c r="V2488" t="s">
        <v>7256</v>
      </c>
      <c r="W2488">
        <v>3</v>
      </c>
      <c r="X2488" t="s">
        <v>9744</v>
      </c>
      <c r="Y2488">
        <v>0.67700561089422007</v>
      </c>
      <c r="Z2488" t="str">
        <f>HYPERLINK("Melting_Curves/meltCurve_sp_Q9GZU8_F192A_HUMAN_.pdf", "Melting_Curves/meltCurve_sp_Q9GZU8_F192A_HUMAN_.pdf")</f>
        <v>Melting_Curves/meltCurve_sp_Q9GZU8_F192A_HUMAN_.pdf</v>
      </c>
      <c r="AA2488" t="s">
        <v>13339</v>
      </c>
      <c r="AB2488" t="s">
        <v>16913</v>
      </c>
    </row>
    <row r="2489" spans="1:28" x14ac:dyDescent="0.25">
      <c r="A2489" t="s">
        <v>2493</v>
      </c>
      <c r="B2489">
        <v>0.98018197421672304</v>
      </c>
      <c r="C2489">
        <v>0.95253244847334595</v>
      </c>
      <c r="D2489">
        <v>0.89220404239594198</v>
      </c>
      <c r="E2489">
        <v>0.52916355139794102</v>
      </c>
      <c r="F2489">
        <v>0.22420206498597001</v>
      </c>
      <c r="G2489">
        <v>0.153887786373232</v>
      </c>
      <c r="H2489">
        <v>0.105802303048472</v>
      </c>
      <c r="I2489">
        <v>8.3787107323283094E-2</v>
      </c>
      <c r="J2489">
        <v>5.4523935557084097E-2</v>
      </c>
      <c r="K2489">
        <v>5.4132823610817303E-2</v>
      </c>
      <c r="L2489">
        <v>1170.1688548070099</v>
      </c>
      <c r="M2489">
        <v>23.485003543074502</v>
      </c>
      <c r="N2489">
        <v>50.163085446480203</v>
      </c>
      <c r="O2489">
        <v>49.469168488058799</v>
      </c>
      <c r="P2489">
        <v>-0.110028600820694</v>
      </c>
      <c r="Q2489">
        <v>7.2952341209479493E-2</v>
      </c>
      <c r="R2489">
        <v>0.99669656399036399</v>
      </c>
      <c r="S2489" t="s">
        <v>6118</v>
      </c>
      <c r="T2489" t="s">
        <v>7256</v>
      </c>
      <c r="U2489" t="s">
        <v>7256</v>
      </c>
      <c r="V2489" t="s">
        <v>7256</v>
      </c>
      <c r="W2489">
        <v>2</v>
      </c>
      <c r="X2489" t="s">
        <v>9745</v>
      </c>
      <c r="Y2489">
        <v>0.38597955871667811</v>
      </c>
      <c r="Z2489" t="str">
        <f>HYPERLINK("Melting_Curves/meltCurve_sp_Q9GZZ9_UBA5_HUMAN_.pdf", "Melting_Curves/meltCurve_sp_Q9GZZ9_UBA5_HUMAN_.pdf")</f>
        <v>Melting_Curves/meltCurve_sp_Q9GZZ9_UBA5_HUMAN_.pdf</v>
      </c>
      <c r="AA2489" t="s">
        <v>13340</v>
      </c>
      <c r="AB2489" t="s">
        <v>16914</v>
      </c>
    </row>
    <row r="2490" spans="1:28" x14ac:dyDescent="0.25">
      <c r="A2490" t="s">
        <v>2494</v>
      </c>
      <c r="B2490">
        <v>0.98018197421672304</v>
      </c>
      <c r="C2490">
        <v>0.99567264326180704</v>
      </c>
      <c r="D2490">
        <v>0.97649006761255597</v>
      </c>
      <c r="E2490">
        <v>0.88427943369099504</v>
      </c>
      <c r="F2490">
        <v>0.82922094943319902</v>
      </c>
      <c r="G2490">
        <v>0.67406694859329297</v>
      </c>
      <c r="H2490">
        <v>0.25640328901868398</v>
      </c>
      <c r="I2490">
        <v>7.7931266819850201E-2</v>
      </c>
      <c r="J2490">
        <v>5.5392150450456E-2</v>
      </c>
      <c r="K2490">
        <v>4.2581364190130797E-2</v>
      </c>
      <c r="L2490">
        <v>1212.4528150785</v>
      </c>
      <c r="M2490">
        <v>20.855194760239598</v>
      </c>
      <c r="N2490">
        <v>58.136732778174597</v>
      </c>
      <c r="O2490">
        <v>57.610117157452102</v>
      </c>
      <c r="P2490">
        <v>-9.0503938432843906E-2</v>
      </c>
      <c r="Q2490">
        <v>0</v>
      </c>
      <c r="R2490">
        <v>0.98804482516006298</v>
      </c>
      <c r="S2490" t="s">
        <v>6119</v>
      </c>
      <c r="T2490" t="s">
        <v>7256</v>
      </c>
      <c r="U2490" t="s">
        <v>7256</v>
      </c>
      <c r="V2490" t="s">
        <v>7256</v>
      </c>
      <c r="W2490">
        <v>9</v>
      </c>
      <c r="X2490" t="s">
        <v>9746</v>
      </c>
      <c r="Y2490">
        <v>0.61529427077938004</v>
      </c>
      <c r="Z2490" t="str">
        <f>HYPERLINK("Melting_Curves/meltCurve_sp_Q9H008_LHPP_HUMAN_.pdf", "Melting_Curves/meltCurve_sp_Q9H008_LHPP_HUMAN_.pdf")</f>
        <v>Melting_Curves/meltCurve_sp_Q9H008_LHPP_HUMAN_.pdf</v>
      </c>
      <c r="AA2490" t="s">
        <v>13341</v>
      </c>
      <c r="AB2490" t="s">
        <v>16915</v>
      </c>
    </row>
    <row r="2491" spans="1:28" x14ac:dyDescent="0.25">
      <c r="A2491" t="s">
        <v>2495</v>
      </c>
      <c r="B2491">
        <v>0.98018197421672304</v>
      </c>
      <c r="C2491">
        <v>0.88978586065430498</v>
      </c>
      <c r="D2491">
        <v>0.89255186230393402</v>
      </c>
      <c r="E2491">
        <v>0.77780086559152595</v>
      </c>
      <c r="F2491">
        <v>0.60956439351982805</v>
      </c>
      <c r="G2491">
        <v>0.45551056528462802</v>
      </c>
      <c r="H2491">
        <v>0.31389179664772299</v>
      </c>
      <c r="I2491">
        <v>0.14333541398934099</v>
      </c>
      <c r="J2491">
        <v>5.4148239038999603E-2</v>
      </c>
      <c r="K2491">
        <v>3.7291863727029799E-2</v>
      </c>
      <c r="L2491">
        <v>637.13290003664895</v>
      </c>
      <c r="M2491">
        <v>11.5177939684538</v>
      </c>
      <c r="N2491">
        <v>55.317268372368702</v>
      </c>
      <c r="O2491">
        <v>53.728572679786701</v>
      </c>
      <c r="P2491">
        <v>-5.3607640755483098E-2</v>
      </c>
      <c r="Q2491">
        <v>0</v>
      </c>
      <c r="R2491">
        <v>0.98462282681731605</v>
      </c>
      <c r="S2491" t="s">
        <v>6120</v>
      </c>
      <c r="T2491" t="s">
        <v>7256</v>
      </c>
      <c r="U2491" t="s">
        <v>7256</v>
      </c>
      <c r="V2491" t="s">
        <v>7256</v>
      </c>
      <c r="W2491">
        <v>9</v>
      </c>
      <c r="X2491" t="s">
        <v>9747</v>
      </c>
      <c r="Y2491">
        <v>0.53363112211456554</v>
      </c>
      <c r="Z2491" t="str">
        <f>HYPERLINK("Melting_Curves/meltCurve_sp_Q9H074_PAIP1_HUMAN_.pdf", "Melting_Curves/meltCurve_sp_Q9H074_PAIP1_HUMAN_.pdf")</f>
        <v>Melting_Curves/meltCurve_sp_Q9H074_PAIP1_HUMAN_.pdf</v>
      </c>
      <c r="AA2491" t="s">
        <v>13342</v>
      </c>
      <c r="AB2491" t="s">
        <v>16916</v>
      </c>
    </row>
    <row r="2492" spans="1:28" x14ac:dyDescent="0.25">
      <c r="A2492" t="s">
        <v>2496</v>
      </c>
      <c r="B2492">
        <v>0.98018197421672304</v>
      </c>
      <c r="C2492">
        <v>0.95380383714047001</v>
      </c>
      <c r="D2492">
        <v>0.97168783655600399</v>
      </c>
      <c r="E2492">
        <v>0.83865730554821605</v>
      </c>
      <c r="F2492">
        <v>0.81970321777309796</v>
      </c>
      <c r="G2492">
        <v>0.67552332700594997</v>
      </c>
      <c r="H2492">
        <v>0.55891969068113101</v>
      </c>
      <c r="I2492">
        <v>0.60420875197896895</v>
      </c>
      <c r="J2492">
        <v>0.70966087615863604</v>
      </c>
      <c r="K2492">
        <v>0.94033265079289297</v>
      </c>
      <c r="L2492">
        <v>1218.01686630944</v>
      </c>
      <c r="M2492">
        <v>24.278148504649799</v>
      </c>
      <c r="O2492">
        <v>49.832604580409601</v>
      </c>
      <c r="P2492">
        <v>-3.6426660917719803E-2</v>
      </c>
      <c r="Q2492">
        <v>0.70093139219310396</v>
      </c>
      <c r="R2492">
        <v>0.58039928083425696</v>
      </c>
      <c r="S2492" t="s">
        <v>6121</v>
      </c>
      <c r="T2492" t="s">
        <v>7256</v>
      </c>
      <c r="U2492" t="s">
        <v>7256</v>
      </c>
      <c r="V2492" t="s">
        <v>7256</v>
      </c>
      <c r="W2492">
        <v>6</v>
      </c>
      <c r="X2492" t="s">
        <v>9748</v>
      </c>
      <c r="Y2492">
        <v>0.80514762624907232</v>
      </c>
      <c r="Z2492" t="str">
        <f>HYPERLINK("Melting_Curves/meltCurve_sp_Q9H098_F107B_HUMAN_.pdf", "Melting_Curves/meltCurve_sp_Q9H098_F107B_HUMAN_.pdf")</f>
        <v>Melting_Curves/meltCurve_sp_Q9H098_F107B_HUMAN_.pdf</v>
      </c>
      <c r="AA2492" t="s">
        <v>13343</v>
      </c>
      <c r="AB2492" t="s">
        <v>16917</v>
      </c>
    </row>
    <row r="2493" spans="1:28" x14ac:dyDescent="0.25">
      <c r="A2493" t="s">
        <v>2497</v>
      </c>
      <c r="B2493">
        <v>0.98018197421672304</v>
      </c>
      <c r="C2493">
        <v>0.96305670952631806</v>
      </c>
      <c r="D2493">
        <v>0.79072245816416498</v>
      </c>
      <c r="E2493">
        <v>0.62985318361398901</v>
      </c>
      <c r="F2493">
        <v>0.28701754309462602</v>
      </c>
      <c r="G2493">
        <v>0.15710538649269501</v>
      </c>
      <c r="H2493">
        <v>0.110799552261093</v>
      </c>
      <c r="I2493">
        <v>0.101037253713433</v>
      </c>
      <c r="J2493">
        <v>0.110357927986739</v>
      </c>
      <c r="K2493">
        <v>6.8572858660145203E-2</v>
      </c>
      <c r="L2493">
        <v>890.33566546966597</v>
      </c>
      <c r="M2493">
        <v>17.7277859131569</v>
      </c>
      <c r="N2493">
        <v>50.674099542410602</v>
      </c>
      <c r="O2493">
        <v>49.596631100048199</v>
      </c>
      <c r="P2493">
        <v>-8.2836149649085394E-2</v>
      </c>
      <c r="Q2493">
        <v>7.3053268960745599E-2</v>
      </c>
      <c r="R2493">
        <v>0.99032081937950101</v>
      </c>
      <c r="S2493" t="s">
        <v>6122</v>
      </c>
      <c r="T2493" t="s">
        <v>7256</v>
      </c>
      <c r="U2493" t="s">
        <v>7256</v>
      </c>
      <c r="V2493" t="s">
        <v>7256</v>
      </c>
      <c r="W2493">
        <v>4</v>
      </c>
      <c r="X2493" t="s">
        <v>9749</v>
      </c>
      <c r="Y2493">
        <v>0.40513315957131441</v>
      </c>
      <c r="Z2493" t="str">
        <f>HYPERLINK("Melting_Curves/meltCurve_sp_Q9H0C8_ILKAP_HUMAN_.pdf", "Melting_Curves/meltCurve_sp_Q9H0C8_ILKAP_HUMAN_.pdf")</f>
        <v>Melting_Curves/meltCurve_sp_Q9H0C8_ILKAP_HUMAN_.pdf</v>
      </c>
      <c r="AA2493" t="s">
        <v>13344</v>
      </c>
      <c r="AB2493" t="s">
        <v>16918</v>
      </c>
    </row>
    <row r="2494" spans="1:28" x14ac:dyDescent="0.25">
      <c r="A2494" t="s">
        <v>2498</v>
      </c>
      <c r="B2494">
        <v>0.98018197421672304</v>
      </c>
      <c r="C2494">
        <v>0.94929617498693097</v>
      </c>
      <c r="D2494">
        <v>0.86836401895552995</v>
      </c>
      <c r="E2494">
        <v>0.74680956368964002</v>
      </c>
      <c r="F2494">
        <v>0.62255499964051997</v>
      </c>
      <c r="G2494">
        <v>0.47086795431960199</v>
      </c>
      <c r="H2494">
        <v>0.35365405992654902</v>
      </c>
      <c r="I2494">
        <v>0.157635765235382</v>
      </c>
      <c r="J2494">
        <v>6.5283734970862206E-2</v>
      </c>
      <c r="K2494">
        <v>4.2209983246848E-2</v>
      </c>
      <c r="L2494">
        <v>604.67779253743902</v>
      </c>
      <c r="M2494">
        <v>10.8920093168155</v>
      </c>
      <c r="N2494">
        <v>55.515724870755399</v>
      </c>
      <c r="O2494">
        <v>53.7427376653715</v>
      </c>
      <c r="P2494">
        <v>-5.0685110475691797E-2</v>
      </c>
      <c r="Q2494">
        <v>0</v>
      </c>
      <c r="R2494">
        <v>0.98399755745698902</v>
      </c>
      <c r="S2494" t="s">
        <v>6123</v>
      </c>
      <c r="T2494" t="s">
        <v>7256</v>
      </c>
      <c r="U2494" t="s">
        <v>7256</v>
      </c>
      <c r="V2494" t="s">
        <v>7256</v>
      </c>
      <c r="W2494">
        <v>9</v>
      </c>
      <c r="X2494" t="s">
        <v>9750</v>
      </c>
      <c r="Y2494">
        <v>0.54010229275051591</v>
      </c>
      <c r="Z2494" t="str">
        <f>HYPERLINK("Melting_Curves/meltCurve_sp_Q9H0D6_XRN2_HUMAN_.pdf", "Melting_Curves/meltCurve_sp_Q9H0D6_XRN2_HUMAN_.pdf")</f>
        <v>Melting_Curves/meltCurve_sp_Q9H0D6_XRN2_HUMAN_.pdf</v>
      </c>
      <c r="AA2494" t="s">
        <v>13345</v>
      </c>
      <c r="AB2494" t="s">
        <v>16919</v>
      </c>
    </row>
    <row r="2495" spans="1:28" x14ac:dyDescent="0.25">
      <c r="A2495" t="s">
        <v>2499</v>
      </c>
      <c r="B2495">
        <v>0.98018197421672304</v>
      </c>
      <c r="C2495">
        <v>0.91810578179659996</v>
      </c>
      <c r="D2495">
        <v>0.87801186171870005</v>
      </c>
      <c r="E2495">
        <v>0.69742519217217702</v>
      </c>
      <c r="F2495">
        <v>0.45827936997487401</v>
      </c>
      <c r="G2495">
        <v>0.254435167090593</v>
      </c>
      <c r="H2495">
        <v>0.16561670828174399</v>
      </c>
      <c r="I2495">
        <v>0.163807026049649</v>
      </c>
      <c r="J2495">
        <v>0.20945029828289699</v>
      </c>
      <c r="K2495">
        <v>0.19542062347646699</v>
      </c>
      <c r="L2495">
        <v>921.33425361516197</v>
      </c>
      <c r="M2495">
        <v>18.0092902923057</v>
      </c>
      <c r="N2495">
        <v>52.2886783569786</v>
      </c>
      <c r="O2495">
        <v>50.5405437735051</v>
      </c>
      <c r="P2495">
        <v>-7.4728703389887796E-2</v>
      </c>
      <c r="Q2495">
        <v>0.16117855768451</v>
      </c>
      <c r="R2495">
        <v>0.99107837618914196</v>
      </c>
      <c r="S2495" t="s">
        <v>6124</v>
      </c>
      <c r="T2495" t="s">
        <v>7256</v>
      </c>
      <c r="U2495" t="s">
        <v>7256</v>
      </c>
      <c r="V2495" t="s">
        <v>7256</v>
      </c>
      <c r="W2495">
        <v>5</v>
      </c>
      <c r="X2495" t="s">
        <v>9751</v>
      </c>
      <c r="Y2495">
        <v>0.48728179616964218</v>
      </c>
      <c r="Z2495" t="str">
        <f>HYPERLINK("Melting_Curves/meltCurve_sp_Q9H0E2_TOLIP_HUMAN_.pdf", "Melting_Curves/meltCurve_sp_Q9H0E2_TOLIP_HUMAN_.pdf")</f>
        <v>Melting_Curves/meltCurve_sp_Q9H0E2_TOLIP_HUMAN_.pdf</v>
      </c>
      <c r="AA2495" t="s">
        <v>13346</v>
      </c>
      <c r="AB2495" t="s">
        <v>16920</v>
      </c>
    </row>
    <row r="2496" spans="1:28" x14ac:dyDescent="0.25">
      <c r="A2496" t="s">
        <v>2500</v>
      </c>
      <c r="B2496">
        <v>0.98018197421672304</v>
      </c>
      <c r="C2496">
        <v>1.22640466645575</v>
      </c>
      <c r="D2496">
        <v>1.08245575592598</v>
      </c>
      <c r="E2496">
        <v>0.85678318462098502</v>
      </c>
      <c r="F2496">
        <v>0.74911915820992303</v>
      </c>
      <c r="G2496">
        <v>0.59825208478762604</v>
      </c>
      <c r="H2496">
        <v>0.22793322885380701</v>
      </c>
      <c r="I2496">
        <v>0.179730680568258</v>
      </c>
      <c r="J2496">
        <v>0.17245531032178199</v>
      </c>
      <c r="K2496">
        <v>0.225229457046346</v>
      </c>
      <c r="L2496">
        <v>1075.9058575465201</v>
      </c>
      <c r="M2496">
        <v>19.190949430501799</v>
      </c>
      <c r="N2496">
        <v>57.089405265685102</v>
      </c>
      <c r="O2496">
        <v>55.465089287416802</v>
      </c>
      <c r="P2496">
        <v>-7.3884455547044203E-2</v>
      </c>
      <c r="Q2496">
        <v>0.14587844249797199</v>
      </c>
      <c r="R2496">
        <v>0.94211892307499401</v>
      </c>
      <c r="S2496" t="s">
        <v>6125</v>
      </c>
      <c r="T2496" t="s">
        <v>7256</v>
      </c>
      <c r="U2496" t="s">
        <v>7256</v>
      </c>
      <c r="V2496" t="s">
        <v>7256</v>
      </c>
      <c r="W2496">
        <v>1</v>
      </c>
      <c r="X2496" t="s">
        <v>9752</v>
      </c>
      <c r="Y2496">
        <v>0.61479544145371745</v>
      </c>
      <c r="Z2496" t="str">
        <f>HYPERLINK("Melting_Curves/meltCurve_sp_Q9H0F6_SHRPN_HUMAN_.pdf", "Melting_Curves/meltCurve_sp_Q9H0F6_SHRPN_HUMAN_.pdf")</f>
        <v>Melting_Curves/meltCurve_sp_Q9H0F6_SHRPN_HUMAN_.pdf</v>
      </c>
      <c r="AA2496" t="s">
        <v>13347</v>
      </c>
      <c r="AB2496" t="s">
        <v>16921</v>
      </c>
    </row>
    <row r="2497" spans="1:28" x14ac:dyDescent="0.25">
      <c r="A2497" t="s">
        <v>2501</v>
      </c>
      <c r="B2497">
        <v>0.98018197421672304</v>
      </c>
      <c r="C2497">
        <v>0.77221312773319595</v>
      </c>
      <c r="D2497">
        <v>0.73873952593977299</v>
      </c>
      <c r="E2497">
        <v>0.59161949993148999</v>
      </c>
      <c r="F2497">
        <v>0.65781445407869599</v>
      </c>
      <c r="G2497">
        <v>0.55179521083227501</v>
      </c>
      <c r="H2497">
        <v>0.47545204589254297</v>
      </c>
      <c r="I2497">
        <v>0.45329867139541102</v>
      </c>
      <c r="J2497">
        <v>0.58457783948505804</v>
      </c>
      <c r="K2497">
        <v>0.48581363470584699</v>
      </c>
      <c r="L2497">
        <v>528.23079944213202</v>
      </c>
      <c r="M2497">
        <v>11.618235484318401</v>
      </c>
      <c r="O2497">
        <v>44.181330420361199</v>
      </c>
      <c r="P2497">
        <v>-3.3098577356232298E-2</v>
      </c>
      <c r="Q2497">
        <v>0.49667396331767899</v>
      </c>
      <c r="R2497">
        <v>0.88509399128959299</v>
      </c>
      <c r="S2497" t="s">
        <v>6126</v>
      </c>
      <c r="T2497" t="s">
        <v>7256</v>
      </c>
      <c r="U2497" t="s">
        <v>7256</v>
      </c>
      <c r="V2497" t="s">
        <v>7256</v>
      </c>
      <c r="W2497">
        <v>4</v>
      </c>
      <c r="X2497" t="s">
        <v>9753</v>
      </c>
      <c r="Y2497">
        <v>0.61387930121634215</v>
      </c>
      <c r="Z2497" t="str">
        <f>HYPERLINK("Melting_Curves/meltCurve_sp_Q9H0G5_NSRP1_HUMAN_.pdf", "Melting_Curves/meltCurve_sp_Q9H0G5_NSRP1_HUMAN_.pdf")</f>
        <v>Melting_Curves/meltCurve_sp_Q9H0G5_NSRP1_HUMAN_.pdf</v>
      </c>
      <c r="AA2497" t="s">
        <v>13348</v>
      </c>
      <c r="AB2497" t="s">
        <v>16922</v>
      </c>
    </row>
    <row r="2498" spans="1:28" x14ac:dyDescent="0.25">
      <c r="A2498" t="s">
        <v>2502</v>
      </c>
      <c r="B2498">
        <v>0.98018197421672304</v>
      </c>
      <c r="C2498">
        <v>0.86601183977677998</v>
      </c>
      <c r="D2498">
        <v>0.85526067994538701</v>
      </c>
      <c r="E2498">
        <v>0.74599891954560205</v>
      </c>
      <c r="F2498">
        <v>0.62690972277532597</v>
      </c>
      <c r="G2498">
        <v>0.39478881778227498</v>
      </c>
      <c r="H2498">
        <v>0.34387049914620199</v>
      </c>
      <c r="I2498">
        <v>0.366602550812543</v>
      </c>
      <c r="J2498">
        <v>0.404859826759495</v>
      </c>
      <c r="K2498">
        <v>0.33111349918727201</v>
      </c>
      <c r="L2498">
        <v>621.495009741947</v>
      </c>
      <c r="M2498">
        <v>12.133723458711</v>
      </c>
      <c r="N2498">
        <v>55.567597509481701</v>
      </c>
      <c r="O2498">
        <v>49.8887669505419</v>
      </c>
      <c r="P2498">
        <v>-4.2178326946231297E-2</v>
      </c>
      <c r="Q2498">
        <v>0.30648201181379697</v>
      </c>
      <c r="R2498">
        <v>0.96529499101689997</v>
      </c>
      <c r="S2498" t="s">
        <v>6127</v>
      </c>
      <c r="T2498" t="s">
        <v>7256</v>
      </c>
      <c r="U2498" t="s">
        <v>7256</v>
      </c>
      <c r="V2498" t="s">
        <v>7256</v>
      </c>
      <c r="W2498">
        <v>6</v>
      </c>
      <c r="X2498" t="s">
        <v>9754</v>
      </c>
      <c r="Y2498">
        <v>0.5878383682921352</v>
      </c>
      <c r="Z2498" t="str">
        <f>HYPERLINK("Melting_Curves/meltCurve_sp_Q9H0L4_CSTFT_HUMAN_.pdf", "Melting_Curves/meltCurve_sp_Q9H0L4_CSTFT_HUMAN_.pdf")</f>
        <v>Melting_Curves/meltCurve_sp_Q9H0L4_CSTFT_HUMAN_.pdf</v>
      </c>
      <c r="AA2498" t="s">
        <v>13349</v>
      </c>
      <c r="AB2498" t="s">
        <v>16923</v>
      </c>
    </row>
    <row r="2499" spans="1:28" x14ac:dyDescent="0.25">
      <c r="A2499" t="s">
        <v>2503</v>
      </c>
      <c r="B2499">
        <v>0.98018197421672304</v>
      </c>
      <c r="C2499">
        <v>1.0391987656056201</v>
      </c>
      <c r="D2499">
        <v>0.92704806141324403</v>
      </c>
      <c r="E2499">
        <v>0.43882908502689399</v>
      </c>
      <c r="F2499">
        <v>0.181191361462053</v>
      </c>
      <c r="G2499">
        <v>0.100463225707006</v>
      </c>
      <c r="H2499">
        <v>6.4929377806331498E-2</v>
      </c>
      <c r="I2499">
        <v>5.9926424512857603E-2</v>
      </c>
      <c r="J2499">
        <v>5.1975722986578703E-2</v>
      </c>
      <c r="K2499">
        <v>4.7416694928319701E-2</v>
      </c>
      <c r="L2499">
        <v>1544.1795963309701</v>
      </c>
      <c r="M2499">
        <v>31.229142013414901</v>
      </c>
      <c r="N2499">
        <v>49.6600695889599</v>
      </c>
      <c r="O2499">
        <v>49.245321382769603</v>
      </c>
      <c r="P2499">
        <v>-0.14858841916609</v>
      </c>
      <c r="Q2499">
        <v>6.2767225587343906E-2</v>
      </c>
      <c r="R2499">
        <v>0.99756664639304304</v>
      </c>
      <c r="S2499" t="s">
        <v>6128</v>
      </c>
      <c r="T2499" t="s">
        <v>7256</v>
      </c>
      <c r="U2499" t="s">
        <v>7256</v>
      </c>
      <c r="V2499" t="s">
        <v>7256</v>
      </c>
      <c r="W2499">
        <v>1</v>
      </c>
      <c r="X2499" t="s">
        <v>9755</v>
      </c>
      <c r="Y2499">
        <v>0.36318927151630398</v>
      </c>
      <c r="Z2499" t="str">
        <f>HYPERLINK("Melting_Curves/meltCurve_sp_Q9H0P0_1_5NT3A_HUMAN_.pdf", "Melting_Curves/meltCurve_sp_Q9H0P0_1_5NT3A_HUMAN_.pdf")</f>
        <v>Melting_Curves/meltCurve_sp_Q9H0P0_1_5NT3A_HUMAN_.pdf</v>
      </c>
      <c r="AA2499" t="s">
        <v>13350</v>
      </c>
      <c r="AB2499" t="s">
        <v>16924</v>
      </c>
    </row>
    <row r="2500" spans="1:28" x14ac:dyDescent="0.25">
      <c r="A2500" t="s">
        <v>2504</v>
      </c>
      <c r="B2500">
        <v>0.98018197421672304</v>
      </c>
      <c r="C2500">
        <v>0.73504354278458595</v>
      </c>
      <c r="D2500">
        <v>0.45194106275831403</v>
      </c>
      <c r="E2500">
        <v>0.20139152676173899</v>
      </c>
      <c r="F2500">
        <v>8.3300570262222706E-2</v>
      </c>
      <c r="G2500">
        <v>4.5888530739458699E-2</v>
      </c>
      <c r="H2500">
        <v>2.5666534256911101E-2</v>
      </c>
      <c r="I2500">
        <v>2.9040453789614399E-2</v>
      </c>
      <c r="J2500">
        <v>2.7944598938039401E-2</v>
      </c>
      <c r="K2500">
        <v>1.6719267969097E-2</v>
      </c>
      <c r="L2500">
        <v>843.69937443987499</v>
      </c>
      <c r="M2500">
        <v>18.5524910183773</v>
      </c>
      <c r="N2500">
        <v>45.5922084799112</v>
      </c>
      <c r="O2500">
        <v>44.957857341157798</v>
      </c>
      <c r="P2500">
        <v>-0.10079474180480601</v>
      </c>
      <c r="Q2500">
        <v>2.3027761845173599E-2</v>
      </c>
      <c r="R2500">
        <v>0.99628318507355096</v>
      </c>
      <c r="S2500" t="s">
        <v>6129</v>
      </c>
      <c r="T2500" t="s">
        <v>7256</v>
      </c>
      <c r="U2500" t="s">
        <v>7256</v>
      </c>
      <c r="V2500" t="s">
        <v>7256</v>
      </c>
      <c r="W2500">
        <v>3</v>
      </c>
      <c r="X2500" t="s">
        <v>9756</v>
      </c>
      <c r="Y2500">
        <v>0.2200956164207736</v>
      </c>
      <c r="Z2500" t="str">
        <f>HYPERLINK("Melting_Curves/meltCurve_sp_Q9H0R6_GATA_HUMAN_.pdf", "Melting_Curves/meltCurve_sp_Q9H0R6_GATA_HUMAN_.pdf")</f>
        <v>Melting_Curves/meltCurve_sp_Q9H0R6_GATA_HUMAN_.pdf</v>
      </c>
      <c r="AA2500" t="s">
        <v>13351</v>
      </c>
      <c r="AB2500" t="s">
        <v>16925</v>
      </c>
    </row>
    <row r="2501" spans="1:28" x14ac:dyDescent="0.25">
      <c r="A2501" t="s">
        <v>2505</v>
      </c>
      <c r="B2501">
        <v>0.98018197421672304</v>
      </c>
      <c r="C2501">
        <v>0.931695508829122</v>
      </c>
      <c r="D2501">
        <v>0.88549861786683004</v>
      </c>
      <c r="E2501">
        <v>0.64310283371124399</v>
      </c>
      <c r="F2501">
        <v>0.373622056016369</v>
      </c>
      <c r="G2501">
        <v>0.15335108279606199</v>
      </c>
      <c r="H2501">
        <v>6.9063243394139801E-2</v>
      </c>
      <c r="I2501">
        <v>4.8051030301944901E-2</v>
      </c>
      <c r="J2501">
        <v>4.4945556527179402E-2</v>
      </c>
      <c r="K2501">
        <v>2.7269731750236101E-2</v>
      </c>
      <c r="L2501">
        <v>906.43583927604595</v>
      </c>
      <c r="M2501">
        <v>17.6457100181775</v>
      </c>
      <c r="N2501">
        <v>51.474542281834303</v>
      </c>
      <c r="O2501">
        <v>50.722510872762101</v>
      </c>
      <c r="P2501">
        <v>-8.5425726827145596E-2</v>
      </c>
      <c r="Q2501">
        <v>1.7829002279304999E-2</v>
      </c>
      <c r="R2501">
        <v>0.99841143721298098</v>
      </c>
      <c r="S2501" t="s">
        <v>6130</v>
      </c>
      <c r="T2501" t="s">
        <v>7256</v>
      </c>
      <c r="U2501" t="s">
        <v>7256</v>
      </c>
      <c r="V2501" t="s">
        <v>7256</v>
      </c>
      <c r="W2501">
        <v>12</v>
      </c>
      <c r="X2501" t="s">
        <v>9757</v>
      </c>
      <c r="Y2501">
        <v>0.40709050779768591</v>
      </c>
      <c r="Z2501" t="str">
        <f>HYPERLINK("Melting_Curves/meltCurve_sp_Q9H0U4_RAB1B_HUMAN_.pdf", "Melting_Curves/meltCurve_sp_Q9H0U4_RAB1B_HUMAN_.pdf")</f>
        <v>Melting_Curves/meltCurve_sp_Q9H0U4_RAB1B_HUMAN_.pdf</v>
      </c>
      <c r="AA2501" t="s">
        <v>13352</v>
      </c>
      <c r="AB2501" t="s">
        <v>16926</v>
      </c>
    </row>
    <row r="2502" spans="1:28" x14ac:dyDescent="0.25">
      <c r="A2502" t="s">
        <v>2506</v>
      </c>
      <c r="B2502">
        <v>0.98018197421672304</v>
      </c>
      <c r="C2502">
        <v>1.07239267370058</v>
      </c>
      <c r="D2502">
        <v>1.02524707439685</v>
      </c>
      <c r="E2502">
        <v>0.86035152007809401</v>
      </c>
      <c r="F2502">
        <v>0.888765065265121</v>
      </c>
      <c r="G2502">
        <v>0.56811848839155599</v>
      </c>
      <c r="H2502">
        <v>0.20288962805740099</v>
      </c>
      <c r="I2502">
        <v>0.120622764379844</v>
      </c>
      <c r="J2502">
        <v>0.22500897237582601</v>
      </c>
      <c r="K2502">
        <v>7.2958321052798897E-2</v>
      </c>
      <c r="L2502">
        <v>1417.94865305288</v>
      </c>
      <c r="M2502">
        <v>24.939095850886901</v>
      </c>
      <c r="N2502">
        <v>57.403066317685401</v>
      </c>
      <c r="O2502">
        <v>56.494668820427599</v>
      </c>
      <c r="P2502">
        <v>-9.8697460318603894E-2</v>
      </c>
      <c r="Q2502">
        <v>0.10569257844225199</v>
      </c>
      <c r="R2502">
        <v>0.97707936542912499</v>
      </c>
      <c r="S2502" t="s">
        <v>6131</v>
      </c>
      <c r="T2502" t="s">
        <v>7256</v>
      </c>
      <c r="U2502" t="s">
        <v>7256</v>
      </c>
      <c r="V2502" t="s">
        <v>7256</v>
      </c>
      <c r="W2502">
        <v>19</v>
      </c>
      <c r="X2502" t="s">
        <v>9758</v>
      </c>
      <c r="Y2502">
        <v>0.61630361512336784</v>
      </c>
      <c r="Z2502" t="str">
        <f>HYPERLINK("Melting_Curves/meltCurve_sp_Q9H0W9_CK054_HUMAN_.pdf", "Melting_Curves/meltCurve_sp_Q9H0W9_CK054_HUMAN_.pdf")</f>
        <v>Melting_Curves/meltCurve_sp_Q9H0W9_CK054_HUMAN_.pdf</v>
      </c>
      <c r="AA2502" t="s">
        <v>13353</v>
      </c>
      <c r="AB2502" t="s">
        <v>16927</v>
      </c>
    </row>
    <row r="2503" spans="1:28" x14ac:dyDescent="0.25">
      <c r="A2503" t="s">
        <v>2507</v>
      </c>
      <c r="B2503">
        <v>0.98018197421672304</v>
      </c>
      <c r="C2503">
        <v>1.13336440596569</v>
      </c>
      <c r="D2503">
        <v>0.91470732343136096</v>
      </c>
      <c r="E2503">
        <v>0.94549070561242798</v>
      </c>
      <c r="F2503">
        <v>1.04723965655414</v>
      </c>
      <c r="G2503">
        <v>1.0533221246328299</v>
      </c>
      <c r="H2503">
        <v>0.90327706692578003</v>
      </c>
      <c r="I2503">
        <v>1.1558294045314099</v>
      </c>
      <c r="J2503">
        <v>1.4283298209831099</v>
      </c>
      <c r="K2503">
        <v>1.6912320620844501</v>
      </c>
      <c r="L2503">
        <v>4875.7902551446296</v>
      </c>
      <c r="M2503">
        <v>75.270038033953497</v>
      </c>
      <c r="O2503">
        <v>64.731645630983294</v>
      </c>
      <c r="P2503">
        <v>0.14535022497901101</v>
      </c>
      <c r="Q2503">
        <v>1.5</v>
      </c>
      <c r="R2503">
        <v>0.85589710835350297</v>
      </c>
      <c r="S2503" t="s">
        <v>6132</v>
      </c>
      <c r="T2503" t="s">
        <v>7256</v>
      </c>
      <c r="U2503" t="s">
        <v>7256</v>
      </c>
      <c r="V2503" t="s">
        <v>7256</v>
      </c>
      <c r="W2503">
        <v>8</v>
      </c>
      <c r="X2503" t="s">
        <v>9759</v>
      </c>
      <c r="Y2503">
        <v>1.086479137252754</v>
      </c>
      <c r="Z2503" t="str">
        <f>HYPERLINK("Melting_Curves/meltCurve_sp_Q9H1E3_NUCKS_HUMAN_.pdf", "Melting_Curves/meltCurve_sp_Q9H1E3_NUCKS_HUMAN_.pdf")</f>
        <v>Melting_Curves/meltCurve_sp_Q9H1E3_NUCKS_HUMAN_.pdf</v>
      </c>
      <c r="AA2503" t="s">
        <v>13354</v>
      </c>
      <c r="AB2503" t="s">
        <v>16928</v>
      </c>
    </row>
    <row r="2504" spans="1:28" x14ac:dyDescent="0.25">
      <c r="A2504" t="s">
        <v>2508</v>
      </c>
      <c r="B2504">
        <v>0.98018197421672304</v>
      </c>
      <c r="C2504">
        <v>1.0029465852553301</v>
      </c>
      <c r="D2504">
        <v>1.0455504461339</v>
      </c>
      <c r="E2504">
        <v>0.487989681410609</v>
      </c>
      <c r="F2504">
        <v>0.35691728579578502</v>
      </c>
      <c r="G2504">
        <v>0.225047779300906</v>
      </c>
      <c r="H2504">
        <v>0.35913364093667599</v>
      </c>
      <c r="I2504">
        <v>0.19563260655204801</v>
      </c>
      <c r="J2504">
        <v>0.21944285357916599</v>
      </c>
      <c r="K2504">
        <v>1.05758610607425</v>
      </c>
      <c r="L2504">
        <v>12410.6232177739</v>
      </c>
      <c r="M2504">
        <v>250</v>
      </c>
      <c r="N2504">
        <v>49.968798746224003</v>
      </c>
      <c r="O2504">
        <v>49.639314840376102</v>
      </c>
      <c r="P2504">
        <v>-0.75256202501612801</v>
      </c>
      <c r="Q2504">
        <v>0.402293373011472</v>
      </c>
      <c r="R2504">
        <v>0.57973067828632896</v>
      </c>
      <c r="S2504" t="s">
        <v>6133</v>
      </c>
      <c r="T2504" t="s">
        <v>7256</v>
      </c>
      <c r="U2504" t="s">
        <v>7256</v>
      </c>
      <c r="V2504" t="s">
        <v>7256</v>
      </c>
      <c r="W2504">
        <v>3</v>
      </c>
      <c r="X2504" t="s">
        <v>9760</v>
      </c>
      <c r="Y2504">
        <v>0.59445817594822559</v>
      </c>
      <c r="Z2504" t="str">
        <f>HYPERLINK("Melting_Curves/meltCurve_sp_Q9H1H9_3_KI13A_HUMAN_.pdf", "Melting_Curves/meltCurve_sp_Q9H1H9_3_KI13A_HUMAN_.pdf")</f>
        <v>Melting_Curves/meltCurve_sp_Q9H1H9_3_KI13A_HUMAN_.pdf</v>
      </c>
      <c r="AA2504" t="s">
        <v>13355</v>
      </c>
      <c r="AB2504" t="s">
        <v>16929</v>
      </c>
    </row>
    <row r="2505" spans="1:28" x14ac:dyDescent="0.25">
      <c r="A2505" t="s">
        <v>2509</v>
      </c>
      <c r="B2505">
        <v>0.98018197421672304</v>
      </c>
      <c r="C2505">
        <v>0.70269778940170402</v>
      </c>
      <c r="D2505">
        <v>0.93089077235071105</v>
      </c>
      <c r="E2505">
        <v>0.89649714133588199</v>
      </c>
      <c r="F2505">
        <v>0.83308707592079501</v>
      </c>
      <c r="G2505">
        <v>0.56912580170764604</v>
      </c>
      <c r="H2505">
        <v>0.43439005218266202</v>
      </c>
      <c r="I2505">
        <v>0.359245503837338</v>
      </c>
      <c r="J2505">
        <v>0.165390189295199</v>
      </c>
      <c r="K2505">
        <v>0.50383581740577899</v>
      </c>
      <c r="L2505">
        <v>985.15023375899295</v>
      </c>
      <c r="M2505">
        <v>17.772031233459298</v>
      </c>
      <c r="N2505">
        <v>58.683824594541001</v>
      </c>
      <c r="O2505">
        <v>54.745064060987502</v>
      </c>
      <c r="P2505">
        <v>-5.5741734013435199E-2</v>
      </c>
      <c r="Q2505">
        <v>0.313207057542505</v>
      </c>
      <c r="R2505">
        <v>0.77305801017273101</v>
      </c>
      <c r="S2505" t="s">
        <v>6134</v>
      </c>
      <c r="T2505" t="s">
        <v>7256</v>
      </c>
      <c r="U2505" t="s">
        <v>7256</v>
      </c>
      <c r="V2505" t="s">
        <v>7256</v>
      </c>
      <c r="W2505">
        <v>1</v>
      </c>
      <c r="X2505" t="s">
        <v>9761</v>
      </c>
      <c r="Y2505">
        <v>0.6771030661731039</v>
      </c>
      <c r="Z2505" t="str">
        <f>HYPERLINK("Melting_Curves/meltCurve_sp_Q9H1J1_2_REN3A_HUMAN_.pdf", "Melting_Curves/meltCurve_sp_Q9H1J1_2_REN3A_HUMAN_.pdf")</f>
        <v>Melting_Curves/meltCurve_sp_Q9H1J1_2_REN3A_HUMAN_.pdf</v>
      </c>
      <c r="AA2505" t="s">
        <v>13356</v>
      </c>
      <c r="AB2505" t="s">
        <v>16930</v>
      </c>
    </row>
    <row r="2506" spans="1:28" x14ac:dyDescent="0.25">
      <c r="A2506" t="s">
        <v>2510</v>
      </c>
      <c r="B2506">
        <v>0.98018197421672304</v>
      </c>
      <c r="C2506">
        <v>1.14777501591441</v>
      </c>
      <c r="D2506">
        <v>0.78812224671484998</v>
      </c>
      <c r="E2506">
        <v>0.69989522141749205</v>
      </c>
      <c r="F2506">
        <v>0.58230031541699501</v>
      </c>
      <c r="G2506">
        <v>0.34885368876596401</v>
      </c>
      <c r="H2506">
        <v>0.36026607416366602</v>
      </c>
      <c r="I2506">
        <v>0.397421338991509</v>
      </c>
      <c r="J2506">
        <v>0.58096541821828895</v>
      </c>
      <c r="K2506">
        <v>0.51689745149977595</v>
      </c>
      <c r="L2506">
        <v>1093.3598701250501</v>
      </c>
      <c r="M2506">
        <v>22.314947748133001</v>
      </c>
      <c r="N2506">
        <v>54.400000876379004</v>
      </c>
      <c r="O2506">
        <v>48.608356077910898</v>
      </c>
      <c r="P2506">
        <v>-6.3640737252940505E-2</v>
      </c>
      <c r="Q2506">
        <v>0.44550060151561199</v>
      </c>
      <c r="R2506">
        <v>0.85537310558313295</v>
      </c>
      <c r="S2506" t="s">
        <v>6135</v>
      </c>
      <c r="T2506" t="s">
        <v>7256</v>
      </c>
      <c r="U2506" t="s">
        <v>7256</v>
      </c>
      <c r="V2506" t="s">
        <v>7256</v>
      </c>
      <c r="W2506">
        <v>1</v>
      </c>
      <c r="X2506" t="s">
        <v>9762</v>
      </c>
      <c r="Y2506">
        <v>0.61799886021724204</v>
      </c>
      <c r="Z2506" t="str">
        <f>HYPERLINK("Melting_Curves/meltCurve_sp_Q9H1K0_RBNS5_HUMAN_.pdf", "Melting_Curves/meltCurve_sp_Q9H1K0_RBNS5_HUMAN_.pdf")</f>
        <v>Melting_Curves/meltCurve_sp_Q9H1K0_RBNS5_HUMAN_.pdf</v>
      </c>
      <c r="AA2506" t="s">
        <v>13357</v>
      </c>
      <c r="AB2506" t="s">
        <v>16931</v>
      </c>
    </row>
    <row r="2507" spans="1:28" x14ac:dyDescent="0.25">
      <c r="A2507" t="s">
        <v>2511</v>
      </c>
      <c r="B2507">
        <v>0.98018197421672304</v>
      </c>
      <c r="C2507">
        <v>0.97850428073384499</v>
      </c>
      <c r="D2507">
        <v>0.93233227552285303</v>
      </c>
      <c r="E2507">
        <v>0.80393457224313203</v>
      </c>
      <c r="F2507">
        <v>0.73870371222355602</v>
      </c>
      <c r="G2507">
        <v>0.56288176306919901</v>
      </c>
      <c r="H2507">
        <v>0.505176138077021</v>
      </c>
      <c r="I2507">
        <v>0.528619031339842</v>
      </c>
      <c r="J2507">
        <v>0.65398570429157299</v>
      </c>
      <c r="K2507">
        <v>0.67386542584865705</v>
      </c>
      <c r="L2507">
        <v>1092.15882499133</v>
      </c>
      <c r="M2507">
        <v>21.669419321592699</v>
      </c>
      <c r="O2507">
        <v>49.977582449333099</v>
      </c>
      <c r="P2507">
        <v>-4.5232385973548797E-2</v>
      </c>
      <c r="Q2507">
        <v>0.58272039085534599</v>
      </c>
      <c r="R2507">
        <v>0.89992554675450798</v>
      </c>
      <c r="S2507" t="s">
        <v>6136</v>
      </c>
      <c r="T2507" t="s">
        <v>7256</v>
      </c>
      <c r="U2507" t="s">
        <v>7256</v>
      </c>
      <c r="V2507" t="s">
        <v>7256</v>
      </c>
      <c r="W2507">
        <v>9</v>
      </c>
      <c r="X2507" t="s">
        <v>9763</v>
      </c>
      <c r="Y2507">
        <v>0.73235735514536704</v>
      </c>
      <c r="Z2507" t="str">
        <f>HYPERLINK("Melting_Curves/meltCurve_sp_Q9H1K1_ISCU_HUMAN_.pdf", "Melting_Curves/meltCurve_sp_Q9H1K1_ISCU_HUMAN_.pdf")</f>
        <v>Melting_Curves/meltCurve_sp_Q9H1K1_ISCU_HUMAN_.pdf</v>
      </c>
      <c r="AA2507" t="s">
        <v>13358</v>
      </c>
      <c r="AB2507" t="s">
        <v>16932</v>
      </c>
    </row>
    <row r="2508" spans="1:28" x14ac:dyDescent="0.25">
      <c r="A2508" t="s">
        <v>2512</v>
      </c>
      <c r="B2508">
        <v>0.98018197421672304</v>
      </c>
      <c r="C2508">
        <v>1.12896783229625</v>
      </c>
      <c r="D2508">
        <v>0.88124734991359399</v>
      </c>
      <c r="E2508">
        <v>0.48763368093520798</v>
      </c>
      <c r="F2508">
        <v>0.25653517309253798</v>
      </c>
      <c r="G2508">
        <v>0.13293224258443401</v>
      </c>
      <c r="H2508">
        <v>0.128581165749802</v>
      </c>
      <c r="I2508">
        <v>9.1037068203875998E-2</v>
      </c>
      <c r="J2508">
        <v>9.7972300865805897E-2</v>
      </c>
      <c r="K2508">
        <v>0.124114866667483</v>
      </c>
      <c r="L2508">
        <v>1361.85572338469</v>
      </c>
      <c r="M2508">
        <v>27.503052596040401</v>
      </c>
      <c r="N2508">
        <v>49.972924609641403</v>
      </c>
      <c r="O2508">
        <v>49.256966858332802</v>
      </c>
      <c r="P2508">
        <v>-0.124087412669589</v>
      </c>
      <c r="Q2508">
        <v>0.111064009751437</v>
      </c>
      <c r="R2508">
        <v>0.98535625133726601</v>
      </c>
      <c r="S2508" t="s">
        <v>6137</v>
      </c>
      <c r="T2508" t="s">
        <v>7256</v>
      </c>
      <c r="U2508" t="s">
        <v>7256</v>
      </c>
      <c r="V2508" t="s">
        <v>7256</v>
      </c>
      <c r="W2508">
        <v>1</v>
      </c>
      <c r="X2508" t="s">
        <v>9764</v>
      </c>
      <c r="Y2508">
        <v>0.39956248924661869</v>
      </c>
      <c r="Z2508" t="str">
        <f>HYPERLINK("Melting_Curves/meltCurve_sp_Q9H1P3_2_OSBL2_HUMAN_.pdf", "Melting_Curves/meltCurve_sp_Q9H1P3_2_OSBL2_HUMAN_.pdf")</f>
        <v>Melting_Curves/meltCurve_sp_Q9H1P3_2_OSBL2_HUMAN_.pdf</v>
      </c>
      <c r="AA2508" t="s">
        <v>13359</v>
      </c>
      <c r="AB2508" t="s">
        <v>16933</v>
      </c>
    </row>
    <row r="2509" spans="1:28" x14ac:dyDescent="0.25">
      <c r="A2509" t="s">
        <v>2513</v>
      </c>
      <c r="B2509">
        <v>0.98018197421672304</v>
      </c>
      <c r="C2509">
        <v>0.90938424071443102</v>
      </c>
      <c r="D2509">
        <v>0.829018389544531</v>
      </c>
      <c r="E2509">
        <v>0.72279348090249795</v>
      </c>
      <c r="F2509">
        <v>0.53264326527916295</v>
      </c>
      <c r="G2509">
        <v>0.173119519625443</v>
      </c>
      <c r="H2509">
        <v>8.3489020794539306E-2</v>
      </c>
      <c r="I2509">
        <v>5.32639840693689E-2</v>
      </c>
      <c r="J2509">
        <v>6.09260624172639E-2</v>
      </c>
      <c r="K2509">
        <v>4.7853906201238403E-2</v>
      </c>
      <c r="L2509">
        <v>796.73870888327599</v>
      </c>
      <c r="M2509">
        <v>15.1394742723369</v>
      </c>
      <c r="N2509">
        <v>52.626589448998601</v>
      </c>
      <c r="O2509">
        <v>51.734001842766197</v>
      </c>
      <c r="P2509">
        <v>-7.3167302064708895E-2</v>
      </c>
      <c r="Q2509">
        <v>0</v>
      </c>
      <c r="R2509">
        <v>0.98607724253979201</v>
      </c>
      <c r="S2509" t="s">
        <v>6138</v>
      </c>
      <c r="T2509" t="s">
        <v>7256</v>
      </c>
      <c r="U2509" t="s">
        <v>7256</v>
      </c>
      <c r="V2509" t="s">
        <v>7256</v>
      </c>
      <c r="W2509">
        <v>1</v>
      </c>
      <c r="X2509" t="s">
        <v>9765</v>
      </c>
      <c r="Y2509">
        <v>0.44244164156146448</v>
      </c>
      <c r="Z2509" t="str">
        <f>HYPERLINK("Melting_Curves/meltCurve_sp_Q9H1Y0_ATG5_HUMAN_.pdf", "Melting_Curves/meltCurve_sp_Q9H1Y0_ATG5_HUMAN_.pdf")</f>
        <v>Melting_Curves/meltCurve_sp_Q9H1Y0_ATG5_HUMAN_.pdf</v>
      </c>
      <c r="AA2509" t="s">
        <v>13360</v>
      </c>
      <c r="AB2509" t="s">
        <v>16934</v>
      </c>
    </row>
    <row r="2510" spans="1:28" x14ac:dyDescent="0.25">
      <c r="A2510" t="s">
        <v>2514</v>
      </c>
      <c r="B2510">
        <v>0.98018197421672304</v>
      </c>
      <c r="C2510">
        <v>0.90022018245864499</v>
      </c>
      <c r="D2510">
        <v>0.88868959052026197</v>
      </c>
      <c r="E2510">
        <v>0.78643569849495498</v>
      </c>
      <c r="F2510">
        <v>0.69508913194222999</v>
      </c>
      <c r="G2510">
        <v>0.55263632686811004</v>
      </c>
      <c r="H2510">
        <v>0.28802850224288901</v>
      </c>
      <c r="I2510">
        <v>0.176702704641441</v>
      </c>
      <c r="J2510">
        <v>0.15809408912591699</v>
      </c>
      <c r="K2510">
        <v>9.3117891458905699E-2</v>
      </c>
      <c r="L2510">
        <v>615.68722196908095</v>
      </c>
      <c r="M2510">
        <v>10.8804920889116</v>
      </c>
      <c r="N2510">
        <v>56.586339948252103</v>
      </c>
      <c r="O2510">
        <v>54.775533995438302</v>
      </c>
      <c r="P2510">
        <v>-4.9676926686585798E-2</v>
      </c>
      <c r="Q2510">
        <v>0</v>
      </c>
      <c r="R2510">
        <v>0.98586732751022399</v>
      </c>
      <c r="S2510" t="s">
        <v>6139</v>
      </c>
      <c r="T2510" t="s">
        <v>7256</v>
      </c>
      <c r="U2510" t="s">
        <v>7256</v>
      </c>
      <c r="V2510" t="s">
        <v>7256</v>
      </c>
      <c r="W2510">
        <v>2</v>
      </c>
      <c r="X2510" t="s">
        <v>9766</v>
      </c>
      <c r="Y2510">
        <v>0.57129588526559227</v>
      </c>
      <c r="Z2510" t="str">
        <f>HYPERLINK("Melting_Curves/meltCurve_sp_Q9H1Z4_WDR13_HUMAN_.pdf", "Melting_Curves/meltCurve_sp_Q9H1Z4_WDR13_HUMAN_.pdf")</f>
        <v>Melting_Curves/meltCurve_sp_Q9H1Z4_WDR13_HUMAN_.pdf</v>
      </c>
      <c r="AA2510" t="s">
        <v>13361</v>
      </c>
      <c r="AB2510" t="s">
        <v>16935</v>
      </c>
    </row>
    <row r="2511" spans="1:28" x14ac:dyDescent="0.25">
      <c r="A2511" t="s">
        <v>2515</v>
      </c>
      <c r="B2511">
        <v>0.98018197421672304</v>
      </c>
      <c r="C2511">
        <v>0.88416369215344504</v>
      </c>
      <c r="D2511">
        <v>0.91777221841229695</v>
      </c>
      <c r="E2511">
        <v>0.73459188211855497</v>
      </c>
      <c r="F2511">
        <v>0.34972706350754201</v>
      </c>
      <c r="G2511">
        <v>0.14921210673945601</v>
      </c>
      <c r="H2511">
        <v>8.3201994687800096E-2</v>
      </c>
      <c r="I2511">
        <v>7.4758875767956798E-2</v>
      </c>
      <c r="J2511">
        <v>6.7550809519131602E-2</v>
      </c>
      <c r="K2511">
        <v>9.2001144528279094E-2</v>
      </c>
      <c r="L2511">
        <v>1307.40415471347</v>
      </c>
      <c r="M2511">
        <v>25.4024899095565</v>
      </c>
      <c r="N2511">
        <v>51.783720167871301</v>
      </c>
      <c r="O2511">
        <v>51.151784954143601</v>
      </c>
      <c r="P2511">
        <v>-0.115235372321342</v>
      </c>
      <c r="Q2511">
        <v>7.1835870748896996E-2</v>
      </c>
      <c r="R2511">
        <v>0.98862503550594405</v>
      </c>
      <c r="S2511" t="s">
        <v>6140</v>
      </c>
      <c r="T2511" t="s">
        <v>7256</v>
      </c>
      <c r="U2511" t="s">
        <v>7256</v>
      </c>
      <c r="V2511" t="s">
        <v>7256</v>
      </c>
      <c r="W2511">
        <v>7</v>
      </c>
      <c r="X2511" t="s">
        <v>9767</v>
      </c>
      <c r="Y2511">
        <v>0.43479727773020788</v>
      </c>
      <c r="Z2511" t="str">
        <f>HYPERLINK("Melting_Curves/meltCurve_sp_Q9H227_GBA3_HUMAN_.pdf", "Melting_Curves/meltCurve_sp_Q9H227_GBA3_HUMAN_.pdf")</f>
        <v>Melting_Curves/meltCurve_sp_Q9H227_GBA3_HUMAN_.pdf</v>
      </c>
      <c r="AA2511" t="s">
        <v>13362</v>
      </c>
      <c r="AB2511" t="s">
        <v>16936</v>
      </c>
    </row>
    <row r="2512" spans="1:28" x14ac:dyDescent="0.25">
      <c r="A2512" t="s">
        <v>2516</v>
      </c>
      <c r="B2512">
        <v>0.98018197421672304</v>
      </c>
      <c r="C2512">
        <v>0.86854745058258498</v>
      </c>
      <c r="D2512">
        <v>0.78660096346202402</v>
      </c>
      <c r="E2512">
        <v>0.50835733516568105</v>
      </c>
      <c r="F2512">
        <v>0.241254229454194</v>
      </c>
      <c r="G2512">
        <v>0.170331730929981</v>
      </c>
      <c r="H2512">
        <v>9.6342460700580501E-2</v>
      </c>
      <c r="I2512">
        <v>0.10242202019813</v>
      </c>
      <c r="J2512">
        <v>0.116486709913141</v>
      </c>
      <c r="K2512">
        <v>5.6061731414517597E-2</v>
      </c>
      <c r="L2512">
        <v>795.76903737988096</v>
      </c>
      <c r="M2512">
        <v>16.189075729957398</v>
      </c>
      <c r="N2512">
        <v>49.622777338293702</v>
      </c>
      <c r="O2512">
        <v>48.423024898548299</v>
      </c>
      <c r="P2512">
        <v>-7.7668872731631505E-2</v>
      </c>
      <c r="Q2512">
        <v>7.0810393407086003E-2</v>
      </c>
      <c r="R2512">
        <v>0.99269119680566997</v>
      </c>
      <c r="S2512" t="s">
        <v>6141</v>
      </c>
      <c r="T2512" t="s">
        <v>7256</v>
      </c>
      <c r="U2512" t="s">
        <v>7256</v>
      </c>
      <c r="V2512" t="s">
        <v>7256</v>
      </c>
      <c r="W2512">
        <v>3</v>
      </c>
      <c r="X2512" t="s">
        <v>9768</v>
      </c>
      <c r="Y2512">
        <v>0.3740957126693612</v>
      </c>
      <c r="Z2512" t="str">
        <f>HYPERLINK("Melting_Curves/meltCurve_sp_Q9H267_VP33B_HUMAN_.pdf", "Melting_Curves/meltCurve_sp_Q9H267_VP33B_HUMAN_.pdf")</f>
        <v>Melting_Curves/meltCurve_sp_Q9H267_VP33B_HUMAN_.pdf</v>
      </c>
      <c r="AA2512" t="s">
        <v>13363</v>
      </c>
      <c r="AB2512" t="s">
        <v>16937</v>
      </c>
    </row>
    <row r="2513" spans="1:28" x14ac:dyDescent="0.25">
      <c r="A2513" t="s">
        <v>2517</v>
      </c>
      <c r="B2513">
        <v>0.98018197421672304</v>
      </c>
      <c r="C2513">
        <v>0.71382341958491602</v>
      </c>
      <c r="D2513">
        <v>0.44579801867573399</v>
      </c>
      <c r="E2513">
        <v>0.19463409367107101</v>
      </c>
      <c r="F2513">
        <v>9.4904632178259493E-2</v>
      </c>
      <c r="G2513">
        <v>5.6101520901895699E-2</v>
      </c>
      <c r="H2513">
        <v>3.4714990022456302E-2</v>
      </c>
      <c r="I2513">
        <v>2.7858692146105899E-2</v>
      </c>
      <c r="J2513">
        <v>2.5930900707485501E-2</v>
      </c>
      <c r="K2513">
        <v>2.3815001507199701E-2</v>
      </c>
      <c r="L2513">
        <v>829.360331711767</v>
      </c>
      <c r="M2513">
        <v>18.298510999414098</v>
      </c>
      <c r="N2513">
        <v>45.4678240383546</v>
      </c>
      <c r="O2513">
        <v>44.793016495094903</v>
      </c>
      <c r="P2513">
        <v>-9.9259498815419206E-2</v>
      </c>
      <c r="Q2513">
        <v>2.8133649228257999E-2</v>
      </c>
      <c r="R2513">
        <v>0.99537822471818505</v>
      </c>
      <c r="S2513" t="s">
        <v>6142</v>
      </c>
      <c r="T2513" t="s">
        <v>7256</v>
      </c>
      <c r="U2513" t="s">
        <v>7256</v>
      </c>
      <c r="V2513" t="s">
        <v>7256</v>
      </c>
      <c r="W2513">
        <v>17</v>
      </c>
      <c r="X2513" t="s">
        <v>9769</v>
      </c>
      <c r="Y2513">
        <v>0.22011402080161691</v>
      </c>
      <c r="Z2513" t="str">
        <f>HYPERLINK("Melting_Curves/meltCurve_sp_Q9H2A2_AL8A1_HUMAN_.pdf", "Melting_Curves/meltCurve_sp_Q9H2A2_AL8A1_HUMAN_.pdf")</f>
        <v>Melting_Curves/meltCurve_sp_Q9H2A2_AL8A1_HUMAN_.pdf</v>
      </c>
      <c r="AA2513" t="s">
        <v>13364</v>
      </c>
      <c r="AB2513" t="s">
        <v>16938</v>
      </c>
    </row>
    <row r="2514" spans="1:28" x14ac:dyDescent="0.25">
      <c r="A2514" t="s">
        <v>2518</v>
      </c>
      <c r="B2514">
        <v>0.98018197421672304</v>
      </c>
      <c r="C2514">
        <v>0.94054314283224205</v>
      </c>
      <c r="D2514">
        <v>0.82412829519067998</v>
      </c>
      <c r="E2514">
        <v>0.68240945206922898</v>
      </c>
      <c r="F2514">
        <v>0.51668807510312698</v>
      </c>
      <c r="G2514">
        <v>0.32251786574985802</v>
      </c>
      <c r="H2514">
        <v>0.23089023505568099</v>
      </c>
      <c r="I2514">
        <v>0.22501716572441499</v>
      </c>
      <c r="J2514">
        <v>0.26589225082236501</v>
      </c>
      <c r="K2514">
        <v>0.25271807639339</v>
      </c>
      <c r="L2514">
        <v>734.61849791197005</v>
      </c>
      <c r="M2514">
        <v>14.436075734503</v>
      </c>
      <c r="N2514">
        <v>52.861065179052801</v>
      </c>
      <c r="O2514">
        <v>49.941094367748398</v>
      </c>
      <c r="P2514">
        <v>-5.7218522602260402E-2</v>
      </c>
      <c r="Q2514">
        <v>0.20831109267346801</v>
      </c>
      <c r="R2514">
        <v>0.99098596280849804</v>
      </c>
      <c r="S2514" t="s">
        <v>6143</v>
      </c>
      <c r="T2514" t="s">
        <v>7256</v>
      </c>
      <c r="U2514" t="s">
        <v>7256</v>
      </c>
      <c r="V2514" t="s">
        <v>7256</v>
      </c>
      <c r="W2514">
        <v>10</v>
      </c>
      <c r="X2514" t="s">
        <v>9770</v>
      </c>
      <c r="Y2514">
        <v>0.51518769828329047</v>
      </c>
      <c r="Z2514" t="str">
        <f>HYPERLINK("Melting_Curves/meltCurve_sp_Q9H2D6_5_TARA_HUMAN_.pdf", "Melting_Curves/meltCurve_sp_Q9H2D6_5_TARA_HUMAN_.pdf")</f>
        <v>Melting_Curves/meltCurve_sp_Q9H2D6_5_TARA_HUMAN_.pdf</v>
      </c>
      <c r="AA2514" t="s">
        <v>13365</v>
      </c>
      <c r="AB2514" t="s">
        <v>16939</v>
      </c>
    </row>
    <row r="2515" spans="1:28" x14ac:dyDescent="0.25">
      <c r="A2515" t="s">
        <v>2519</v>
      </c>
      <c r="B2515">
        <v>0.98018197421672304</v>
      </c>
      <c r="C2515">
        <v>0.84977962413295804</v>
      </c>
      <c r="D2515">
        <v>0.87041940844940902</v>
      </c>
      <c r="E2515">
        <v>0.77423179028434996</v>
      </c>
      <c r="F2515">
        <v>0.23937160777720401</v>
      </c>
      <c r="G2515">
        <v>0.14293498519584399</v>
      </c>
      <c r="H2515">
        <v>0.11632602438466701</v>
      </c>
      <c r="I2515">
        <v>9.3859953010004604E-2</v>
      </c>
      <c r="J2515">
        <v>0.14463512658685199</v>
      </c>
      <c r="K2515">
        <v>8.9702438535732301E-2</v>
      </c>
      <c r="L2515">
        <v>2400.8209117323099</v>
      </c>
      <c r="M2515">
        <v>47.004388820621102</v>
      </c>
      <c r="N2515">
        <v>51.360758929292899</v>
      </c>
      <c r="O2515">
        <v>50.984333934578402</v>
      </c>
      <c r="P2515">
        <v>-0.20408725978289399</v>
      </c>
      <c r="Q2515">
        <v>0.114530203172294</v>
      </c>
      <c r="R2515">
        <v>0.968815005470269</v>
      </c>
      <c r="S2515" t="s">
        <v>6144</v>
      </c>
      <c r="T2515" t="s">
        <v>7256</v>
      </c>
      <c r="U2515" t="s">
        <v>7256</v>
      </c>
      <c r="V2515" t="s">
        <v>7256</v>
      </c>
      <c r="W2515">
        <v>9</v>
      </c>
      <c r="X2515" t="s">
        <v>9771</v>
      </c>
      <c r="Y2515">
        <v>0.44372007196261681</v>
      </c>
      <c r="Z2515" t="str">
        <f>HYPERLINK("Melting_Curves/meltCurve_sp_Q9H2G2_2_SLK_HUMAN_.pdf", "Melting_Curves/meltCurve_sp_Q9H2G2_2_SLK_HUMAN_.pdf")</f>
        <v>Melting_Curves/meltCurve_sp_Q9H2G2_2_SLK_HUMAN_.pdf</v>
      </c>
      <c r="AA2515" t="s">
        <v>13366</v>
      </c>
      <c r="AB2515" t="s">
        <v>16940</v>
      </c>
    </row>
    <row r="2516" spans="1:28" x14ac:dyDescent="0.25">
      <c r="A2516" t="s">
        <v>2520</v>
      </c>
      <c r="B2516">
        <v>0.98018197421672304</v>
      </c>
      <c r="C2516">
        <v>1.0238158284516801</v>
      </c>
      <c r="D2516">
        <v>1.0056286379984101</v>
      </c>
      <c r="E2516">
        <v>0.699499171543433</v>
      </c>
      <c r="F2516">
        <v>0.27516909545863</v>
      </c>
      <c r="G2516">
        <v>0.13090608842569801</v>
      </c>
      <c r="H2516">
        <v>6.18512961411989E-2</v>
      </c>
      <c r="I2516">
        <v>4.8698055315697097E-2</v>
      </c>
      <c r="J2516">
        <v>6.4412971306246194E-2</v>
      </c>
      <c r="K2516">
        <v>5.9859362037364597E-2</v>
      </c>
      <c r="L2516">
        <v>1729.1561720583099</v>
      </c>
      <c r="M2516">
        <v>33.824979927482602</v>
      </c>
      <c r="N2516">
        <v>51.333064636877097</v>
      </c>
      <c r="O2516">
        <v>50.942998812185898</v>
      </c>
      <c r="P2516">
        <v>-0.15515609468548999</v>
      </c>
      <c r="Q2516">
        <v>6.5296178133984903E-2</v>
      </c>
      <c r="R2516">
        <v>0.99789602422980905</v>
      </c>
      <c r="S2516" t="s">
        <v>6145</v>
      </c>
      <c r="T2516" t="s">
        <v>7256</v>
      </c>
      <c r="U2516" t="s">
        <v>7256</v>
      </c>
      <c r="V2516" t="s">
        <v>7256</v>
      </c>
      <c r="W2516">
        <v>2</v>
      </c>
      <c r="X2516" t="s">
        <v>9772</v>
      </c>
      <c r="Y2516">
        <v>0.41640960509902969</v>
      </c>
      <c r="Z2516" t="str">
        <f>HYPERLINK("Melting_Curves/meltCurve_sp_Q9H2H8_PPIL3_HUMAN_.pdf", "Melting_Curves/meltCurve_sp_Q9H2H8_PPIL3_HUMAN_.pdf")</f>
        <v>Melting_Curves/meltCurve_sp_Q9H2H8_PPIL3_HUMAN_.pdf</v>
      </c>
      <c r="AA2516" t="s">
        <v>13367</v>
      </c>
      <c r="AB2516" t="s">
        <v>16941</v>
      </c>
    </row>
    <row r="2517" spans="1:28" x14ac:dyDescent="0.25">
      <c r="A2517" t="s">
        <v>2521</v>
      </c>
      <c r="B2517">
        <v>0.98018197421672304</v>
      </c>
      <c r="C2517">
        <v>0.94920374402672003</v>
      </c>
      <c r="D2517">
        <v>0.90310411207731101</v>
      </c>
      <c r="E2517">
        <v>0.84569279625505001</v>
      </c>
      <c r="F2517">
        <v>0.73124978869777602</v>
      </c>
      <c r="G2517">
        <v>0.62477992303541297</v>
      </c>
      <c r="H2517">
        <v>0.50775255415899401</v>
      </c>
      <c r="I2517">
        <v>0.53287475528803996</v>
      </c>
      <c r="J2517">
        <v>0.47565409758752503</v>
      </c>
      <c r="K2517">
        <v>0.43251580622651398</v>
      </c>
      <c r="L2517">
        <v>537.45509462505095</v>
      </c>
      <c r="M2517">
        <v>9.85292110703584</v>
      </c>
      <c r="N2517">
        <v>63.902810388737997</v>
      </c>
      <c r="O2517">
        <v>52.443335906215701</v>
      </c>
      <c r="P2517">
        <v>-2.9050390699844299E-2</v>
      </c>
      <c r="Q2517">
        <v>0.38182164739604202</v>
      </c>
      <c r="R2517">
        <v>0.99110495243340202</v>
      </c>
      <c r="S2517" t="s">
        <v>6146</v>
      </c>
      <c r="T2517" t="s">
        <v>7256</v>
      </c>
      <c r="U2517" t="s">
        <v>7256</v>
      </c>
      <c r="V2517" t="s">
        <v>7256</v>
      </c>
      <c r="W2517">
        <v>27</v>
      </c>
      <c r="X2517" t="s">
        <v>9773</v>
      </c>
      <c r="Y2517">
        <v>0.69896201641848166</v>
      </c>
      <c r="Z2517" t="str">
        <f>HYPERLINK("Melting_Curves/meltCurve_sp_Q9H2M3_BHMT2_HUMAN_.pdf", "Melting_Curves/meltCurve_sp_Q9H2M3_BHMT2_HUMAN_.pdf")</f>
        <v>Melting_Curves/meltCurve_sp_Q9H2M3_BHMT2_HUMAN_.pdf</v>
      </c>
      <c r="AA2517" t="s">
        <v>13368</v>
      </c>
      <c r="AB2517" t="s">
        <v>16942</v>
      </c>
    </row>
    <row r="2518" spans="1:28" x14ac:dyDescent="0.25">
      <c r="A2518" t="s">
        <v>2522</v>
      </c>
      <c r="B2518">
        <v>0.98018197421672304</v>
      </c>
      <c r="C2518">
        <v>1.0195830520476801</v>
      </c>
      <c r="D2518">
        <v>0.84440225353871401</v>
      </c>
      <c r="E2518">
        <v>0.53668103112983401</v>
      </c>
      <c r="F2518">
        <v>0.33145742059017602</v>
      </c>
      <c r="G2518">
        <v>0.20753254457345499</v>
      </c>
      <c r="H2518">
        <v>0.15899827485961199</v>
      </c>
      <c r="I2518">
        <v>0.13485833973293601</v>
      </c>
      <c r="J2518">
        <v>0.16581027143747701</v>
      </c>
      <c r="K2518">
        <v>0.119407221544911</v>
      </c>
      <c r="L2518">
        <v>1013.75401660299</v>
      </c>
      <c r="M2518">
        <v>20.404016991551</v>
      </c>
      <c r="N2518">
        <v>50.487849196364799</v>
      </c>
      <c r="O2518">
        <v>49.214181460004198</v>
      </c>
      <c r="P2518">
        <v>-8.9277695200716503E-2</v>
      </c>
      <c r="Q2518">
        <v>0.138679982525026</v>
      </c>
      <c r="R2518">
        <v>0.99632664244448099</v>
      </c>
      <c r="S2518" t="s">
        <v>6147</v>
      </c>
      <c r="T2518" t="s">
        <v>7256</v>
      </c>
      <c r="U2518" t="s">
        <v>7256</v>
      </c>
      <c r="V2518" t="s">
        <v>7256</v>
      </c>
      <c r="W2518">
        <v>7</v>
      </c>
      <c r="X2518" t="s">
        <v>9774</v>
      </c>
      <c r="Y2518">
        <v>0.42825658807055661</v>
      </c>
      <c r="Z2518" t="str">
        <f>HYPERLINK("Melting_Curves/meltCurve_sp_Q9H2M9_RBGPR_HUMAN_.pdf", "Melting_Curves/meltCurve_sp_Q9H2M9_RBGPR_HUMAN_.pdf")</f>
        <v>Melting_Curves/meltCurve_sp_Q9H2M9_RBGPR_HUMAN_.pdf</v>
      </c>
      <c r="AA2518" t="s">
        <v>13369</v>
      </c>
      <c r="AB2518" t="s">
        <v>16943</v>
      </c>
    </row>
    <row r="2519" spans="1:28" x14ac:dyDescent="0.25">
      <c r="A2519" t="s">
        <v>2523</v>
      </c>
      <c r="B2519">
        <v>0.98018197421672304</v>
      </c>
      <c r="C2519">
        <v>0.93064927274507203</v>
      </c>
      <c r="D2519">
        <v>0.88033261494703696</v>
      </c>
      <c r="E2519">
        <v>0.77380662323458005</v>
      </c>
      <c r="F2519">
        <v>0.56485455483160296</v>
      </c>
      <c r="G2519">
        <v>0.42432678001100999</v>
      </c>
      <c r="H2519">
        <v>0.306186110237261</v>
      </c>
      <c r="I2519">
        <v>0.30082991233130402</v>
      </c>
      <c r="J2519">
        <v>0.27427508812534301</v>
      </c>
      <c r="K2519">
        <v>0.37803817786180999</v>
      </c>
      <c r="L2519">
        <v>818.46160668369203</v>
      </c>
      <c r="M2519">
        <v>15.8538215182784</v>
      </c>
      <c r="N2519">
        <v>54.589323305087397</v>
      </c>
      <c r="O2519">
        <v>50.825066018744302</v>
      </c>
      <c r="P2519">
        <v>-5.5482785809762097E-2</v>
      </c>
      <c r="Q2519">
        <v>0.28857862892198699</v>
      </c>
      <c r="R2519">
        <v>0.98104429669232696</v>
      </c>
      <c r="S2519" t="s">
        <v>6148</v>
      </c>
      <c r="T2519" t="s">
        <v>7256</v>
      </c>
      <c r="U2519" t="s">
        <v>7256</v>
      </c>
      <c r="V2519" t="s">
        <v>7256</v>
      </c>
      <c r="W2519">
        <v>1</v>
      </c>
      <c r="X2519" t="s">
        <v>9775</v>
      </c>
      <c r="Y2519">
        <v>0.57900704151602722</v>
      </c>
      <c r="Z2519" t="str">
        <f>HYPERLINK("Melting_Curves/meltCurve_sp_Q9H2P0_ADNP_HUMAN_.pdf", "Melting_Curves/meltCurve_sp_Q9H2P0_ADNP_HUMAN_.pdf")</f>
        <v>Melting_Curves/meltCurve_sp_Q9H2P0_ADNP_HUMAN_.pdf</v>
      </c>
      <c r="AA2519" t="s">
        <v>13370</v>
      </c>
      <c r="AB2519" t="s">
        <v>16944</v>
      </c>
    </row>
    <row r="2520" spans="1:28" x14ac:dyDescent="0.25">
      <c r="A2520" t="s">
        <v>2524</v>
      </c>
      <c r="B2520">
        <v>0.98018197421672304</v>
      </c>
      <c r="C2520">
        <v>1.3733180800851801</v>
      </c>
      <c r="D2520">
        <v>1.28818874866459</v>
      </c>
      <c r="E2520">
        <v>1.08316833641167</v>
      </c>
      <c r="F2520">
        <v>0.78001952286561604</v>
      </c>
      <c r="G2520">
        <v>0.38218441870044201</v>
      </c>
      <c r="H2520">
        <v>0.20308636156733101</v>
      </c>
      <c r="I2520">
        <v>0.17568056802034199</v>
      </c>
      <c r="J2520">
        <v>0.16968600896883301</v>
      </c>
      <c r="K2520">
        <v>0.16879776532951499</v>
      </c>
      <c r="L2520">
        <v>1897.2824029380199</v>
      </c>
      <c r="M2520">
        <v>34.499329316682498</v>
      </c>
      <c r="N2520">
        <v>55.679656495109498</v>
      </c>
      <c r="O2520">
        <v>54.810966176293903</v>
      </c>
      <c r="P2520">
        <v>-0.13014839780991899</v>
      </c>
      <c r="Q2520">
        <v>0.17290766071173999</v>
      </c>
      <c r="R2520">
        <v>0.892122388337106</v>
      </c>
      <c r="S2520" t="s">
        <v>6149</v>
      </c>
      <c r="T2520" t="s">
        <v>7256</v>
      </c>
      <c r="U2520" t="s">
        <v>7256</v>
      </c>
      <c r="V2520" t="s">
        <v>7256</v>
      </c>
      <c r="W2520">
        <v>7</v>
      </c>
      <c r="X2520" t="s">
        <v>9776</v>
      </c>
      <c r="Y2520">
        <v>0.59050304324915937</v>
      </c>
      <c r="Z2520" t="str">
        <f>HYPERLINK("Melting_Curves/meltCurve_sp_Q9H2U1_3_DHX36_HUMAN_.pdf", "Melting_Curves/meltCurve_sp_Q9H2U1_3_DHX36_HUMAN_.pdf")</f>
        <v>Melting_Curves/meltCurve_sp_Q9H2U1_3_DHX36_HUMAN_.pdf</v>
      </c>
      <c r="AA2520" t="s">
        <v>13371</v>
      </c>
      <c r="AB2520" t="s">
        <v>16945</v>
      </c>
    </row>
    <row r="2521" spans="1:28" x14ac:dyDescent="0.25">
      <c r="A2521" t="s">
        <v>2525</v>
      </c>
      <c r="B2521">
        <v>0.98018197421672304</v>
      </c>
      <c r="C2521">
        <v>0.71639647578257204</v>
      </c>
      <c r="D2521">
        <v>0.91072566103910402</v>
      </c>
      <c r="E2521">
        <v>0.78070073087327396</v>
      </c>
      <c r="F2521">
        <v>0.46648657808831101</v>
      </c>
      <c r="G2521">
        <v>0.26801261219682998</v>
      </c>
      <c r="H2521">
        <v>7.69689516374608E-2</v>
      </c>
      <c r="I2521">
        <v>3.6397079399337097E-2</v>
      </c>
      <c r="J2521">
        <v>5.9744158646131203E-2</v>
      </c>
      <c r="K2521">
        <v>2.6827098272247499E-2</v>
      </c>
      <c r="L2521">
        <v>783.67084256938494</v>
      </c>
      <c r="M2521">
        <v>14.8222867214552</v>
      </c>
      <c r="N2521">
        <v>52.871125089207602</v>
      </c>
      <c r="O2521">
        <v>51.936736751569299</v>
      </c>
      <c r="P2521">
        <v>-7.1355348521331505E-2</v>
      </c>
      <c r="Q2521">
        <v>0</v>
      </c>
      <c r="R2521">
        <v>0.94446504260588104</v>
      </c>
      <c r="S2521" t="s">
        <v>6150</v>
      </c>
      <c r="T2521" t="s">
        <v>7256</v>
      </c>
      <c r="U2521" t="s">
        <v>7256</v>
      </c>
      <c r="V2521" t="s">
        <v>7256</v>
      </c>
      <c r="W2521">
        <v>15</v>
      </c>
      <c r="X2521" t="s">
        <v>9777</v>
      </c>
      <c r="Y2521">
        <v>0.4510363983000561</v>
      </c>
      <c r="Z2521" t="str">
        <f>HYPERLINK("Melting_Curves/meltCurve_sp_Q9H2U2_IPYR2_HUMAN_.pdf", "Melting_Curves/meltCurve_sp_Q9H2U2_IPYR2_HUMAN_.pdf")</f>
        <v>Melting_Curves/meltCurve_sp_Q9H2U2_IPYR2_HUMAN_.pdf</v>
      </c>
      <c r="AA2521" t="s">
        <v>13372</v>
      </c>
      <c r="AB2521" t="s">
        <v>16946</v>
      </c>
    </row>
    <row r="2522" spans="1:28" x14ac:dyDescent="0.25">
      <c r="A2522" t="s">
        <v>2526</v>
      </c>
      <c r="B2522">
        <v>0.98018197421672304</v>
      </c>
      <c r="C2522">
        <v>0.91988078324210598</v>
      </c>
      <c r="D2522">
        <v>0.58988694359490301</v>
      </c>
      <c r="E2522">
        <v>0.22871449852527201</v>
      </c>
      <c r="F2522">
        <v>0.128920150970116</v>
      </c>
      <c r="G2522">
        <v>8.1491172634441597E-2</v>
      </c>
      <c r="H2522">
        <v>8.58033755509547E-2</v>
      </c>
      <c r="I2522">
        <v>4.9775643063025801E-2</v>
      </c>
      <c r="J2522">
        <v>0.12705364304698799</v>
      </c>
      <c r="K2522">
        <v>3.1168614233341E-2</v>
      </c>
      <c r="L2522">
        <v>1138.3397926263301</v>
      </c>
      <c r="M2522">
        <v>24.4505080663955</v>
      </c>
      <c r="N2522">
        <v>46.866318115206298</v>
      </c>
      <c r="O2522">
        <v>46.248833033059199</v>
      </c>
      <c r="P2522">
        <v>-0.12231895519102901</v>
      </c>
      <c r="Q2522">
        <v>7.4534695242211096E-2</v>
      </c>
      <c r="R2522">
        <v>0.99484939445764997</v>
      </c>
      <c r="S2522" t="s">
        <v>6151</v>
      </c>
      <c r="T2522" t="s">
        <v>7256</v>
      </c>
      <c r="U2522" t="s">
        <v>7256</v>
      </c>
      <c r="V2522" t="s">
        <v>7256</v>
      </c>
      <c r="W2522">
        <v>1</v>
      </c>
      <c r="X2522" t="s">
        <v>9778</v>
      </c>
      <c r="Y2522">
        <v>0.28559250731984281</v>
      </c>
      <c r="Z2522" t="str">
        <f>HYPERLINK("Melting_Curves/meltCurve_sp_Q9H2W6_RM46_HUMAN_.pdf", "Melting_Curves/meltCurve_sp_Q9H2W6_RM46_HUMAN_.pdf")</f>
        <v>Melting_Curves/meltCurve_sp_Q9H2W6_RM46_HUMAN_.pdf</v>
      </c>
      <c r="AA2522" t="s">
        <v>13373</v>
      </c>
      <c r="AB2522" t="s">
        <v>16947</v>
      </c>
    </row>
    <row r="2523" spans="1:28" x14ac:dyDescent="0.25">
      <c r="A2523" t="s">
        <v>2527</v>
      </c>
      <c r="B2523">
        <v>0.98018197421672304</v>
      </c>
      <c r="C2523">
        <v>0.957210240221818</v>
      </c>
      <c r="D2523">
        <v>1.0208792536448801</v>
      </c>
      <c r="E2523">
        <v>0.78996864335674899</v>
      </c>
      <c r="F2523">
        <v>0.52002471243634696</v>
      </c>
      <c r="G2523">
        <v>0.34040934219508301</v>
      </c>
      <c r="H2523">
        <v>0.40023462173723201</v>
      </c>
      <c r="I2523">
        <v>0.36874670142982202</v>
      </c>
      <c r="J2523">
        <v>0.443963809503435</v>
      </c>
      <c r="K2523">
        <v>0.58874886155211503</v>
      </c>
      <c r="L2523">
        <v>2235.8457912085501</v>
      </c>
      <c r="M2523">
        <v>44.127315950142403</v>
      </c>
      <c r="N2523">
        <v>53.037940125565598</v>
      </c>
      <c r="O2523">
        <v>50.564338344928501</v>
      </c>
      <c r="P2523">
        <v>-0.12427403858628</v>
      </c>
      <c r="Q2523">
        <v>0.43039129701996298</v>
      </c>
      <c r="R2523">
        <v>0.93608507055071999</v>
      </c>
      <c r="S2523" t="s">
        <v>6152</v>
      </c>
      <c r="T2523" t="s">
        <v>7256</v>
      </c>
      <c r="U2523" t="s">
        <v>7256</v>
      </c>
      <c r="V2523" t="s">
        <v>7256</v>
      </c>
      <c r="W2523">
        <v>3</v>
      </c>
      <c r="X2523" t="s">
        <v>9779</v>
      </c>
      <c r="Y2523">
        <v>0.63458239208651412</v>
      </c>
      <c r="Z2523" t="str">
        <f>HYPERLINK("Melting_Curves/meltCurve_sp_Q9H307_PININ_HUMAN_.pdf", "Melting_Curves/meltCurve_sp_Q9H307_PININ_HUMAN_.pdf")</f>
        <v>Melting_Curves/meltCurve_sp_Q9H307_PININ_HUMAN_.pdf</v>
      </c>
      <c r="AA2523" t="s">
        <v>13374</v>
      </c>
      <c r="AB2523" t="s">
        <v>16948</v>
      </c>
    </row>
    <row r="2524" spans="1:28" x14ac:dyDescent="0.25">
      <c r="A2524" t="s">
        <v>2528</v>
      </c>
      <c r="B2524">
        <v>0.98018197421672304</v>
      </c>
      <c r="C2524">
        <v>1.02320591938176</v>
      </c>
      <c r="D2524">
        <v>0.90730723753125497</v>
      </c>
      <c r="E2524">
        <v>0.71120132582677498</v>
      </c>
      <c r="F2524">
        <v>0.53162327663018505</v>
      </c>
      <c r="G2524">
        <v>0.38722821304272798</v>
      </c>
      <c r="H2524">
        <v>0.164361864807342</v>
      </c>
      <c r="I2524">
        <v>8.2892364951894199E-2</v>
      </c>
      <c r="J2524">
        <v>7.5973935303135606E-2</v>
      </c>
      <c r="K2524">
        <v>5.3413110714880099E-2</v>
      </c>
      <c r="L2524">
        <v>702.69437932249696</v>
      </c>
      <c r="M2524">
        <v>13.038863254772799</v>
      </c>
      <c r="N2524">
        <v>53.892304458494102</v>
      </c>
      <c r="O2524">
        <v>52.671916399854901</v>
      </c>
      <c r="P2524">
        <v>-6.1897976282671997E-2</v>
      </c>
      <c r="Q2524">
        <v>0</v>
      </c>
      <c r="R2524">
        <v>0.99355630936708905</v>
      </c>
      <c r="S2524" t="s">
        <v>6153</v>
      </c>
      <c r="T2524" t="s">
        <v>7256</v>
      </c>
      <c r="U2524" t="s">
        <v>7256</v>
      </c>
      <c r="V2524" t="s">
        <v>7256</v>
      </c>
      <c r="W2524">
        <v>5</v>
      </c>
      <c r="X2524" t="s">
        <v>9780</v>
      </c>
      <c r="Y2524">
        <v>0.48735209057554207</v>
      </c>
      <c r="Z2524" t="str">
        <f>HYPERLINK("Melting_Curves/meltCurve_sp_Q9H3G5_CPVL_HUMAN_.pdf", "Melting_Curves/meltCurve_sp_Q9H3G5_CPVL_HUMAN_.pdf")</f>
        <v>Melting_Curves/meltCurve_sp_Q9H3G5_CPVL_HUMAN_.pdf</v>
      </c>
      <c r="AA2524" t="s">
        <v>13375</v>
      </c>
      <c r="AB2524" t="s">
        <v>16949</v>
      </c>
    </row>
    <row r="2525" spans="1:28" x14ac:dyDescent="0.25">
      <c r="A2525" t="s">
        <v>2529</v>
      </c>
      <c r="B2525">
        <v>0.98018197421672304</v>
      </c>
      <c r="C2525">
        <v>0.85148930758943697</v>
      </c>
      <c r="D2525">
        <v>0.85296084679603601</v>
      </c>
      <c r="E2525">
        <v>0.67781478596679501</v>
      </c>
      <c r="F2525">
        <v>0.41685435774283902</v>
      </c>
      <c r="G2525">
        <v>0.161753069811614</v>
      </c>
      <c r="H2525">
        <v>8.2131849344701593E-2</v>
      </c>
      <c r="I2525">
        <v>4.58622740971757E-2</v>
      </c>
      <c r="J2525">
        <v>7.8390092960367197E-2</v>
      </c>
      <c r="K2525">
        <v>4.37773912358786E-2</v>
      </c>
      <c r="L2525">
        <v>770.95892957374303</v>
      </c>
      <c r="M2525">
        <v>14.925898090284299</v>
      </c>
      <c r="N2525">
        <v>51.719469247470599</v>
      </c>
      <c r="O2525">
        <v>50.751870179015697</v>
      </c>
      <c r="P2525">
        <v>-7.2827020860818895E-2</v>
      </c>
      <c r="Q2525">
        <v>9.5803396589472702E-3</v>
      </c>
      <c r="R2525">
        <v>0.98657658916151403</v>
      </c>
      <c r="S2525" t="s">
        <v>6154</v>
      </c>
      <c r="T2525" t="s">
        <v>7256</v>
      </c>
      <c r="U2525" t="s">
        <v>7256</v>
      </c>
      <c r="V2525" t="s">
        <v>7256</v>
      </c>
      <c r="W2525">
        <v>3</v>
      </c>
      <c r="X2525" t="s">
        <v>9781</v>
      </c>
      <c r="Y2525">
        <v>0.41685462222998498</v>
      </c>
      <c r="Z2525" t="str">
        <f>HYPERLINK("Melting_Curves/meltCurve_sp_Q9H3H3_CK068_HUMAN_.pdf", "Melting_Curves/meltCurve_sp_Q9H3H3_CK068_HUMAN_.pdf")</f>
        <v>Melting_Curves/meltCurve_sp_Q9H3H3_CK068_HUMAN_.pdf</v>
      </c>
      <c r="AA2525" t="s">
        <v>13376</v>
      </c>
      <c r="AB2525" t="s">
        <v>16950</v>
      </c>
    </row>
    <row r="2526" spans="1:28" x14ac:dyDescent="0.25">
      <c r="A2526" t="s">
        <v>2530</v>
      </c>
      <c r="B2526">
        <v>0.98018197421672304</v>
      </c>
      <c r="C2526">
        <v>1.09497935408073</v>
      </c>
      <c r="D2526">
        <v>0.98014214154315604</v>
      </c>
      <c r="E2526">
        <v>0.84971968052294899</v>
      </c>
      <c r="F2526">
        <v>0.91949464887431698</v>
      </c>
      <c r="G2526">
        <v>0.78042521588526004</v>
      </c>
      <c r="H2526">
        <v>0.53163504454753596</v>
      </c>
      <c r="I2526">
        <v>0.50354724465225398</v>
      </c>
      <c r="J2526">
        <v>0.48649459652797</v>
      </c>
      <c r="K2526">
        <v>0.59387471811467196</v>
      </c>
      <c r="L2526">
        <v>1179.7533363642401</v>
      </c>
      <c r="M2526">
        <v>20.904273492307802</v>
      </c>
      <c r="O2526">
        <v>55.927164291245496</v>
      </c>
      <c r="P2526">
        <v>-4.6636282495320799E-2</v>
      </c>
      <c r="Q2526">
        <v>0.50093213428668903</v>
      </c>
      <c r="R2526">
        <v>0.91341051992549305</v>
      </c>
      <c r="S2526" t="s">
        <v>6155</v>
      </c>
      <c r="T2526" t="s">
        <v>7256</v>
      </c>
      <c r="U2526" t="s">
        <v>7256</v>
      </c>
      <c r="V2526" t="s">
        <v>7256</v>
      </c>
      <c r="W2526">
        <v>3</v>
      </c>
      <c r="X2526" t="s">
        <v>9782</v>
      </c>
      <c r="Y2526">
        <v>0.7802996450307389</v>
      </c>
      <c r="Z2526" t="str">
        <f>HYPERLINK("Melting_Curves/meltCurve_sp_Q9H3K6_BOLA2_HUMAN_.pdf", "Melting_Curves/meltCurve_sp_Q9H3K6_BOLA2_HUMAN_.pdf")</f>
        <v>Melting_Curves/meltCurve_sp_Q9H3K6_BOLA2_HUMAN_.pdf</v>
      </c>
      <c r="AA2526" t="s">
        <v>13377</v>
      </c>
      <c r="AB2526" t="s">
        <v>16951</v>
      </c>
    </row>
    <row r="2527" spans="1:28" x14ac:dyDescent="0.25">
      <c r="A2527" t="s">
        <v>2531</v>
      </c>
      <c r="B2527">
        <v>0.98018197421672304</v>
      </c>
      <c r="C2527">
        <v>0.93454310749866099</v>
      </c>
      <c r="D2527">
        <v>0.98638875768470402</v>
      </c>
      <c r="E2527">
        <v>0.85139272656008802</v>
      </c>
      <c r="F2527">
        <v>0.84345610744180899</v>
      </c>
      <c r="G2527">
        <v>0.56869208229957602</v>
      </c>
      <c r="H2527">
        <v>0.48006741660959801</v>
      </c>
      <c r="I2527">
        <v>0.43927901577105799</v>
      </c>
      <c r="J2527">
        <v>0.57972842956991599</v>
      </c>
      <c r="K2527">
        <v>0.60563154162666499</v>
      </c>
      <c r="L2527">
        <v>1361.03052315375</v>
      </c>
      <c r="M2527">
        <v>25.528513498621201</v>
      </c>
      <c r="O2527">
        <v>52.990195591862403</v>
      </c>
      <c r="P2527">
        <v>-5.7979113797430502E-2</v>
      </c>
      <c r="Q2527">
        <v>0.51861083197800395</v>
      </c>
      <c r="R2527">
        <v>0.91048576765235001</v>
      </c>
      <c r="S2527" t="s">
        <v>6156</v>
      </c>
      <c r="T2527" t="s">
        <v>7256</v>
      </c>
      <c r="U2527" t="s">
        <v>7256</v>
      </c>
      <c r="V2527" t="s">
        <v>7256</v>
      </c>
      <c r="W2527">
        <v>1</v>
      </c>
      <c r="X2527" t="s">
        <v>9783</v>
      </c>
      <c r="Y2527">
        <v>0.73652455858168397</v>
      </c>
      <c r="Z2527" t="str">
        <f>HYPERLINK("Melting_Curves/meltCurve_sp_Q9H3N1_TMX1_HUMAN_.pdf", "Melting_Curves/meltCurve_sp_Q9H3N1_TMX1_HUMAN_.pdf")</f>
        <v>Melting_Curves/meltCurve_sp_Q9H3N1_TMX1_HUMAN_.pdf</v>
      </c>
      <c r="AA2527" t="s">
        <v>13378</v>
      </c>
      <c r="AB2527" t="s">
        <v>16952</v>
      </c>
    </row>
    <row r="2528" spans="1:28" x14ac:dyDescent="0.25">
      <c r="A2528" t="s">
        <v>2532</v>
      </c>
      <c r="B2528">
        <v>0.98018197421672304</v>
      </c>
      <c r="C2528">
        <v>1.0078239017347199</v>
      </c>
      <c r="D2528">
        <v>0.88432348281860196</v>
      </c>
      <c r="E2528">
        <v>0.76688381883073597</v>
      </c>
      <c r="F2528">
        <v>0.60478310703735805</v>
      </c>
      <c r="G2528">
        <v>0.38317294217284098</v>
      </c>
      <c r="H2528">
        <v>0.353828814394403</v>
      </c>
      <c r="I2528">
        <v>0.37446573598268601</v>
      </c>
      <c r="J2528">
        <v>0.44387595781776801</v>
      </c>
      <c r="K2528">
        <v>0.515664030663325</v>
      </c>
      <c r="L2528">
        <v>1154.96024671547</v>
      </c>
      <c r="M2528">
        <v>22.779298816776699</v>
      </c>
      <c r="N2528">
        <v>54.772657759167501</v>
      </c>
      <c r="O2528">
        <v>50.316266534852403</v>
      </c>
      <c r="P2528">
        <v>-6.7003734083769598E-2</v>
      </c>
      <c r="Q2528">
        <v>0.40800396844520398</v>
      </c>
      <c r="R2528">
        <v>0.95105040113089701</v>
      </c>
      <c r="S2528" t="s">
        <v>6157</v>
      </c>
      <c r="T2528" t="s">
        <v>7256</v>
      </c>
      <c r="U2528" t="s">
        <v>7256</v>
      </c>
      <c r="V2528" t="s">
        <v>7256</v>
      </c>
      <c r="W2528">
        <v>4</v>
      </c>
      <c r="X2528" t="s">
        <v>9784</v>
      </c>
      <c r="Y2528">
        <v>0.62559346407442318</v>
      </c>
      <c r="Z2528" t="str">
        <f>HYPERLINK("Melting_Curves/meltCurve_sp_Q9H3P2_NELFA_HUMAN_.pdf", "Melting_Curves/meltCurve_sp_Q9H3P2_NELFA_HUMAN_.pdf")</f>
        <v>Melting_Curves/meltCurve_sp_Q9H3P2_NELFA_HUMAN_.pdf</v>
      </c>
      <c r="AA2528" t="s">
        <v>13379</v>
      </c>
      <c r="AB2528" t="s">
        <v>16953</v>
      </c>
    </row>
    <row r="2529" spans="1:28" x14ac:dyDescent="0.25">
      <c r="A2529" t="s">
        <v>2533</v>
      </c>
      <c r="B2529">
        <v>0.98018197421672304</v>
      </c>
      <c r="C2529">
        <v>1.10769694052818</v>
      </c>
      <c r="D2529">
        <v>1.0284533190574801</v>
      </c>
      <c r="E2529">
        <v>0.80843005389811495</v>
      </c>
      <c r="F2529">
        <v>0.53281255351575196</v>
      </c>
      <c r="G2529">
        <v>0.36030004324555198</v>
      </c>
      <c r="H2529">
        <v>0.30257180706990999</v>
      </c>
      <c r="I2529">
        <v>0.27247546282561902</v>
      </c>
      <c r="J2529">
        <v>0.30391576082543298</v>
      </c>
      <c r="K2529">
        <v>0.35636663131819701</v>
      </c>
      <c r="L2529">
        <v>1614.4999011213899</v>
      </c>
      <c r="M2529">
        <v>31.2360955628974</v>
      </c>
      <c r="N2529">
        <v>53.343215173487302</v>
      </c>
      <c r="O2529">
        <v>51.476528907650803</v>
      </c>
      <c r="P2529">
        <v>-0.104609356334325</v>
      </c>
      <c r="Q2529">
        <v>0.31042635449804001</v>
      </c>
      <c r="R2529">
        <v>0.98223837548597404</v>
      </c>
      <c r="S2529" t="s">
        <v>6158</v>
      </c>
      <c r="T2529" t="s">
        <v>7256</v>
      </c>
      <c r="U2529" t="s">
        <v>7256</v>
      </c>
      <c r="V2529" t="s">
        <v>7256</v>
      </c>
      <c r="W2529">
        <v>6</v>
      </c>
      <c r="X2529" t="s">
        <v>9785</v>
      </c>
      <c r="Y2529">
        <v>0.58310642636572207</v>
      </c>
      <c r="Z2529" t="str">
        <f>HYPERLINK("Melting_Curves/meltCurve_sp_Q9H3P7_GCP60_HUMAN_.pdf", "Melting_Curves/meltCurve_sp_Q9H3P7_GCP60_HUMAN_.pdf")</f>
        <v>Melting_Curves/meltCurve_sp_Q9H3P7_GCP60_HUMAN_.pdf</v>
      </c>
      <c r="AA2529" t="s">
        <v>13380</v>
      </c>
      <c r="AB2529" t="s">
        <v>16954</v>
      </c>
    </row>
    <row r="2530" spans="1:28" x14ac:dyDescent="0.25">
      <c r="A2530" t="s">
        <v>2534</v>
      </c>
      <c r="B2530">
        <v>0.98018197421672304</v>
      </c>
      <c r="C2530">
        <v>0.94398058800985196</v>
      </c>
      <c r="D2530">
        <v>0.88768237221331903</v>
      </c>
      <c r="E2530">
        <v>0.73463955962495497</v>
      </c>
      <c r="F2530">
        <v>0.42654793975476801</v>
      </c>
      <c r="G2530">
        <v>0.25643659943441099</v>
      </c>
      <c r="H2530">
        <v>0.16107182498283301</v>
      </c>
      <c r="I2530">
        <v>0.15118721870284499</v>
      </c>
      <c r="J2530">
        <v>0.17316919991270999</v>
      </c>
      <c r="K2530">
        <v>0.19972738919317601</v>
      </c>
      <c r="L2530">
        <v>1066.8482809116599</v>
      </c>
      <c r="M2530">
        <v>20.776628523695202</v>
      </c>
      <c r="N2530">
        <v>52.304954421336703</v>
      </c>
      <c r="O2530">
        <v>50.879882322436302</v>
      </c>
      <c r="P2530">
        <v>-8.5954664539248701E-2</v>
      </c>
      <c r="Q2530">
        <v>0.158046066577681</v>
      </c>
      <c r="R2530">
        <v>0.99224587536315101</v>
      </c>
      <c r="S2530" t="s">
        <v>6159</v>
      </c>
      <c r="T2530" t="s">
        <v>7256</v>
      </c>
      <c r="U2530" t="s">
        <v>7256</v>
      </c>
      <c r="V2530" t="s">
        <v>7256</v>
      </c>
      <c r="W2530">
        <v>13</v>
      </c>
      <c r="X2530" t="s">
        <v>9786</v>
      </c>
      <c r="Y2530">
        <v>0.48742256917101462</v>
      </c>
      <c r="Z2530" t="str">
        <f>HYPERLINK("Melting_Curves/meltCurve_sp_Q9H3S7_PTN23_HUMAN_.pdf", "Melting_Curves/meltCurve_sp_Q9H3S7_PTN23_HUMAN_.pdf")</f>
        <v>Melting_Curves/meltCurve_sp_Q9H3S7_PTN23_HUMAN_.pdf</v>
      </c>
      <c r="AA2530" t="s">
        <v>13381</v>
      </c>
      <c r="AB2530" t="s">
        <v>16955</v>
      </c>
    </row>
    <row r="2531" spans="1:28" x14ac:dyDescent="0.25">
      <c r="A2531" t="s">
        <v>2535</v>
      </c>
      <c r="B2531">
        <v>0.98018197421672304</v>
      </c>
      <c r="C2531">
        <v>0.96290192657403195</v>
      </c>
      <c r="D2531">
        <v>0.82330040810843697</v>
      </c>
      <c r="E2531">
        <v>0.38039259630503203</v>
      </c>
      <c r="F2531">
        <v>0.22988325857573599</v>
      </c>
      <c r="G2531">
        <v>0.13336434524406399</v>
      </c>
      <c r="H2531">
        <v>0.10454139183547501</v>
      </c>
      <c r="I2531">
        <v>6.9280074201584593E-2</v>
      </c>
      <c r="J2531">
        <v>0.13002901574582401</v>
      </c>
      <c r="K2531">
        <v>9.1815194487281801E-2</v>
      </c>
      <c r="L2531">
        <v>1162.9692050583401</v>
      </c>
      <c r="M2531">
        <v>23.953516813999801</v>
      </c>
      <c r="N2531">
        <v>49.009883361485898</v>
      </c>
      <c r="O2531">
        <v>48.216498006551497</v>
      </c>
      <c r="P2531">
        <v>-0.111725422354884</v>
      </c>
      <c r="Q2531">
        <v>0.100437329140735</v>
      </c>
      <c r="R2531">
        <v>0.99739206934052105</v>
      </c>
      <c r="S2531" t="s">
        <v>6160</v>
      </c>
      <c r="T2531" t="s">
        <v>7256</v>
      </c>
      <c r="U2531" t="s">
        <v>7256</v>
      </c>
      <c r="V2531" t="s">
        <v>7256</v>
      </c>
      <c r="W2531">
        <v>12</v>
      </c>
      <c r="X2531" t="s">
        <v>9787</v>
      </c>
      <c r="Y2531">
        <v>0.36554175674947759</v>
      </c>
      <c r="Z2531" t="str">
        <f>HYPERLINK("Melting_Curves/meltCurve_sp_Q9H3U1_2_UN45A_HUMAN_.pdf", "Melting_Curves/meltCurve_sp_Q9H3U1_2_UN45A_HUMAN_.pdf")</f>
        <v>Melting_Curves/meltCurve_sp_Q9H3U1_2_UN45A_HUMAN_.pdf</v>
      </c>
      <c r="AA2531" t="s">
        <v>13382</v>
      </c>
      <c r="AB2531" t="s">
        <v>16956</v>
      </c>
    </row>
    <row r="2532" spans="1:28" x14ac:dyDescent="0.25">
      <c r="A2532" t="s">
        <v>2536</v>
      </c>
      <c r="B2532">
        <v>0.98018197421672304</v>
      </c>
      <c r="C2532">
        <v>0.73009345671683301</v>
      </c>
      <c r="D2532">
        <v>0.59103715180191896</v>
      </c>
      <c r="E2532">
        <v>0.52052837114025696</v>
      </c>
      <c r="F2532">
        <v>0.90267228627278895</v>
      </c>
      <c r="G2532">
        <v>0.64910561179267801</v>
      </c>
      <c r="H2532">
        <v>0.21482194884939099</v>
      </c>
      <c r="I2532">
        <v>0.63793354260984103</v>
      </c>
      <c r="J2532">
        <v>0.35934550940384602</v>
      </c>
      <c r="K2532">
        <v>0.93787306876380205</v>
      </c>
      <c r="L2532">
        <v>2363.3016161450701</v>
      </c>
      <c r="M2532">
        <v>55.846341143063803</v>
      </c>
      <c r="O2532">
        <v>42.263772443134002</v>
      </c>
      <c r="P2532">
        <v>-0.13173242558503401</v>
      </c>
      <c r="Q2532">
        <v>0.60122678771078897</v>
      </c>
      <c r="R2532">
        <v>0.240720020268613</v>
      </c>
      <c r="S2532" t="s">
        <v>6161</v>
      </c>
      <c r="T2532" t="s">
        <v>7256</v>
      </c>
      <c r="U2532" t="s">
        <v>7256</v>
      </c>
      <c r="V2532" t="s">
        <v>7256</v>
      </c>
      <c r="W2532">
        <v>1</v>
      </c>
      <c r="X2532" t="s">
        <v>9788</v>
      </c>
      <c r="Y2532">
        <v>0.63296948098551653</v>
      </c>
      <c r="Z2532" t="str">
        <f>HYPERLINK("Melting_Curves/meltCurve_sp_Q9H3Y8_PPDPF_HUMAN_.pdf", "Melting_Curves/meltCurve_sp_Q9H3Y8_PPDPF_HUMAN_.pdf")</f>
        <v>Melting_Curves/meltCurve_sp_Q9H3Y8_PPDPF_HUMAN_.pdf</v>
      </c>
      <c r="AA2532" t="s">
        <v>13383</v>
      </c>
      <c r="AB2532" t="s">
        <v>16957</v>
      </c>
    </row>
    <row r="2533" spans="1:28" x14ac:dyDescent="0.25">
      <c r="A2533" t="s">
        <v>2537</v>
      </c>
      <c r="B2533">
        <v>0.98018197421672304</v>
      </c>
      <c r="C2533">
        <v>0.87968569270611296</v>
      </c>
      <c r="D2533">
        <v>0.83121398075853503</v>
      </c>
      <c r="E2533">
        <v>0.76655584456048798</v>
      </c>
      <c r="F2533">
        <v>0.615381741469467</v>
      </c>
      <c r="G2533">
        <v>0.31395081839678501</v>
      </c>
      <c r="H2533">
        <v>0.40564231468510997</v>
      </c>
      <c r="I2533">
        <v>0.47428226400055301</v>
      </c>
      <c r="J2533">
        <v>0.52331628950158904</v>
      </c>
      <c r="K2533">
        <v>0.306653921324679</v>
      </c>
      <c r="L2533">
        <v>691.99741973842902</v>
      </c>
      <c r="M2533">
        <v>13.8337935689904</v>
      </c>
      <c r="N2533">
        <v>55.751051913775697</v>
      </c>
      <c r="O2533">
        <v>49.011726370872097</v>
      </c>
      <c r="P2533">
        <v>-4.3803097758408398E-2</v>
      </c>
      <c r="Q2533">
        <v>0.37932633966204099</v>
      </c>
      <c r="R2533">
        <v>0.87539963971352097</v>
      </c>
      <c r="S2533" t="s">
        <v>6162</v>
      </c>
      <c r="T2533" t="s">
        <v>7256</v>
      </c>
      <c r="U2533" t="s">
        <v>7256</v>
      </c>
      <c r="V2533" t="s">
        <v>7256</v>
      </c>
      <c r="W2533">
        <v>2</v>
      </c>
      <c r="X2533" t="s">
        <v>9789</v>
      </c>
      <c r="Y2533">
        <v>0.60369639218106785</v>
      </c>
      <c r="Z2533" t="str">
        <f>HYPERLINK("Melting_Curves/meltCurve_sp_Q9H400_2_LIME1_HUMAN_.pdf", "Melting_Curves/meltCurve_sp_Q9H400_2_LIME1_HUMAN_.pdf")</f>
        <v>Melting_Curves/meltCurve_sp_Q9H400_2_LIME1_HUMAN_.pdf</v>
      </c>
      <c r="AA2533" t="s">
        <v>13384</v>
      </c>
      <c r="AB2533" t="s">
        <v>16958</v>
      </c>
    </row>
    <row r="2534" spans="1:28" x14ac:dyDescent="0.25">
      <c r="A2534" t="s">
        <v>2538</v>
      </c>
      <c r="B2534">
        <v>0.98018197421672304</v>
      </c>
      <c r="C2534">
        <v>0.936872959597991</v>
      </c>
      <c r="D2534">
        <v>0.94332091101740101</v>
      </c>
      <c r="E2534">
        <v>0.84848497211454998</v>
      </c>
      <c r="F2534">
        <v>0.79157334558700598</v>
      </c>
      <c r="G2534">
        <v>0.559696943936699</v>
      </c>
      <c r="H2534">
        <v>0.65936859374957202</v>
      </c>
      <c r="I2534">
        <v>0.68789013903240903</v>
      </c>
      <c r="J2534">
        <v>0.88162234185187405</v>
      </c>
      <c r="K2534">
        <v>0.90875699654470599</v>
      </c>
      <c r="L2534">
        <v>1274.28111664521</v>
      </c>
      <c r="M2534">
        <v>26.2712962351196</v>
      </c>
      <c r="O2534">
        <v>48.226264011528201</v>
      </c>
      <c r="P2534">
        <v>-3.4680136574425299E-2</v>
      </c>
      <c r="Q2534">
        <v>0.74535326472033003</v>
      </c>
      <c r="R2534">
        <v>0.457893714398035</v>
      </c>
      <c r="S2534" t="s">
        <v>6163</v>
      </c>
      <c r="T2534" t="s">
        <v>7256</v>
      </c>
      <c r="U2534" t="s">
        <v>7256</v>
      </c>
      <c r="V2534" t="s">
        <v>7256</v>
      </c>
      <c r="W2534">
        <v>8</v>
      </c>
      <c r="X2534" t="s">
        <v>9790</v>
      </c>
      <c r="Y2534">
        <v>0.81957276331950235</v>
      </c>
      <c r="Z2534" t="str">
        <f>HYPERLINK("Melting_Curves/meltCurve_sp_Q9H444_CHM4B_HUMAN_.pdf", "Melting_Curves/meltCurve_sp_Q9H444_CHM4B_HUMAN_.pdf")</f>
        <v>Melting_Curves/meltCurve_sp_Q9H444_CHM4B_HUMAN_.pdf</v>
      </c>
      <c r="AA2534" t="s">
        <v>13385</v>
      </c>
      <c r="AB2534" t="s">
        <v>16959</v>
      </c>
    </row>
    <row r="2535" spans="1:28" x14ac:dyDescent="0.25">
      <c r="A2535" t="s">
        <v>2539</v>
      </c>
      <c r="B2535">
        <v>0.98018197421672304</v>
      </c>
      <c r="C2535">
        <v>0.98801142676113896</v>
      </c>
      <c r="D2535">
        <v>0.92585786361068201</v>
      </c>
      <c r="E2535">
        <v>0.73221607121003496</v>
      </c>
      <c r="F2535">
        <v>0.57055117217560603</v>
      </c>
      <c r="G2535">
        <v>0.26311168891412201</v>
      </c>
      <c r="H2535">
        <v>8.2105615197012205E-2</v>
      </c>
      <c r="I2535">
        <v>6.3442434677420001E-2</v>
      </c>
      <c r="J2535">
        <v>5.5127838626535502E-2</v>
      </c>
      <c r="K2535">
        <v>5.01803403225594E-2</v>
      </c>
      <c r="L2535">
        <v>895.78501243012795</v>
      </c>
      <c r="M2535">
        <v>16.787802715169899</v>
      </c>
      <c r="N2535">
        <v>53.439710556815903</v>
      </c>
      <c r="O2535">
        <v>52.619391680241797</v>
      </c>
      <c r="P2535">
        <v>-7.8770636813694894E-2</v>
      </c>
      <c r="Q2535">
        <v>1.24749546633927E-2</v>
      </c>
      <c r="R2535">
        <v>0.99711041780573595</v>
      </c>
      <c r="S2535" t="s">
        <v>6164</v>
      </c>
      <c r="T2535" t="s">
        <v>7256</v>
      </c>
      <c r="U2535" t="s">
        <v>7256</v>
      </c>
      <c r="V2535" t="s">
        <v>7256</v>
      </c>
      <c r="W2535">
        <v>11</v>
      </c>
      <c r="X2535" t="s">
        <v>9791</v>
      </c>
      <c r="Y2535">
        <v>0.47007550309366719</v>
      </c>
      <c r="Z2535" t="str">
        <f>HYPERLINK("Melting_Curves/meltCurve_sp_Q9H479_FN3K_HUMAN_.pdf", "Melting_Curves/meltCurve_sp_Q9H479_FN3K_HUMAN_.pdf")</f>
        <v>Melting_Curves/meltCurve_sp_Q9H479_FN3K_HUMAN_.pdf</v>
      </c>
      <c r="AA2535" t="s">
        <v>13386</v>
      </c>
      <c r="AB2535" t="s">
        <v>16960</v>
      </c>
    </row>
    <row r="2536" spans="1:28" x14ac:dyDescent="0.25">
      <c r="A2536" t="s">
        <v>2540</v>
      </c>
      <c r="B2536">
        <v>0.98018197421672304</v>
      </c>
      <c r="C2536">
        <v>1.07792390496971</v>
      </c>
      <c r="D2536">
        <v>0.869930717705371</v>
      </c>
      <c r="E2536">
        <v>0.74311023423232303</v>
      </c>
      <c r="F2536">
        <v>0.50479910374180803</v>
      </c>
      <c r="G2536">
        <v>0.14502369396293399</v>
      </c>
      <c r="H2536">
        <v>8.9735573728012594E-2</v>
      </c>
      <c r="I2536">
        <v>7.8941425503626594E-2</v>
      </c>
      <c r="J2536">
        <v>4.5570126132621798E-2</v>
      </c>
      <c r="K2536">
        <v>2.19841771048097E-2</v>
      </c>
      <c r="L2536">
        <v>1047.2967990265299</v>
      </c>
      <c r="M2536">
        <v>19.937588519041999</v>
      </c>
      <c r="N2536">
        <v>52.673381709681202</v>
      </c>
      <c r="O2536">
        <v>52.008864159010798</v>
      </c>
      <c r="P2536">
        <v>-9.3287956786339402E-2</v>
      </c>
      <c r="Q2536">
        <v>2.6634170700475902E-2</v>
      </c>
      <c r="R2536">
        <v>0.98874787915126605</v>
      </c>
      <c r="S2536" t="s">
        <v>6165</v>
      </c>
      <c r="T2536" t="s">
        <v>7256</v>
      </c>
      <c r="U2536" t="s">
        <v>7256</v>
      </c>
      <c r="V2536" t="s">
        <v>7256</v>
      </c>
      <c r="W2536">
        <v>7</v>
      </c>
      <c r="X2536" t="s">
        <v>9792</v>
      </c>
      <c r="Y2536">
        <v>0.44664370495744821</v>
      </c>
      <c r="Z2536" t="str">
        <f>HYPERLINK("Melting_Curves/meltCurve_sp_Q9H488_OFUT1_HUMAN_.pdf", "Melting_Curves/meltCurve_sp_Q9H488_OFUT1_HUMAN_.pdf")</f>
        <v>Melting_Curves/meltCurve_sp_Q9H488_OFUT1_HUMAN_.pdf</v>
      </c>
      <c r="AA2536" t="s">
        <v>13387</v>
      </c>
      <c r="AB2536" t="s">
        <v>16961</v>
      </c>
    </row>
    <row r="2537" spans="1:28" x14ac:dyDescent="0.25">
      <c r="A2537" t="s">
        <v>2541</v>
      </c>
      <c r="B2537">
        <v>0.98018197421672304</v>
      </c>
      <c r="C2537">
        <v>0.95771275524836896</v>
      </c>
      <c r="D2537">
        <v>0.94022279546568599</v>
      </c>
      <c r="E2537">
        <v>0.73548965307890202</v>
      </c>
      <c r="F2537">
        <v>0.361692943752566</v>
      </c>
      <c r="G2537">
        <v>0.114744202519714</v>
      </c>
      <c r="H2537">
        <v>6.6033975853598895E-2</v>
      </c>
      <c r="I2537">
        <v>5.3475607356518302E-2</v>
      </c>
      <c r="J2537">
        <v>5.7373491218008998E-2</v>
      </c>
      <c r="K2537">
        <v>3.7558601031055502E-2</v>
      </c>
      <c r="L2537">
        <v>1377.8188404966099</v>
      </c>
      <c r="M2537">
        <v>26.668339254583</v>
      </c>
      <c r="N2537">
        <v>51.853173947960897</v>
      </c>
      <c r="O2537">
        <v>51.377083059047401</v>
      </c>
      <c r="P2537">
        <v>-0.12378292600427999</v>
      </c>
      <c r="Q2537">
        <v>4.6128926615258102E-2</v>
      </c>
      <c r="R2537">
        <v>0.998182953551638</v>
      </c>
      <c r="S2537" t="s">
        <v>6166</v>
      </c>
      <c r="T2537" t="s">
        <v>7256</v>
      </c>
      <c r="U2537" t="s">
        <v>7256</v>
      </c>
      <c r="V2537" t="s">
        <v>7256</v>
      </c>
      <c r="W2537">
        <v>23</v>
      </c>
      <c r="X2537" t="s">
        <v>9793</v>
      </c>
      <c r="Y2537">
        <v>0.4246756749607361</v>
      </c>
      <c r="Z2537" t="str">
        <f>HYPERLINK("Melting_Curves/meltCurve_sp_Q9H4A4_AMPB_HUMAN_.pdf", "Melting_Curves/meltCurve_sp_Q9H4A4_AMPB_HUMAN_.pdf")</f>
        <v>Melting_Curves/meltCurve_sp_Q9H4A4_AMPB_HUMAN_.pdf</v>
      </c>
      <c r="AA2537" t="s">
        <v>13388</v>
      </c>
      <c r="AB2537" t="s">
        <v>16962</v>
      </c>
    </row>
    <row r="2538" spans="1:28" x14ac:dyDescent="0.25">
      <c r="A2538" t="s">
        <v>2542</v>
      </c>
      <c r="B2538">
        <v>0.98018197421672304</v>
      </c>
      <c r="C2538">
        <v>0.921790505803875</v>
      </c>
      <c r="D2538">
        <v>0.77987225310254804</v>
      </c>
      <c r="E2538">
        <v>0.42937101915280301</v>
      </c>
      <c r="F2538">
        <v>0.248358710158364</v>
      </c>
      <c r="G2538">
        <v>0.16201030443749301</v>
      </c>
      <c r="H2538">
        <v>0.10267630341222</v>
      </c>
      <c r="I2538">
        <v>7.0248869216591001E-2</v>
      </c>
      <c r="J2538">
        <v>7.6391117767749095E-2</v>
      </c>
      <c r="K2538">
        <v>5.9555071219218901E-2</v>
      </c>
      <c r="L2538">
        <v>864.07207846811696</v>
      </c>
      <c r="M2538">
        <v>17.684939005851501</v>
      </c>
      <c r="N2538">
        <v>49.263502556806202</v>
      </c>
      <c r="O2538">
        <v>48.2473207352812</v>
      </c>
      <c r="P2538">
        <v>-8.5451513480512095E-2</v>
      </c>
      <c r="Q2538">
        <v>6.7548102454022305E-2</v>
      </c>
      <c r="R2538">
        <v>0.99890895396746504</v>
      </c>
      <c r="S2538" t="s">
        <v>6167</v>
      </c>
      <c r="T2538" t="s">
        <v>7256</v>
      </c>
      <c r="U2538" t="s">
        <v>7256</v>
      </c>
      <c r="V2538" t="s">
        <v>7256</v>
      </c>
      <c r="W2538">
        <v>5</v>
      </c>
      <c r="X2538" t="s">
        <v>9794</v>
      </c>
      <c r="Y2538">
        <v>0.35968583594016662</v>
      </c>
      <c r="Z2538" t="str">
        <f>HYPERLINK("Melting_Curves/meltCurve_sp_Q9H4B0_OSGP2_HUMAN_.pdf", "Melting_Curves/meltCurve_sp_Q9H4B0_OSGP2_HUMAN_.pdf")</f>
        <v>Melting_Curves/meltCurve_sp_Q9H4B0_OSGP2_HUMAN_.pdf</v>
      </c>
      <c r="AA2538" t="s">
        <v>13389</v>
      </c>
      <c r="AB2538" t="s">
        <v>16963</v>
      </c>
    </row>
    <row r="2539" spans="1:28" x14ac:dyDescent="0.25">
      <c r="A2539" t="s">
        <v>2543</v>
      </c>
      <c r="B2539">
        <v>0.98018197421672304</v>
      </c>
      <c r="C2539">
        <v>1.00436182764937</v>
      </c>
      <c r="D2539">
        <v>0.79915644657645402</v>
      </c>
      <c r="E2539">
        <v>0.75036998059721005</v>
      </c>
      <c r="F2539">
        <v>0.568921018553733</v>
      </c>
      <c r="G2539">
        <v>0.39415545159606602</v>
      </c>
      <c r="H2539">
        <v>0.32259767048918198</v>
      </c>
      <c r="I2539">
        <v>0.254539290406534</v>
      </c>
      <c r="J2539">
        <v>0.36920532080850599</v>
      </c>
      <c r="K2539">
        <v>0.35373553394441698</v>
      </c>
      <c r="L2539">
        <v>766.55846848964597</v>
      </c>
      <c r="M2539">
        <v>15.028902312002</v>
      </c>
      <c r="N2539">
        <v>54.256586731895503</v>
      </c>
      <c r="O2539">
        <v>50.128129864162197</v>
      </c>
      <c r="P2539">
        <v>-5.2710450056973002E-2</v>
      </c>
      <c r="Q2539">
        <v>0.29681863184593399</v>
      </c>
      <c r="R2539">
        <v>0.96685617845625405</v>
      </c>
      <c r="S2539" t="s">
        <v>6168</v>
      </c>
      <c r="T2539" t="s">
        <v>7256</v>
      </c>
      <c r="U2539" t="s">
        <v>7256</v>
      </c>
      <c r="V2539" t="s">
        <v>7256</v>
      </c>
      <c r="W2539">
        <v>1</v>
      </c>
      <c r="X2539" t="s">
        <v>9795</v>
      </c>
      <c r="Y2539">
        <v>0.57097587947330131</v>
      </c>
      <c r="Z2539" t="str">
        <f>HYPERLINK("Melting_Curves/meltCurve_sp_Q9H4I2_ZHX3_HUMAN_.pdf", "Melting_Curves/meltCurve_sp_Q9H4I2_ZHX3_HUMAN_.pdf")</f>
        <v>Melting_Curves/meltCurve_sp_Q9H4I2_ZHX3_HUMAN_.pdf</v>
      </c>
      <c r="AA2539" t="s">
        <v>13390</v>
      </c>
      <c r="AB2539" t="s">
        <v>16964</v>
      </c>
    </row>
    <row r="2540" spans="1:28" x14ac:dyDescent="0.25">
      <c r="A2540" t="s">
        <v>2544</v>
      </c>
      <c r="B2540">
        <v>0.98018197421672304</v>
      </c>
      <c r="C2540">
        <v>0.92925120347475099</v>
      </c>
      <c r="D2540">
        <v>0.77248417356930099</v>
      </c>
      <c r="E2540">
        <v>0.50481505951070305</v>
      </c>
      <c r="F2540">
        <v>0.16362910862376201</v>
      </c>
      <c r="G2540">
        <v>0.103104124403471</v>
      </c>
      <c r="H2540">
        <v>6.4987229123047496E-2</v>
      </c>
      <c r="I2540">
        <v>4.9449245233837501E-2</v>
      </c>
      <c r="J2540">
        <v>6.3462568197979699E-2</v>
      </c>
      <c r="K2540">
        <v>4.2295784524186898E-2</v>
      </c>
      <c r="L2540">
        <v>949.382972042441</v>
      </c>
      <c r="M2540">
        <v>19.314929715155099</v>
      </c>
      <c r="N2540">
        <v>49.362048780219297</v>
      </c>
      <c r="O2540">
        <v>48.635022776891702</v>
      </c>
      <c r="P2540">
        <v>-9.5386103704092701E-2</v>
      </c>
      <c r="Q2540">
        <v>3.9306538500967401E-2</v>
      </c>
      <c r="R2540">
        <v>0.99301503145611203</v>
      </c>
      <c r="S2540" t="s">
        <v>6169</v>
      </c>
      <c r="T2540" t="s">
        <v>7256</v>
      </c>
      <c r="U2540" t="s">
        <v>7256</v>
      </c>
      <c r="V2540" t="s">
        <v>7256</v>
      </c>
      <c r="W2540">
        <v>12</v>
      </c>
      <c r="X2540" t="s">
        <v>9796</v>
      </c>
      <c r="Y2540">
        <v>0.34682450987545932</v>
      </c>
      <c r="Z2540" t="str">
        <f>HYPERLINK("Melting_Curves/meltCurve_sp_Q9H4M9_EHD1_HUMAN_.pdf", "Melting_Curves/meltCurve_sp_Q9H4M9_EHD1_HUMAN_.pdf")</f>
        <v>Melting_Curves/meltCurve_sp_Q9H4M9_EHD1_HUMAN_.pdf</v>
      </c>
      <c r="AA2540" t="s">
        <v>13391</v>
      </c>
      <c r="AB2540" t="s">
        <v>16965</v>
      </c>
    </row>
    <row r="2541" spans="1:28" x14ac:dyDescent="0.25">
      <c r="A2541" t="s">
        <v>2545</v>
      </c>
      <c r="B2541">
        <v>0.98018197421672304</v>
      </c>
      <c r="C2541">
        <v>0.81473751463343003</v>
      </c>
      <c r="D2541">
        <v>0.87880887344747005</v>
      </c>
      <c r="E2541">
        <v>0.73351524161800197</v>
      </c>
      <c r="F2541">
        <v>0.60817297441597096</v>
      </c>
      <c r="G2541">
        <v>0.429744099298486</v>
      </c>
      <c r="H2541">
        <v>0.362691440892904</v>
      </c>
      <c r="I2541">
        <v>0.34106947028803503</v>
      </c>
      <c r="J2541">
        <v>0.47914585889802802</v>
      </c>
      <c r="K2541">
        <v>0.49474570391448502</v>
      </c>
      <c r="L2541">
        <v>661.38113046744695</v>
      </c>
      <c r="M2541">
        <v>13.291588375163601</v>
      </c>
      <c r="N2541">
        <v>56.221288424060397</v>
      </c>
      <c r="O2541">
        <v>48.673492896010202</v>
      </c>
      <c r="P2541">
        <v>-4.1549687446703003E-2</v>
      </c>
      <c r="Q2541">
        <v>0.391482575457614</v>
      </c>
      <c r="R2541">
        <v>0.89804583105747604</v>
      </c>
      <c r="S2541" t="s">
        <v>6170</v>
      </c>
      <c r="T2541" t="s">
        <v>7256</v>
      </c>
      <c r="U2541" t="s">
        <v>7256</v>
      </c>
      <c r="V2541" t="s">
        <v>7256</v>
      </c>
      <c r="W2541">
        <v>6</v>
      </c>
      <c r="X2541" t="s">
        <v>9797</v>
      </c>
      <c r="Y2541">
        <v>0.6075053864362886</v>
      </c>
      <c r="Z2541" t="str">
        <f>HYPERLINK("Melting_Curves/meltCurve_sp_Q9H5N1_RABE2_HUMAN_.pdf", "Melting_Curves/meltCurve_sp_Q9H5N1_RABE2_HUMAN_.pdf")</f>
        <v>Melting_Curves/meltCurve_sp_Q9H5N1_RABE2_HUMAN_.pdf</v>
      </c>
      <c r="AA2541" t="s">
        <v>13392</v>
      </c>
      <c r="AB2541" t="s">
        <v>16966</v>
      </c>
    </row>
    <row r="2542" spans="1:28" x14ac:dyDescent="0.25">
      <c r="A2542" t="s">
        <v>2546</v>
      </c>
      <c r="B2542">
        <v>0.98018197421672304</v>
      </c>
      <c r="C2542">
        <v>1.1435246308703799</v>
      </c>
      <c r="D2542">
        <v>0.82100409692380905</v>
      </c>
      <c r="E2542">
        <v>0.58020389489227897</v>
      </c>
      <c r="F2542">
        <v>0.278719027720641</v>
      </c>
      <c r="G2542">
        <v>0.144527828969883</v>
      </c>
      <c r="H2542">
        <v>7.1168588899715196E-2</v>
      </c>
      <c r="I2542">
        <v>4.96109171131488E-2</v>
      </c>
      <c r="J2542">
        <v>3.6622415782961298E-2</v>
      </c>
      <c r="K2542">
        <v>2.1967666312111601E-2</v>
      </c>
      <c r="L2542">
        <v>1048.5879279575099</v>
      </c>
      <c r="M2542">
        <v>20.783228615894298</v>
      </c>
      <c r="N2542">
        <v>50.641374124514599</v>
      </c>
      <c r="O2542">
        <v>49.993423475782897</v>
      </c>
      <c r="P2542">
        <v>-0.100077740440078</v>
      </c>
      <c r="Q2542">
        <v>3.7091101071953597E-2</v>
      </c>
      <c r="R2542">
        <v>0.97959120778079201</v>
      </c>
      <c r="S2542" t="s">
        <v>6171</v>
      </c>
      <c r="T2542" t="s">
        <v>7256</v>
      </c>
      <c r="U2542" t="s">
        <v>7256</v>
      </c>
      <c r="V2542" t="s">
        <v>7256</v>
      </c>
      <c r="W2542">
        <v>4</v>
      </c>
      <c r="X2542" t="s">
        <v>9798</v>
      </c>
      <c r="Y2542">
        <v>0.38505046609079813</v>
      </c>
      <c r="Z2542" t="str">
        <f>HYPERLINK("Melting_Curves/meltCurve_sp_Q9H5Q4_TFB2M_HUMAN_.pdf", "Melting_Curves/meltCurve_sp_Q9H5Q4_TFB2M_HUMAN_.pdf")</f>
        <v>Melting_Curves/meltCurve_sp_Q9H5Q4_TFB2M_HUMAN_.pdf</v>
      </c>
      <c r="AA2542" t="s">
        <v>13393</v>
      </c>
      <c r="AB2542" t="s">
        <v>16967</v>
      </c>
    </row>
    <row r="2543" spans="1:28" x14ac:dyDescent="0.25">
      <c r="A2543" t="s">
        <v>2547</v>
      </c>
      <c r="B2543">
        <v>0.98018197421672304</v>
      </c>
      <c r="C2543">
        <v>1.05451012059066</v>
      </c>
      <c r="D2543">
        <v>0.97575456359872903</v>
      </c>
      <c r="E2543">
        <v>0.86726529517110695</v>
      </c>
      <c r="F2543">
        <v>0.85192922204683497</v>
      </c>
      <c r="G2543">
        <v>0.72635701294814103</v>
      </c>
      <c r="H2543">
        <v>0.49660221803804699</v>
      </c>
      <c r="I2543">
        <v>0.40922201323854801</v>
      </c>
      <c r="J2543">
        <v>0.31924488470294599</v>
      </c>
      <c r="K2543">
        <v>0.24137476883446901</v>
      </c>
      <c r="L2543">
        <v>655.75680727921497</v>
      </c>
      <c r="M2543">
        <v>10.767310251724799</v>
      </c>
      <c r="N2543">
        <v>61.5710604647943</v>
      </c>
      <c r="O2543">
        <v>58.914652094245398</v>
      </c>
      <c r="P2543">
        <v>-4.3185624119565197E-2</v>
      </c>
      <c r="Q2543">
        <v>5.5164461963247903E-2</v>
      </c>
      <c r="R2543">
        <v>0.98904768185332304</v>
      </c>
      <c r="S2543" t="s">
        <v>6172</v>
      </c>
      <c r="T2543" t="s">
        <v>7256</v>
      </c>
      <c r="U2543" t="s">
        <v>7256</v>
      </c>
      <c r="V2543" t="s">
        <v>7256</v>
      </c>
      <c r="W2543">
        <v>2</v>
      </c>
      <c r="X2543" t="s">
        <v>9799</v>
      </c>
      <c r="Y2543">
        <v>0.70613324004767153</v>
      </c>
      <c r="Z2543" t="str">
        <f>HYPERLINK("Melting_Curves/meltCurve_sp_Q9H5X1_FA96A_HUMAN_.pdf", "Melting_Curves/meltCurve_sp_Q9H5X1_FA96A_HUMAN_.pdf")</f>
        <v>Melting_Curves/meltCurve_sp_Q9H5X1_FA96A_HUMAN_.pdf</v>
      </c>
      <c r="AA2543" t="s">
        <v>13394</v>
      </c>
      <c r="AB2543" t="s">
        <v>16968</v>
      </c>
    </row>
    <row r="2544" spans="1:28" x14ac:dyDescent="0.25">
      <c r="A2544" t="s">
        <v>2548</v>
      </c>
      <c r="B2544">
        <v>0.98018197421672304</v>
      </c>
      <c r="C2544">
        <v>0.87468713855024005</v>
      </c>
      <c r="D2544">
        <v>0.94108877514411704</v>
      </c>
      <c r="E2544">
        <v>0.70646797912423398</v>
      </c>
      <c r="F2544">
        <v>0.295820520008307</v>
      </c>
      <c r="G2544">
        <v>0.19684281080939001</v>
      </c>
      <c r="H2544">
        <v>0.117292258321246</v>
      </c>
      <c r="I2544">
        <v>6.6731723098004903E-2</v>
      </c>
      <c r="J2544">
        <v>8.5795986919310299E-2</v>
      </c>
      <c r="K2544">
        <v>3.9199199868396602E-2</v>
      </c>
      <c r="L2544">
        <v>1248.07335572702</v>
      </c>
      <c r="M2544">
        <v>24.392042779597201</v>
      </c>
      <c r="N2544">
        <v>51.511019678369401</v>
      </c>
      <c r="O2544">
        <v>50.827041487886902</v>
      </c>
      <c r="P2544">
        <v>-0.110965203255078</v>
      </c>
      <c r="Q2544">
        <v>7.5116517694121004E-2</v>
      </c>
      <c r="R2544">
        <v>0.98305575426386405</v>
      </c>
      <c r="S2544" t="s">
        <v>6173</v>
      </c>
      <c r="T2544" t="s">
        <v>7256</v>
      </c>
      <c r="U2544" t="s">
        <v>7256</v>
      </c>
      <c r="V2544" t="s">
        <v>7256</v>
      </c>
      <c r="W2544">
        <v>3</v>
      </c>
      <c r="X2544" t="s">
        <v>9800</v>
      </c>
      <c r="Y2544">
        <v>0.42817980476017409</v>
      </c>
      <c r="Z2544" t="str">
        <f>HYPERLINK("Melting_Curves/meltCurve_sp_Q9H6Q4_3_NARFL_HUMAN_.pdf", "Melting_Curves/meltCurve_sp_Q9H6Q4_3_NARFL_HUMAN_.pdf")</f>
        <v>Melting_Curves/meltCurve_sp_Q9H6Q4_3_NARFL_HUMAN_.pdf</v>
      </c>
      <c r="AA2544" t="s">
        <v>13395</v>
      </c>
      <c r="AB2544" t="s">
        <v>16969</v>
      </c>
    </row>
    <row r="2545" spans="1:28" x14ac:dyDescent="0.25">
      <c r="A2545" t="s">
        <v>2549</v>
      </c>
      <c r="B2545">
        <v>0.98018197421672304</v>
      </c>
      <c r="C2545">
        <v>0.98569878674536904</v>
      </c>
      <c r="D2545">
        <v>0.95541994041631395</v>
      </c>
      <c r="E2545">
        <v>0.80953484691634603</v>
      </c>
      <c r="F2545">
        <v>0.56387326746334299</v>
      </c>
      <c r="G2545">
        <v>0.17357815111503</v>
      </c>
      <c r="H2545">
        <v>7.4786491838784705E-2</v>
      </c>
      <c r="I2545">
        <v>5.2801169621418703E-2</v>
      </c>
      <c r="J2545">
        <v>5.06196402133329E-2</v>
      </c>
      <c r="K2545">
        <v>3.30472241144864E-2</v>
      </c>
      <c r="L2545">
        <v>1256.2371511490801</v>
      </c>
      <c r="M2545">
        <v>23.608986583828798</v>
      </c>
      <c r="N2545">
        <v>53.356745268988</v>
      </c>
      <c r="O2545">
        <v>52.832775319763797</v>
      </c>
      <c r="P2545">
        <v>-0.10820870904615</v>
      </c>
      <c r="Q2545">
        <v>3.14078228024878E-2</v>
      </c>
      <c r="R2545">
        <v>0.99842990919529995</v>
      </c>
      <c r="S2545" t="s">
        <v>6174</v>
      </c>
      <c r="T2545" t="s">
        <v>7256</v>
      </c>
      <c r="U2545" t="s">
        <v>7256</v>
      </c>
      <c r="V2545" t="s">
        <v>7256</v>
      </c>
      <c r="W2545">
        <v>23</v>
      </c>
      <c r="X2545" t="s">
        <v>9801</v>
      </c>
      <c r="Y2545">
        <v>0.46784234122986729</v>
      </c>
      <c r="Z2545" t="str">
        <f>HYPERLINK("Melting_Curves/meltCurve_sp_Q9H6R3_ACSS3_HUMAN_.pdf", "Melting_Curves/meltCurve_sp_Q9H6R3_ACSS3_HUMAN_.pdf")</f>
        <v>Melting_Curves/meltCurve_sp_Q9H6R3_ACSS3_HUMAN_.pdf</v>
      </c>
      <c r="AA2545" t="s">
        <v>13396</v>
      </c>
      <c r="AB2545" t="s">
        <v>16970</v>
      </c>
    </row>
    <row r="2546" spans="1:28" x14ac:dyDescent="0.25">
      <c r="A2546" t="s">
        <v>2550</v>
      </c>
      <c r="B2546">
        <v>0.98018197421672304</v>
      </c>
      <c r="C2546">
        <v>1.05387388006864</v>
      </c>
      <c r="D2546">
        <v>1.0070838255914401</v>
      </c>
      <c r="E2546">
        <v>0.88933479624385403</v>
      </c>
      <c r="F2546">
        <v>0.61655812434631396</v>
      </c>
      <c r="G2546">
        <v>0.19955833610186999</v>
      </c>
      <c r="H2546">
        <v>0.117769622622452</v>
      </c>
      <c r="I2546">
        <v>0.110272571590038</v>
      </c>
      <c r="J2546">
        <v>0.12576313200432701</v>
      </c>
      <c r="K2546">
        <v>0.13045754584755301</v>
      </c>
      <c r="L2546">
        <v>1746.9279149347899</v>
      </c>
      <c r="M2546">
        <v>32.750169312715002</v>
      </c>
      <c r="N2546">
        <v>53.768414006271101</v>
      </c>
      <c r="O2546">
        <v>53.1433433884621</v>
      </c>
      <c r="P2546">
        <v>-0.13641021515263499</v>
      </c>
      <c r="Q2546">
        <v>0.11459872059557399</v>
      </c>
      <c r="R2546">
        <v>0.997066539085812</v>
      </c>
      <c r="S2546" t="s">
        <v>6175</v>
      </c>
      <c r="T2546" t="s">
        <v>7256</v>
      </c>
      <c r="U2546" t="s">
        <v>7256</v>
      </c>
      <c r="V2546" t="s">
        <v>7256</v>
      </c>
      <c r="W2546">
        <v>15</v>
      </c>
      <c r="X2546" t="s">
        <v>9802</v>
      </c>
      <c r="Y2546">
        <v>0.5131937519480988</v>
      </c>
      <c r="Z2546" t="str">
        <f>HYPERLINK("Melting_Curves/meltCurve_sp_Q9H6S3_ES8L2_HUMAN_.pdf", "Melting_Curves/meltCurve_sp_Q9H6S3_ES8L2_HUMAN_.pdf")</f>
        <v>Melting_Curves/meltCurve_sp_Q9H6S3_ES8L2_HUMAN_.pdf</v>
      </c>
      <c r="AA2546" t="s">
        <v>13397</v>
      </c>
      <c r="AB2546" t="s">
        <v>16971</v>
      </c>
    </row>
    <row r="2547" spans="1:28" x14ac:dyDescent="0.25">
      <c r="A2547" t="s">
        <v>2551</v>
      </c>
      <c r="B2547">
        <v>0.98018197421672304</v>
      </c>
      <c r="C2547">
        <v>0.830776416855037</v>
      </c>
      <c r="D2547">
        <v>0.65615961841360004</v>
      </c>
      <c r="E2547">
        <v>0.48034081025887598</v>
      </c>
      <c r="F2547">
        <v>0.405348955276985</v>
      </c>
      <c r="G2547">
        <v>0.288344018026368</v>
      </c>
      <c r="H2547">
        <v>0.207404240194629</v>
      </c>
      <c r="I2547">
        <v>0.179727364678579</v>
      </c>
      <c r="J2547">
        <v>0.156573325651781</v>
      </c>
      <c r="K2547">
        <v>0.116005700763394</v>
      </c>
      <c r="L2547">
        <v>510.12421423736498</v>
      </c>
      <c r="M2547">
        <v>10.438397238101199</v>
      </c>
      <c r="N2547">
        <v>49.994342292255403</v>
      </c>
      <c r="O2547">
        <v>47.178497236224104</v>
      </c>
      <c r="P2547">
        <v>-4.9546931879020303E-2</v>
      </c>
      <c r="Q2547">
        <v>0.10461904334623399</v>
      </c>
      <c r="R2547">
        <v>0.99134185592805402</v>
      </c>
      <c r="S2547" t="s">
        <v>6176</v>
      </c>
      <c r="T2547" t="s">
        <v>7256</v>
      </c>
      <c r="U2547" t="s">
        <v>7256</v>
      </c>
      <c r="V2547" t="s">
        <v>7256</v>
      </c>
      <c r="W2547">
        <v>4</v>
      </c>
      <c r="X2547" t="s">
        <v>9803</v>
      </c>
      <c r="Y2547">
        <v>0.41085656278618149</v>
      </c>
      <c r="Z2547" t="str">
        <f>HYPERLINK("Melting_Curves/meltCurve_sp_Q9H6T0_2_ESRP2_HUMAN_.pdf", "Melting_Curves/meltCurve_sp_Q9H6T0_2_ESRP2_HUMAN_.pdf")</f>
        <v>Melting_Curves/meltCurve_sp_Q9H6T0_2_ESRP2_HUMAN_.pdf</v>
      </c>
      <c r="AA2547" t="s">
        <v>13398</v>
      </c>
      <c r="AB2547" t="s">
        <v>16972</v>
      </c>
    </row>
    <row r="2548" spans="1:28" x14ac:dyDescent="0.25">
      <c r="A2548" t="s">
        <v>2552</v>
      </c>
      <c r="B2548">
        <v>0.98018197421672304</v>
      </c>
      <c r="C2548">
        <v>0.94009751464263702</v>
      </c>
      <c r="D2548">
        <v>0.89289936652854496</v>
      </c>
      <c r="E2548">
        <v>0.67765735824200302</v>
      </c>
      <c r="F2548">
        <v>0.46984270631914299</v>
      </c>
      <c r="G2548">
        <v>0.24561136280386001</v>
      </c>
      <c r="H2548">
        <v>0.185444374455006</v>
      </c>
      <c r="I2548">
        <v>0.13868687281393</v>
      </c>
      <c r="J2548">
        <v>0.33447451653153099</v>
      </c>
      <c r="K2548">
        <v>0.14557229146946801</v>
      </c>
      <c r="L2548">
        <v>976.40345920650202</v>
      </c>
      <c r="M2548">
        <v>19.151084788589799</v>
      </c>
      <c r="N2548">
        <v>52.221651214441202</v>
      </c>
      <c r="O2548">
        <v>50.438094642179699</v>
      </c>
      <c r="P2548">
        <v>-7.7613306879787194E-2</v>
      </c>
      <c r="Q2548">
        <v>0.182392838100286</v>
      </c>
      <c r="R2548">
        <v>0.97118423625571504</v>
      </c>
      <c r="S2548" t="s">
        <v>6177</v>
      </c>
      <c r="T2548" t="s">
        <v>7256</v>
      </c>
      <c r="U2548" t="s">
        <v>7256</v>
      </c>
      <c r="V2548" t="s">
        <v>7256</v>
      </c>
      <c r="W2548">
        <v>3</v>
      </c>
      <c r="X2548" t="s">
        <v>9804</v>
      </c>
      <c r="Y2548">
        <v>0.49405634717095742</v>
      </c>
      <c r="Z2548" t="str">
        <f>HYPERLINK("Melting_Curves/meltCurve_sp_Q9H6U6_6_BCAS3_HUMAN_.pdf", "Melting_Curves/meltCurve_sp_Q9H6U6_6_BCAS3_HUMAN_.pdf")</f>
        <v>Melting_Curves/meltCurve_sp_Q9H6U6_6_BCAS3_HUMAN_.pdf</v>
      </c>
      <c r="AA2548" t="s">
        <v>13399</v>
      </c>
      <c r="AB2548" t="s">
        <v>16973</v>
      </c>
    </row>
    <row r="2549" spans="1:28" x14ac:dyDescent="0.25">
      <c r="A2549" t="s">
        <v>2553</v>
      </c>
      <c r="B2549">
        <v>0.98018197421672304</v>
      </c>
      <c r="C2549">
        <v>0.97253418370137401</v>
      </c>
      <c r="D2549">
        <v>0.84640799336661898</v>
      </c>
      <c r="E2549">
        <v>0.60694744550052504</v>
      </c>
      <c r="F2549">
        <v>0.46895396795959798</v>
      </c>
      <c r="G2549">
        <v>0.308275636138992</v>
      </c>
      <c r="H2549">
        <v>0.15746414436489201</v>
      </c>
      <c r="I2549">
        <v>0.13947544124825501</v>
      </c>
      <c r="J2549">
        <v>0.17074383979736099</v>
      </c>
      <c r="K2549">
        <v>6.1065235195142099E-2</v>
      </c>
      <c r="L2549">
        <v>673.57207785206299</v>
      </c>
      <c r="M2549">
        <v>13.0385688588129</v>
      </c>
      <c r="N2549">
        <v>52.2914902282265</v>
      </c>
      <c r="O2549">
        <v>50.490083014433701</v>
      </c>
      <c r="P2549">
        <v>-5.9867503040646003E-2</v>
      </c>
      <c r="Q2549">
        <v>7.2846892959617604E-2</v>
      </c>
      <c r="R2549">
        <v>0.99329946461635299</v>
      </c>
      <c r="S2549" t="s">
        <v>6178</v>
      </c>
      <c r="T2549" t="s">
        <v>7256</v>
      </c>
      <c r="U2549" t="s">
        <v>7256</v>
      </c>
      <c r="V2549" t="s">
        <v>7256</v>
      </c>
      <c r="W2549">
        <v>4</v>
      </c>
      <c r="X2549" t="s">
        <v>9805</v>
      </c>
      <c r="Y2549">
        <v>0.45907314841406521</v>
      </c>
      <c r="Z2549" t="str">
        <f>HYPERLINK("Melting_Curves/meltCurve_sp_Q9H773_DCTP1_HUMAN_.pdf", "Melting_Curves/meltCurve_sp_Q9H773_DCTP1_HUMAN_.pdf")</f>
        <v>Melting_Curves/meltCurve_sp_Q9H773_DCTP1_HUMAN_.pdf</v>
      </c>
      <c r="AA2549" t="s">
        <v>13400</v>
      </c>
      <c r="AB2549" t="s">
        <v>16974</v>
      </c>
    </row>
    <row r="2550" spans="1:28" x14ac:dyDescent="0.25">
      <c r="A2550" t="s">
        <v>2554</v>
      </c>
      <c r="B2550">
        <v>0.98018197421672304</v>
      </c>
      <c r="C2550">
        <v>0.88393511994465601</v>
      </c>
      <c r="D2550">
        <v>0.89382447674854204</v>
      </c>
      <c r="E2550">
        <v>0.57960830594825596</v>
      </c>
      <c r="F2550">
        <v>0.35193072932973402</v>
      </c>
      <c r="G2550">
        <v>0.24862854144197599</v>
      </c>
      <c r="H2550">
        <v>0.241272925454144</v>
      </c>
      <c r="I2550">
        <v>0.199867097859075</v>
      </c>
      <c r="J2550">
        <v>0.180366303966248</v>
      </c>
      <c r="K2550">
        <v>0.263066921378873</v>
      </c>
      <c r="L2550">
        <v>1032.3116851668599</v>
      </c>
      <c r="M2550">
        <v>20.839796029326902</v>
      </c>
      <c r="N2550">
        <v>50.8656590839445</v>
      </c>
      <c r="O2550">
        <v>49.086222122299802</v>
      </c>
      <c r="P2550">
        <v>-8.3845608986439099E-2</v>
      </c>
      <c r="Q2550">
        <v>0.21005910418826099</v>
      </c>
      <c r="R2550">
        <v>0.98595310661860802</v>
      </c>
      <c r="S2550" t="s">
        <v>6179</v>
      </c>
      <c r="T2550" t="s">
        <v>7256</v>
      </c>
      <c r="U2550" t="s">
        <v>7256</v>
      </c>
      <c r="V2550" t="s">
        <v>7256</v>
      </c>
      <c r="W2550">
        <v>6</v>
      </c>
      <c r="X2550" t="s">
        <v>9806</v>
      </c>
      <c r="Y2550">
        <v>0.47129727868938698</v>
      </c>
      <c r="Z2550" t="str">
        <f>HYPERLINK("Melting_Curves/meltCurve_sp_Q9H788_SH24A_HUMAN_.pdf", "Melting_Curves/meltCurve_sp_Q9H788_SH24A_HUMAN_.pdf")</f>
        <v>Melting_Curves/meltCurve_sp_Q9H788_SH24A_HUMAN_.pdf</v>
      </c>
      <c r="AA2550" t="s">
        <v>13401</v>
      </c>
      <c r="AB2550" t="s">
        <v>16975</v>
      </c>
    </row>
    <row r="2551" spans="1:28" x14ac:dyDescent="0.25">
      <c r="A2551" t="s">
        <v>2555</v>
      </c>
      <c r="B2551">
        <v>0.98018197421672304</v>
      </c>
      <c r="C2551">
        <v>0.98845072675230905</v>
      </c>
      <c r="D2551">
        <v>0.90118947837593499</v>
      </c>
      <c r="E2551">
        <v>0.78673935234252701</v>
      </c>
      <c r="F2551">
        <v>0.80227720575167805</v>
      </c>
      <c r="G2551">
        <v>0.62850300230954803</v>
      </c>
      <c r="H2551">
        <v>0.46464071820737901</v>
      </c>
      <c r="I2551">
        <v>0.50289932293124096</v>
      </c>
      <c r="J2551">
        <v>0.68617565757814702</v>
      </c>
      <c r="K2551">
        <v>0.78609543645247304</v>
      </c>
      <c r="L2551">
        <v>891.78900541141104</v>
      </c>
      <c r="M2551">
        <v>17.848761249829</v>
      </c>
      <c r="O2551">
        <v>49.349116272189796</v>
      </c>
      <c r="P2551">
        <v>-3.5082559141991897E-2</v>
      </c>
      <c r="Q2551">
        <v>0.61202793372764197</v>
      </c>
      <c r="R2551">
        <v>0.719313690847322</v>
      </c>
      <c r="S2551" t="s">
        <v>6180</v>
      </c>
      <c r="T2551" t="s">
        <v>7256</v>
      </c>
      <c r="U2551" t="s">
        <v>7256</v>
      </c>
      <c r="V2551" t="s">
        <v>7256</v>
      </c>
      <c r="W2551">
        <v>5</v>
      </c>
      <c r="X2551" t="s">
        <v>9807</v>
      </c>
      <c r="Y2551">
        <v>0.74760810835149583</v>
      </c>
      <c r="Z2551" t="str">
        <f>HYPERLINK("Melting_Curves/meltCurve_sp_Q9H7C9_AAMDC_HUMAN_.pdf", "Melting_Curves/meltCurve_sp_Q9H7C9_AAMDC_HUMAN_.pdf")</f>
        <v>Melting_Curves/meltCurve_sp_Q9H7C9_AAMDC_HUMAN_.pdf</v>
      </c>
      <c r="AA2551" t="s">
        <v>13402</v>
      </c>
      <c r="AB2551" t="s">
        <v>16976</v>
      </c>
    </row>
    <row r="2552" spans="1:28" x14ac:dyDescent="0.25">
      <c r="A2552" t="s">
        <v>2556</v>
      </c>
      <c r="B2552">
        <v>0.98018197421672304</v>
      </c>
      <c r="C2552">
        <v>0.84497413251695797</v>
      </c>
      <c r="D2552">
        <v>0.88849799306192401</v>
      </c>
      <c r="E2552">
        <v>0.66826329009159902</v>
      </c>
      <c r="F2552">
        <v>0.50463142494748103</v>
      </c>
      <c r="G2552">
        <v>0.34181793187423498</v>
      </c>
      <c r="H2552">
        <v>0.31193341611728898</v>
      </c>
      <c r="I2552">
        <v>0.33343929879709999</v>
      </c>
      <c r="J2552">
        <v>0.40153060314241801</v>
      </c>
      <c r="K2552">
        <v>0.33577886002867402</v>
      </c>
      <c r="L2552">
        <v>807.12382328117405</v>
      </c>
      <c r="M2552">
        <v>16.257591905130798</v>
      </c>
      <c r="N2552">
        <v>53.013107329494296</v>
      </c>
      <c r="O2552">
        <v>48.913052030716699</v>
      </c>
      <c r="P2552">
        <v>-5.6345358391071902E-2</v>
      </c>
      <c r="Q2552">
        <v>0.32196100978553099</v>
      </c>
      <c r="R2552">
        <v>0.96285511286389502</v>
      </c>
      <c r="S2552" t="s">
        <v>6181</v>
      </c>
      <c r="T2552" t="s">
        <v>7256</v>
      </c>
      <c r="U2552" t="s">
        <v>7256</v>
      </c>
      <c r="V2552" t="s">
        <v>7256</v>
      </c>
      <c r="W2552">
        <v>2</v>
      </c>
      <c r="X2552" t="s">
        <v>9808</v>
      </c>
      <c r="Y2552">
        <v>0.55407590863699774</v>
      </c>
      <c r="Z2552" t="str">
        <f>HYPERLINK("Melting_Curves/meltCurve_sp_Q9H7D0_DOCK5_HUMAN_.pdf", "Melting_Curves/meltCurve_sp_Q9H7D0_DOCK5_HUMAN_.pdf")</f>
        <v>Melting_Curves/meltCurve_sp_Q9H7D0_DOCK5_HUMAN_.pdf</v>
      </c>
      <c r="AA2552" t="s">
        <v>13403</v>
      </c>
      <c r="AB2552" t="s">
        <v>16977</v>
      </c>
    </row>
    <row r="2553" spans="1:28" x14ac:dyDescent="0.25">
      <c r="A2553" t="s">
        <v>2557</v>
      </c>
      <c r="B2553">
        <v>0.98018197421672304</v>
      </c>
      <c r="C2553">
        <v>0.90579086709116696</v>
      </c>
      <c r="D2553">
        <v>0.866232303256943</v>
      </c>
      <c r="E2553">
        <v>0.63336407801424799</v>
      </c>
      <c r="F2553">
        <v>0.69234772836345204</v>
      </c>
      <c r="G2553">
        <v>0.336376131476183</v>
      </c>
      <c r="H2553">
        <v>0.111450675006975</v>
      </c>
      <c r="I2553">
        <v>5.8262229954793E-2</v>
      </c>
      <c r="J2553">
        <v>1.9694321386438399E-2</v>
      </c>
      <c r="K2553">
        <v>0.11660031582694901</v>
      </c>
      <c r="L2553">
        <v>691.60956557421002</v>
      </c>
      <c r="M2553">
        <v>12.8659226840771</v>
      </c>
      <c r="N2553">
        <v>53.7551480643979</v>
      </c>
      <c r="O2553">
        <v>52.506181928749001</v>
      </c>
      <c r="P2553">
        <v>-6.12703529433117E-2</v>
      </c>
      <c r="Q2553">
        <v>0</v>
      </c>
      <c r="R2553">
        <v>0.96290783306358796</v>
      </c>
      <c r="S2553" t="s">
        <v>6182</v>
      </c>
      <c r="T2553" t="s">
        <v>7256</v>
      </c>
      <c r="U2553" t="s">
        <v>7256</v>
      </c>
      <c r="V2553" t="s">
        <v>7256</v>
      </c>
      <c r="W2553">
        <v>2</v>
      </c>
      <c r="X2553" t="s">
        <v>9809</v>
      </c>
      <c r="Y2553">
        <v>0.48338918055353008</v>
      </c>
      <c r="Z2553" t="str">
        <f>HYPERLINK("Melting_Curves/meltCurve_sp_Q9H7E2_3_TDRD3_HUMAN_.pdf", "Melting_Curves/meltCurve_sp_Q9H7E2_3_TDRD3_HUMAN_.pdf")</f>
        <v>Melting_Curves/meltCurve_sp_Q9H7E2_3_TDRD3_HUMAN_.pdf</v>
      </c>
      <c r="AA2553" t="s">
        <v>13404</v>
      </c>
      <c r="AB2553" t="s">
        <v>16978</v>
      </c>
    </row>
    <row r="2554" spans="1:28" x14ac:dyDescent="0.25">
      <c r="A2554" t="s">
        <v>2558</v>
      </c>
      <c r="B2554">
        <v>0.98018197421672304</v>
      </c>
      <c r="C2554">
        <v>1.01328541684698</v>
      </c>
      <c r="D2554">
        <v>0.91122220753084004</v>
      </c>
      <c r="E2554">
        <v>0.82043699331463005</v>
      </c>
      <c r="F2554">
        <v>0.62521102834477005</v>
      </c>
      <c r="G2554">
        <v>0.370204818603522</v>
      </c>
      <c r="H2554">
        <v>0.42463197507157002</v>
      </c>
      <c r="I2554">
        <v>0.44174527858249102</v>
      </c>
      <c r="J2554">
        <v>0.298086740561467</v>
      </c>
      <c r="K2554">
        <v>0.47163273750380602</v>
      </c>
      <c r="L2554">
        <v>1324.7058284545101</v>
      </c>
      <c r="M2554">
        <v>25.666357482095901</v>
      </c>
      <c r="N2554">
        <v>54.895597880822997</v>
      </c>
      <c r="O2554">
        <v>51.302286733189199</v>
      </c>
      <c r="P2554">
        <v>-7.6011970457294395E-2</v>
      </c>
      <c r="Q2554">
        <v>0.39227212376385101</v>
      </c>
      <c r="R2554">
        <v>0.95727215827568102</v>
      </c>
      <c r="S2554" t="s">
        <v>6183</v>
      </c>
      <c r="T2554" t="s">
        <v>7256</v>
      </c>
      <c r="U2554" t="s">
        <v>7256</v>
      </c>
      <c r="V2554" t="s">
        <v>7256</v>
      </c>
      <c r="W2554">
        <v>2</v>
      </c>
      <c r="X2554" t="s">
        <v>9810</v>
      </c>
      <c r="Y2554">
        <v>0.63276467724748831</v>
      </c>
      <c r="Z2554" t="str">
        <f>HYPERLINK("Melting_Curves/meltCurve_sp_Q9H7N4_SFR19_HUMAN_.pdf", "Melting_Curves/meltCurve_sp_Q9H7N4_SFR19_HUMAN_.pdf")</f>
        <v>Melting_Curves/meltCurve_sp_Q9H7N4_SFR19_HUMAN_.pdf</v>
      </c>
      <c r="AA2554" t="s">
        <v>13405</v>
      </c>
      <c r="AB2554" t="s">
        <v>16979</v>
      </c>
    </row>
    <row r="2555" spans="1:28" x14ac:dyDescent="0.25">
      <c r="A2555" t="s">
        <v>2559</v>
      </c>
      <c r="B2555">
        <v>0.98018197421672304</v>
      </c>
      <c r="C2555">
        <v>0.90437657934320104</v>
      </c>
      <c r="D2555">
        <v>0.82445959218456999</v>
      </c>
      <c r="E2555">
        <v>0.631256097333318</v>
      </c>
      <c r="F2555">
        <v>0.52455009903029604</v>
      </c>
      <c r="G2555">
        <v>0.38582985137850101</v>
      </c>
      <c r="H2555">
        <v>0.27603101543571301</v>
      </c>
      <c r="I2555">
        <v>0.28478606541277501</v>
      </c>
      <c r="J2555">
        <v>0.31787515817011103</v>
      </c>
      <c r="K2555">
        <v>0.37460048933971402</v>
      </c>
      <c r="L2555">
        <v>703.142875105749</v>
      </c>
      <c r="M2555">
        <v>14.171585731742301</v>
      </c>
      <c r="N2555">
        <v>52.899627539994597</v>
      </c>
      <c r="O2555">
        <v>48.659776132813597</v>
      </c>
      <c r="P2555">
        <v>-5.1517902899790601E-2</v>
      </c>
      <c r="Q2555">
        <v>0.29251858098056499</v>
      </c>
      <c r="R2555">
        <v>0.98167666179493995</v>
      </c>
      <c r="S2555" t="s">
        <v>6184</v>
      </c>
      <c r="T2555" t="s">
        <v>7256</v>
      </c>
      <c r="U2555" t="s">
        <v>7256</v>
      </c>
      <c r="V2555" t="s">
        <v>7256</v>
      </c>
      <c r="W2555">
        <v>2</v>
      </c>
      <c r="X2555" t="s">
        <v>9811</v>
      </c>
      <c r="Y2555">
        <v>0.53821401087646925</v>
      </c>
      <c r="Z2555" t="str">
        <f>HYPERLINK("Melting_Curves/meltCurve_sp_Q9H7Z6_KAT8_HUMAN_.pdf", "Melting_Curves/meltCurve_sp_Q9H7Z6_KAT8_HUMAN_.pdf")</f>
        <v>Melting_Curves/meltCurve_sp_Q9H7Z6_KAT8_HUMAN_.pdf</v>
      </c>
      <c r="AA2555" t="s">
        <v>13406</v>
      </c>
      <c r="AB2555" t="s">
        <v>16980</v>
      </c>
    </row>
    <row r="2556" spans="1:28" x14ac:dyDescent="0.25">
      <c r="A2556" t="s">
        <v>2560</v>
      </c>
      <c r="B2556">
        <v>0.98018197421672304</v>
      </c>
      <c r="C2556">
        <v>0.94320831451501796</v>
      </c>
      <c r="D2556">
        <v>0.77231329237145196</v>
      </c>
      <c r="E2556">
        <v>0.54787255087214004</v>
      </c>
      <c r="F2556">
        <v>0.28608844739025802</v>
      </c>
      <c r="G2556">
        <v>0.162993826643479</v>
      </c>
      <c r="H2556">
        <v>0.120377809951825</v>
      </c>
      <c r="I2556">
        <v>5.9595974342130702E-2</v>
      </c>
      <c r="J2556">
        <v>0.12758935451495201</v>
      </c>
      <c r="K2556">
        <v>0</v>
      </c>
      <c r="L2556">
        <v>774.89774795218</v>
      </c>
      <c r="M2556">
        <v>15.5398576436355</v>
      </c>
      <c r="N2556">
        <v>50.176869755304502</v>
      </c>
      <c r="O2556">
        <v>49.061307990295198</v>
      </c>
      <c r="P2556">
        <v>-7.5549250092316403E-2</v>
      </c>
      <c r="Q2556">
        <v>4.6009490783384101E-2</v>
      </c>
      <c r="R2556">
        <v>0.99140955769524197</v>
      </c>
      <c r="S2556" t="s">
        <v>6185</v>
      </c>
      <c r="T2556" t="s">
        <v>7256</v>
      </c>
      <c r="U2556" t="s">
        <v>7256</v>
      </c>
      <c r="V2556" t="s">
        <v>7256</v>
      </c>
      <c r="W2556">
        <v>2</v>
      </c>
      <c r="X2556" t="s">
        <v>9812</v>
      </c>
      <c r="Y2556">
        <v>0.38115853563886398</v>
      </c>
      <c r="Z2556" t="str">
        <f>HYPERLINK("Melting_Curves/meltCurve_sp_Q9H7Z7_PGES2_HUMAN_.pdf", "Melting_Curves/meltCurve_sp_Q9H7Z7_PGES2_HUMAN_.pdf")</f>
        <v>Melting_Curves/meltCurve_sp_Q9H7Z7_PGES2_HUMAN_.pdf</v>
      </c>
      <c r="AA2556" t="s">
        <v>13407</v>
      </c>
      <c r="AB2556" t="s">
        <v>16981</v>
      </c>
    </row>
    <row r="2557" spans="1:28" x14ac:dyDescent="0.25">
      <c r="A2557" t="s">
        <v>2561</v>
      </c>
      <c r="B2557">
        <v>0.98018197421672304</v>
      </c>
      <c r="C2557">
        <v>0.83320070803058599</v>
      </c>
      <c r="D2557">
        <v>0.78892981080060998</v>
      </c>
      <c r="E2557">
        <v>0.68685081163984396</v>
      </c>
      <c r="F2557">
        <v>0.484687964069138</v>
      </c>
      <c r="G2557">
        <v>0.28003209375517502</v>
      </c>
      <c r="H2557">
        <v>0.31820205428767501</v>
      </c>
      <c r="I2557">
        <v>0.319938708236022</v>
      </c>
      <c r="J2557">
        <v>0.25956008060528901</v>
      </c>
      <c r="K2557">
        <v>0.39053388376183901</v>
      </c>
      <c r="L2557">
        <v>648.50137466571698</v>
      </c>
      <c r="M2557">
        <v>13.1756484270954</v>
      </c>
      <c r="N2557">
        <v>52.480210882768901</v>
      </c>
      <c r="O2557">
        <v>48.127280293404198</v>
      </c>
      <c r="P2557">
        <v>-4.9322400256609999E-2</v>
      </c>
      <c r="Q2557">
        <v>0.27947200931309002</v>
      </c>
      <c r="R2557">
        <v>0.94495634645972704</v>
      </c>
      <c r="S2557" t="s">
        <v>6186</v>
      </c>
      <c r="T2557" t="s">
        <v>7256</v>
      </c>
      <c r="U2557" t="s">
        <v>7256</v>
      </c>
      <c r="V2557" t="s">
        <v>7256</v>
      </c>
      <c r="W2557">
        <v>2</v>
      </c>
      <c r="X2557" t="s">
        <v>9813</v>
      </c>
      <c r="Y2557">
        <v>0.52319469997706558</v>
      </c>
      <c r="Z2557" t="str">
        <f>HYPERLINK("Melting_Curves/meltCurve_sp_Q9H814_PHAX_HUMAN_.pdf", "Melting_Curves/meltCurve_sp_Q9H814_PHAX_HUMAN_.pdf")</f>
        <v>Melting_Curves/meltCurve_sp_Q9H814_PHAX_HUMAN_.pdf</v>
      </c>
      <c r="AA2557" t="s">
        <v>13408</v>
      </c>
      <c r="AB2557" t="s">
        <v>16982</v>
      </c>
    </row>
    <row r="2558" spans="1:28" x14ac:dyDescent="0.25">
      <c r="A2558" t="s">
        <v>2562</v>
      </c>
      <c r="B2558">
        <v>0.98018197421672304</v>
      </c>
      <c r="C2558">
        <v>0.90955766113469605</v>
      </c>
      <c r="D2558">
        <v>0.94434314712196499</v>
      </c>
      <c r="E2558">
        <v>0.73676688868816498</v>
      </c>
      <c r="F2558">
        <v>0.45544621599467</v>
      </c>
      <c r="G2558">
        <v>0.21631160045707201</v>
      </c>
      <c r="H2558">
        <v>9.3679218264365594E-2</v>
      </c>
      <c r="I2558">
        <v>6.9840722169097494E-2</v>
      </c>
      <c r="J2558">
        <v>8.7504619888325794E-2</v>
      </c>
      <c r="K2558">
        <v>5.7328495484095902E-2</v>
      </c>
      <c r="L2558">
        <v>1014.63138876434</v>
      </c>
      <c r="M2558">
        <v>19.407865574789199</v>
      </c>
      <c r="N2558">
        <v>52.580190882237098</v>
      </c>
      <c r="O2558">
        <v>51.733861677841901</v>
      </c>
      <c r="P2558">
        <v>-8.8862470346513206E-2</v>
      </c>
      <c r="Q2558">
        <v>5.25432580938189E-2</v>
      </c>
      <c r="R2558">
        <v>0.99486341449566795</v>
      </c>
      <c r="S2558" t="s">
        <v>6187</v>
      </c>
      <c r="T2558" t="s">
        <v>7256</v>
      </c>
      <c r="U2558" t="s">
        <v>7256</v>
      </c>
      <c r="V2558" t="s">
        <v>7256</v>
      </c>
      <c r="W2558">
        <v>1</v>
      </c>
      <c r="X2558" t="s">
        <v>9814</v>
      </c>
      <c r="Y2558">
        <v>0.45415419787845468</v>
      </c>
      <c r="Z2558" t="str">
        <f>HYPERLINK("Melting_Curves/meltCurve_sp_Q9H832_UBE2Z_HUMAN_.pdf", "Melting_Curves/meltCurve_sp_Q9H832_UBE2Z_HUMAN_.pdf")</f>
        <v>Melting_Curves/meltCurve_sp_Q9H832_UBE2Z_HUMAN_.pdf</v>
      </c>
      <c r="AA2558" t="s">
        <v>13409</v>
      </c>
      <c r="AB2558" t="s">
        <v>16983</v>
      </c>
    </row>
    <row r="2559" spans="1:28" x14ac:dyDescent="0.25">
      <c r="A2559" t="s">
        <v>2563</v>
      </c>
      <c r="B2559">
        <v>0.98018197421672304</v>
      </c>
      <c r="C2559">
        <v>0.95835849177204402</v>
      </c>
      <c r="D2559">
        <v>0.84696049060585499</v>
      </c>
      <c r="E2559">
        <v>0.66407187076464702</v>
      </c>
      <c r="F2559">
        <v>0.309490017070431</v>
      </c>
      <c r="G2559">
        <v>0.15954242301316199</v>
      </c>
      <c r="H2559">
        <v>0.127633717615767</v>
      </c>
      <c r="I2559">
        <v>9.7456674552868494E-2</v>
      </c>
      <c r="J2559">
        <v>7.9924802723247299E-2</v>
      </c>
      <c r="K2559">
        <v>5.9597909215934698E-2</v>
      </c>
      <c r="L2559">
        <v>986.44404970428195</v>
      </c>
      <c r="M2559">
        <v>19.429052692090199</v>
      </c>
      <c r="N2559">
        <v>51.168103812651196</v>
      </c>
      <c r="O2559">
        <v>50.242901348770999</v>
      </c>
      <c r="P2559">
        <v>-8.9922613793012807E-2</v>
      </c>
      <c r="Q2559">
        <v>6.9885806256574007E-2</v>
      </c>
      <c r="R2559">
        <v>0.99336809080367705</v>
      </c>
      <c r="S2559" t="s">
        <v>6188</v>
      </c>
      <c r="T2559" t="s">
        <v>7256</v>
      </c>
      <c r="U2559" t="s">
        <v>7256</v>
      </c>
      <c r="V2559" t="s">
        <v>7256</v>
      </c>
      <c r="W2559">
        <v>17</v>
      </c>
      <c r="X2559" t="s">
        <v>9815</v>
      </c>
      <c r="Y2559">
        <v>0.41748863179032608</v>
      </c>
      <c r="Z2559" t="str">
        <f>HYPERLINK("Melting_Curves/meltCurve_sp_Q9H845_ACAD9_HUMAN_.pdf", "Melting_Curves/meltCurve_sp_Q9H845_ACAD9_HUMAN_.pdf")</f>
        <v>Melting_Curves/meltCurve_sp_Q9H845_ACAD9_HUMAN_.pdf</v>
      </c>
      <c r="AA2559" t="s">
        <v>13410</v>
      </c>
      <c r="AB2559" t="s">
        <v>16984</v>
      </c>
    </row>
    <row r="2560" spans="1:28" x14ac:dyDescent="0.25">
      <c r="A2560" t="s">
        <v>2564</v>
      </c>
      <c r="B2560">
        <v>0.98018197421672304</v>
      </c>
      <c r="C2560">
        <v>1.0106409521989399</v>
      </c>
      <c r="D2560">
        <v>0.87949849240893896</v>
      </c>
      <c r="E2560">
        <v>0.70737205519472901</v>
      </c>
      <c r="F2560">
        <v>0.48627562282653097</v>
      </c>
      <c r="G2560">
        <v>0.18364887379714001</v>
      </c>
      <c r="H2560">
        <v>0.14325205937920901</v>
      </c>
      <c r="I2560">
        <v>4.8469639456133397E-2</v>
      </c>
      <c r="J2560">
        <v>0.464688220149991</v>
      </c>
      <c r="K2560">
        <v>4.8269888225038998E-2</v>
      </c>
      <c r="L2560">
        <v>1137.1120316563899</v>
      </c>
      <c r="M2560">
        <v>22.1310760211359</v>
      </c>
      <c r="N2560">
        <v>52.283603714440297</v>
      </c>
      <c r="O2560">
        <v>50.966798754479697</v>
      </c>
      <c r="P2560">
        <v>-9.1319059366814503E-2</v>
      </c>
      <c r="Q2560">
        <v>0.15880499697681699</v>
      </c>
      <c r="R2560">
        <v>0.90126399902746201</v>
      </c>
      <c r="S2560" t="s">
        <v>6189</v>
      </c>
      <c r="T2560" t="s">
        <v>7256</v>
      </c>
      <c r="U2560" t="s">
        <v>7256</v>
      </c>
      <c r="V2560" t="s">
        <v>7256</v>
      </c>
      <c r="W2560">
        <v>1</v>
      </c>
      <c r="X2560" t="s">
        <v>9816</v>
      </c>
      <c r="Y2560">
        <v>0.48757165011454512</v>
      </c>
      <c r="Z2560" t="str">
        <f>HYPERLINK("Melting_Curves/meltCurve_sp_Q9H8M7_F188A_HUMAN_.pdf", "Melting_Curves/meltCurve_sp_Q9H8M7_F188A_HUMAN_.pdf")</f>
        <v>Melting_Curves/meltCurve_sp_Q9H8M7_F188A_HUMAN_.pdf</v>
      </c>
      <c r="AA2560" t="s">
        <v>13411</v>
      </c>
      <c r="AB2560" t="s">
        <v>16985</v>
      </c>
    </row>
    <row r="2561" spans="1:28" x14ac:dyDescent="0.25">
      <c r="A2561" t="s">
        <v>2565</v>
      </c>
      <c r="B2561">
        <v>0.98018197421672304</v>
      </c>
      <c r="C2561">
        <v>0.94396741885208502</v>
      </c>
      <c r="D2561">
        <v>0.93103399212999804</v>
      </c>
      <c r="E2561">
        <v>0.75680933286551999</v>
      </c>
      <c r="F2561">
        <v>0.73475413995211802</v>
      </c>
      <c r="G2561">
        <v>0.62244791721937098</v>
      </c>
      <c r="H2561">
        <v>0.436213636213095</v>
      </c>
      <c r="I2561">
        <v>0.23112292152047101</v>
      </c>
      <c r="J2561">
        <v>0.11333736691283899</v>
      </c>
      <c r="K2561">
        <v>0.100670328277189</v>
      </c>
      <c r="L2561">
        <v>628.75230509810899</v>
      </c>
      <c r="M2561">
        <v>10.847862454119999</v>
      </c>
      <c r="N2561">
        <v>57.960935785418897</v>
      </c>
      <c r="O2561">
        <v>56.0955510988939</v>
      </c>
      <c r="P2561">
        <v>-4.8362668322996599E-2</v>
      </c>
      <c r="Q2561">
        <v>0</v>
      </c>
      <c r="R2561">
        <v>0.97333868943981505</v>
      </c>
      <c r="S2561" t="s">
        <v>6190</v>
      </c>
      <c r="T2561" t="s">
        <v>7256</v>
      </c>
      <c r="U2561" t="s">
        <v>7256</v>
      </c>
      <c r="V2561" t="s">
        <v>7256</v>
      </c>
      <c r="W2561">
        <v>5</v>
      </c>
      <c r="X2561" t="s">
        <v>9817</v>
      </c>
      <c r="Y2561">
        <v>0.61033117915683566</v>
      </c>
      <c r="Z2561" t="str">
        <f>HYPERLINK("Melting_Curves/meltCurve_sp_Q9H8S9_MOB1A_HUMAN_.pdf", "Melting_Curves/meltCurve_sp_Q9H8S9_MOB1A_HUMAN_.pdf")</f>
        <v>Melting_Curves/meltCurve_sp_Q9H8S9_MOB1A_HUMAN_.pdf</v>
      </c>
      <c r="AA2561" t="s">
        <v>13412</v>
      </c>
      <c r="AB2561" t="s">
        <v>16986</v>
      </c>
    </row>
    <row r="2562" spans="1:28" x14ac:dyDescent="0.25">
      <c r="A2562" t="s">
        <v>2566</v>
      </c>
      <c r="B2562">
        <v>0.98018197421672304</v>
      </c>
      <c r="C2562">
        <v>0.89209580339280203</v>
      </c>
      <c r="D2562">
        <v>1.1908863913249199</v>
      </c>
      <c r="E2562">
        <v>0.97932838792774202</v>
      </c>
      <c r="F2562">
        <v>0.87478970754047003</v>
      </c>
      <c r="G2562">
        <v>0.51138754817568099</v>
      </c>
      <c r="H2562">
        <v>0.58453171384417701</v>
      </c>
      <c r="I2562">
        <v>0.63042884887817396</v>
      </c>
      <c r="J2562">
        <v>0.45701062803845399</v>
      </c>
      <c r="K2562">
        <v>1.13346377064014</v>
      </c>
      <c r="L2562">
        <v>13277.7654343788</v>
      </c>
      <c r="M2562">
        <v>250</v>
      </c>
      <c r="O2562">
        <v>53.107651266032697</v>
      </c>
      <c r="P2562">
        <v>-0.39617104946589998</v>
      </c>
      <c r="Q2562">
        <v>0.66336450288695903</v>
      </c>
      <c r="R2562">
        <v>0.44096455485990299</v>
      </c>
      <c r="S2562" t="s">
        <v>6191</v>
      </c>
      <c r="T2562" t="s">
        <v>7256</v>
      </c>
      <c r="U2562" t="s">
        <v>7256</v>
      </c>
      <c r="V2562" t="s">
        <v>7256</v>
      </c>
      <c r="W2562">
        <v>1</v>
      </c>
      <c r="X2562" t="s">
        <v>9818</v>
      </c>
      <c r="Y2562">
        <v>0.81051750656382227</v>
      </c>
      <c r="Z2562" t="str">
        <f>HYPERLINK("Melting_Curves/meltCurve_sp_Q9H8U3_ZFAN3_HUMAN_.pdf", "Melting_Curves/meltCurve_sp_Q9H8U3_ZFAN3_HUMAN_.pdf")</f>
        <v>Melting_Curves/meltCurve_sp_Q9H8U3_ZFAN3_HUMAN_.pdf</v>
      </c>
      <c r="AA2562" t="s">
        <v>13413</v>
      </c>
      <c r="AB2562" t="s">
        <v>16987</v>
      </c>
    </row>
    <row r="2563" spans="1:28" x14ac:dyDescent="0.25">
      <c r="A2563" t="s">
        <v>2567</v>
      </c>
      <c r="B2563">
        <v>0.98018197421672304</v>
      </c>
      <c r="C2563">
        <v>0.94575929849863405</v>
      </c>
      <c r="D2563">
        <v>0.93782493588306004</v>
      </c>
      <c r="E2563">
        <v>0.68501600673735397</v>
      </c>
      <c r="F2563">
        <v>0.449287681714375</v>
      </c>
      <c r="G2563">
        <v>0.19399251718478799</v>
      </c>
      <c r="H2563">
        <v>0.120248347616077</v>
      </c>
      <c r="I2563">
        <v>9.7064995460426906E-2</v>
      </c>
      <c r="J2563">
        <v>0.122925209721698</v>
      </c>
      <c r="K2563">
        <v>0.13274613426422599</v>
      </c>
      <c r="L2563">
        <v>1072.0588758547501</v>
      </c>
      <c r="M2563">
        <v>20.784543311501501</v>
      </c>
      <c r="N2563">
        <v>52.150356062020798</v>
      </c>
      <c r="O2563">
        <v>51.109271338562301</v>
      </c>
      <c r="P2563">
        <v>-9.1327410365114797E-2</v>
      </c>
      <c r="Q2563">
        <v>0.101727315308665</v>
      </c>
      <c r="R2563">
        <v>0.99667617101445305</v>
      </c>
      <c r="S2563" t="s">
        <v>6192</v>
      </c>
      <c r="T2563" t="s">
        <v>7256</v>
      </c>
      <c r="U2563" t="s">
        <v>7256</v>
      </c>
      <c r="V2563" t="s">
        <v>7256</v>
      </c>
      <c r="W2563">
        <v>2</v>
      </c>
      <c r="X2563" t="s">
        <v>9819</v>
      </c>
      <c r="Y2563">
        <v>0.46004871229634958</v>
      </c>
      <c r="Z2563" t="str">
        <f>HYPERLINK("Melting_Curves/meltCurve_sp_Q9H8W4_PKHF2_HUMAN_.pdf", "Melting_Curves/meltCurve_sp_Q9H8W4_PKHF2_HUMAN_.pdf")</f>
        <v>Melting_Curves/meltCurve_sp_Q9H8W4_PKHF2_HUMAN_.pdf</v>
      </c>
      <c r="AA2563" t="s">
        <v>13414</v>
      </c>
      <c r="AB2563" t="s">
        <v>16988</v>
      </c>
    </row>
    <row r="2564" spans="1:28" x14ac:dyDescent="0.25">
      <c r="A2564" t="s">
        <v>2568</v>
      </c>
      <c r="B2564">
        <v>0.98018197421672304</v>
      </c>
      <c r="C2564">
        <v>0.94012056853245096</v>
      </c>
      <c r="D2564">
        <v>0.89408041781296099</v>
      </c>
      <c r="E2564">
        <v>0.62650212996235199</v>
      </c>
      <c r="F2564">
        <v>0.40937407958032501</v>
      </c>
      <c r="G2564">
        <v>0.20001417572201399</v>
      </c>
      <c r="H2564">
        <v>0.17865346525158901</v>
      </c>
      <c r="I2564">
        <v>0.17785953939121599</v>
      </c>
      <c r="J2564">
        <v>0.19016030383401999</v>
      </c>
      <c r="K2564">
        <v>0.25874080906437102</v>
      </c>
      <c r="L2564">
        <v>1086.4697063358001</v>
      </c>
      <c r="M2564">
        <v>21.606101355799801</v>
      </c>
      <c r="N2564">
        <v>51.4007086062445</v>
      </c>
      <c r="O2564">
        <v>49.860500534881098</v>
      </c>
      <c r="P2564">
        <v>-8.8061558052565506E-2</v>
      </c>
      <c r="Q2564">
        <v>0.18713921717490201</v>
      </c>
      <c r="R2564">
        <v>0.99002900241890801</v>
      </c>
      <c r="S2564" t="s">
        <v>6193</v>
      </c>
      <c r="T2564" t="s">
        <v>7256</v>
      </c>
      <c r="U2564" t="s">
        <v>7256</v>
      </c>
      <c r="V2564" t="s">
        <v>7256</v>
      </c>
      <c r="W2564">
        <v>4</v>
      </c>
      <c r="X2564" t="s">
        <v>9820</v>
      </c>
      <c r="Y2564">
        <v>0.47555208060965842</v>
      </c>
      <c r="Z2564" t="str">
        <f>HYPERLINK("Melting_Curves/meltCurve_sp_Q9H8Y8_GORS2_HUMAN_.pdf", "Melting_Curves/meltCurve_sp_Q9H8Y8_GORS2_HUMAN_.pdf")</f>
        <v>Melting_Curves/meltCurve_sp_Q9H8Y8_GORS2_HUMAN_.pdf</v>
      </c>
      <c r="AA2564" t="s">
        <v>13415</v>
      </c>
      <c r="AB2564" t="s">
        <v>16989</v>
      </c>
    </row>
    <row r="2565" spans="1:28" x14ac:dyDescent="0.25">
      <c r="A2565" t="s">
        <v>2569</v>
      </c>
      <c r="B2565">
        <v>0.98018197421672304</v>
      </c>
      <c r="C2565">
        <v>0.95812438216220497</v>
      </c>
      <c r="D2565">
        <v>0.81479673629401095</v>
      </c>
      <c r="E2565">
        <v>0.64303263428805801</v>
      </c>
      <c r="F2565">
        <v>0.44017019557963299</v>
      </c>
      <c r="G2565">
        <v>0.325256140827133</v>
      </c>
      <c r="H2565">
        <v>0.20619054130810699</v>
      </c>
      <c r="I2565">
        <v>0.21164856482542099</v>
      </c>
      <c r="J2565">
        <v>0.15941229149474301</v>
      </c>
      <c r="K2565">
        <v>6.0370612192973697E-2</v>
      </c>
      <c r="L2565">
        <v>610.88250703183996</v>
      </c>
      <c r="M2565">
        <v>11.8084255105616</v>
      </c>
      <c r="N2565">
        <v>52.492344247253797</v>
      </c>
      <c r="O2565">
        <v>50.3160074804617</v>
      </c>
      <c r="P2565">
        <v>-5.4077449845907302E-2</v>
      </c>
      <c r="Q2565">
        <v>7.8534888241529793E-2</v>
      </c>
      <c r="R2565">
        <v>0.99164837693045504</v>
      </c>
      <c r="S2565" t="s">
        <v>6194</v>
      </c>
      <c r="T2565" t="s">
        <v>7256</v>
      </c>
      <c r="U2565" t="s">
        <v>7256</v>
      </c>
      <c r="V2565" t="s">
        <v>7256</v>
      </c>
      <c r="W2565">
        <v>6</v>
      </c>
      <c r="X2565" t="s">
        <v>9821</v>
      </c>
      <c r="Y2565">
        <v>0.46822914183993031</v>
      </c>
      <c r="Z2565" t="str">
        <f>HYPERLINK("Melting_Curves/meltCurve_sp_Q9H974_QTRD1_HUMAN_.pdf", "Melting_Curves/meltCurve_sp_Q9H974_QTRD1_HUMAN_.pdf")</f>
        <v>Melting_Curves/meltCurve_sp_Q9H974_QTRD1_HUMAN_.pdf</v>
      </c>
      <c r="AA2565" t="s">
        <v>13416</v>
      </c>
      <c r="AB2565" t="s">
        <v>16990</v>
      </c>
    </row>
    <row r="2566" spans="1:28" x14ac:dyDescent="0.25">
      <c r="A2566" t="s">
        <v>2570</v>
      </c>
      <c r="B2566">
        <v>0.98018197421672304</v>
      </c>
      <c r="C2566">
        <v>0.96576106607456103</v>
      </c>
      <c r="D2566">
        <v>0.86830723033373802</v>
      </c>
      <c r="E2566">
        <v>0.23771916389011699</v>
      </c>
      <c r="F2566">
        <v>0.121974747476658</v>
      </c>
      <c r="G2566">
        <v>8.1848713687604505E-2</v>
      </c>
      <c r="H2566">
        <v>5.1250151394596301E-2</v>
      </c>
      <c r="I2566">
        <v>4.2613701220381599E-2</v>
      </c>
      <c r="J2566">
        <v>4.0395574035777003E-2</v>
      </c>
      <c r="K2566">
        <v>3.9063556898695298E-2</v>
      </c>
      <c r="L2566">
        <v>1761.4569884012999</v>
      </c>
      <c r="M2566">
        <v>36.563747456479703</v>
      </c>
      <c r="N2566">
        <v>48.328724080402601</v>
      </c>
      <c r="O2566">
        <v>48.0315340108532</v>
      </c>
      <c r="P2566">
        <v>-0.17986149852507399</v>
      </c>
      <c r="Q2566">
        <v>5.4911088327222697E-2</v>
      </c>
      <c r="R2566">
        <v>0.99766917650874898</v>
      </c>
      <c r="S2566" t="s">
        <v>6195</v>
      </c>
      <c r="T2566" t="s">
        <v>7256</v>
      </c>
      <c r="U2566" t="s">
        <v>7256</v>
      </c>
      <c r="V2566" t="s">
        <v>7256</v>
      </c>
      <c r="W2566">
        <v>6</v>
      </c>
      <c r="X2566" t="s">
        <v>9822</v>
      </c>
      <c r="Y2566">
        <v>0.31623517414825297</v>
      </c>
      <c r="Z2566" t="str">
        <f>HYPERLINK("Melting_Curves/meltCurve_sp_Q9H993_CF211_HUMAN_.pdf", "Melting_Curves/meltCurve_sp_Q9H993_CF211_HUMAN_.pdf")</f>
        <v>Melting_Curves/meltCurve_sp_Q9H993_CF211_HUMAN_.pdf</v>
      </c>
      <c r="AA2566" t="s">
        <v>13417</v>
      </c>
      <c r="AB2566" t="s">
        <v>16991</v>
      </c>
    </row>
    <row r="2567" spans="1:28" x14ac:dyDescent="0.25">
      <c r="A2567" t="s">
        <v>2571</v>
      </c>
      <c r="B2567">
        <v>0.98018197421672304</v>
      </c>
      <c r="C2567">
        <v>1.01106738810618</v>
      </c>
      <c r="D2567">
        <v>0.85999397575096703</v>
      </c>
      <c r="E2567">
        <v>0.510075568778106</v>
      </c>
      <c r="F2567">
        <v>0.30301757851501199</v>
      </c>
      <c r="G2567">
        <v>0.21308711785435</v>
      </c>
      <c r="H2567">
        <v>0.145998279859194</v>
      </c>
      <c r="I2567">
        <v>5.33541299806254E-2</v>
      </c>
      <c r="J2567">
        <v>5.9690038688436399E-2</v>
      </c>
      <c r="K2567">
        <v>6.5023398279389397E-2</v>
      </c>
      <c r="L2567">
        <v>932.36952449544799</v>
      </c>
      <c r="M2567">
        <v>18.6466314068096</v>
      </c>
      <c r="N2567">
        <v>50.435946928152397</v>
      </c>
      <c r="O2567">
        <v>49.4375947031347</v>
      </c>
      <c r="P2567">
        <v>-8.7309675692064798E-2</v>
      </c>
      <c r="Q2567">
        <v>7.4107371354070403E-2</v>
      </c>
      <c r="R2567">
        <v>0.99254363446096605</v>
      </c>
      <c r="S2567" t="s">
        <v>6196</v>
      </c>
      <c r="T2567" t="s">
        <v>7256</v>
      </c>
      <c r="U2567" t="s">
        <v>7256</v>
      </c>
      <c r="V2567" t="s">
        <v>7256</v>
      </c>
      <c r="W2567">
        <v>3</v>
      </c>
      <c r="X2567" t="s">
        <v>9823</v>
      </c>
      <c r="Y2567">
        <v>0.39756194735030681</v>
      </c>
      <c r="Z2567" t="str">
        <f>HYPERLINK("Melting_Curves/meltCurve_sp_Q9H999_PANK3_HUMAN_.pdf", "Melting_Curves/meltCurve_sp_Q9H999_PANK3_HUMAN_.pdf")</f>
        <v>Melting_Curves/meltCurve_sp_Q9H999_PANK3_HUMAN_.pdf</v>
      </c>
      <c r="AA2567" t="s">
        <v>13418</v>
      </c>
      <c r="AB2567" t="s">
        <v>16992</v>
      </c>
    </row>
    <row r="2568" spans="1:28" x14ac:dyDescent="0.25">
      <c r="A2568" t="s">
        <v>2572</v>
      </c>
      <c r="B2568">
        <v>0.98018197421672304</v>
      </c>
      <c r="C2568">
        <v>0.794282469998562</v>
      </c>
      <c r="D2568">
        <v>0.79234804075933496</v>
      </c>
      <c r="E2568">
        <v>0.63470892816012603</v>
      </c>
      <c r="F2568">
        <v>0.28464771041343101</v>
      </c>
      <c r="G2568">
        <v>0.14651151169017501</v>
      </c>
      <c r="H2568">
        <v>0.103358980621177</v>
      </c>
      <c r="I2568">
        <v>7.7448237260180602E-2</v>
      </c>
      <c r="J2568">
        <v>0.10158428750856099</v>
      </c>
      <c r="K2568">
        <v>0.11238792017895601</v>
      </c>
      <c r="L2568">
        <v>705.14417548404697</v>
      </c>
      <c r="M2568">
        <v>14.1085737248118</v>
      </c>
      <c r="N2568">
        <v>50.371543564903497</v>
      </c>
      <c r="O2568">
        <v>49.007867652418099</v>
      </c>
      <c r="P2568">
        <v>-6.8240488759474693E-2</v>
      </c>
      <c r="Q2568">
        <v>5.1954772414827703E-2</v>
      </c>
      <c r="R2568">
        <v>0.96852568125148897</v>
      </c>
      <c r="S2568" t="s">
        <v>6197</v>
      </c>
      <c r="T2568" t="s">
        <v>7256</v>
      </c>
      <c r="U2568" t="s">
        <v>7256</v>
      </c>
      <c r="V2568" t="s">
        <v>7256</v>
      </c>
      <c r="W2568">
        <v>3</v>
      </c>
      <c r="X2568" t="s">
        <v>9824</v>
      </c>
      <c r="Y2568">
        <v>0.39251126137236292</v>
      </c>
      <c r="Z2568" t="str">
        <f>HYPERLINK("Melting_Curves/meltCurve_sp_Q9H9A5_2_CNO10_HUMAN_.pdf", "Melting_Curves/meltCurve_sp_Q9H9A5_2_CNO10_HUMAN_.pdf")</f>
        <v>Melting_Curves/meltCurve_sp_Q9H9A5_2_CNO10_HUMAN_.pdf</v>
      </c>
      <c r="AA2568" t="s">
        <v>13419</v>
      </c>
      <c r="AB2568" t="s">
        <v>16993</v>
      </c>
    </row>
    <row r="2569" spans="1:28" x14ac:dyDescent="0.25">
      <c r="A2569" t="s">
        <v>2573</v>
      </c>
      <c r="B2569">
        <v>0.98018197421672304</v>
      </c>
      <c r="C2569">
        <v>0.95917972364024295</v>
      </c>
      <c r="D2569">
        <v>0.82861904964726896</v>
      </c>
      <c r="E2569">
        <v>0.50222967482529202</v>
      </c>
      <c r="F2569">
        <v>0.20633428124106401</v>
      </c>
      <c r="G2569">
        <v>0.122013310287447</v>
      </c>
      <c r="H2569">
        <v>7.6139151418525994E-2</v>
      </c>
      <c r="I2569">
        <v>6.4664253765708807E-2</v>
      </c>
      <c r="J2569">
        <v>7.0796680426418304E-2</v>
      </c>
      <c r="K2569">
        <v>5.5275733666409699E-2</v>
      </c>
      <c r="L2569">
        <v>1055.8280226320001</v>
      </c>
      <c r="M2569">
        <v>21.350749112012299</v>
      </c>
      <c r="N2569">
        <v>49.741311032420199</v>
      </c>
      <c r="O2569">
        <v>49.023865997387901</v>
      </c>
      <c r="P2569">
        <v>-0.102515450313913</v>
      </c>
      <c r="Q2569">
        <v>5.8472509299456903E-2</v>
      </c>
      <c r="R2569">
        <v>0.99816657285474497</v>
      </c>
      <c r="S2569" t="s">
        <v>6198</v>
      </c>
      <c r="T2569" t="s">
        <v>7256</v>
      </c>
      <c r="U2569" t="s">
        <v>7256</v>
      </c>
      <c r="V2569" t="s">
        <v>7256</v>
      </c>
      <c r="W2569">
        <v>14</v>
      </c>
      <c r="X2569" t="s">
        <v>9825</v>
      </c>
      <c r="Y2569">
        <v>0.36663151650010017</v>
      </c>
      <c r="Z2569" t="str">
        <f>HYPERLINK("Melting_Curves/meltCurve_sp_Q9H9A6_LRC40_HUMAN_.pdf", "Melting_Curves/meltCurve_sp_Q9H9A6_LRC40_HUMAN_.pdf")</f>
        <v>Melting_Curves/meltCurve_sp_Q9H9A6_LRC40_HUMAN_.pdf</v>
      </c>
      <c r="AA2569" t="s">
        <v>13420</v>
      </c>
      <c r="AB2569" t="s">
        <v>16994</v>
      </c>
    </row>
    <row r="2570" spans="1:28" x14ac:dyDescent="0.25">
      <c r="A2570" t="s">
        <v>2574</v>
      </c>
      <c r="B2570">
        <v>0.98018197421672304</v>
      </c>
      <c r="C2570">
        <v>0.89278930186279903</v>
      </c>
      <c r="D2570">
        <v>0.92125209926360596</v>
      </c>
      <c r="E2570">
        <v>0.80314623439019595</v>
      </c>
      <c r="F2570">
        <v>0.84997919862508597</v>
      </c>
      <c r="G2570">
        <v>0.70053901347609704</v>
      </c>
      <c r="H2570">
        <v>0.51525314272643596</v>
      </c>
      <c r="I2570">
        <v>0.52085375032151504</v>
      </c>
      <c r="J2570">
        <v>0.88866129395008697</v>
      </c>
      <c r="K2570">
        <v>0.98195063047134501</v>
      </c>
      <c r="L2570">
        <v>731.61073531420004</v>
      </c>
      <c r="M2570">
        <v>15.582042237704499</v>
      </c>
      <c r="O2570">
        <v>46.1992542573321</v>
      </c>
      <c r="P2570">
        <v>-2.2687287481314499E-2</v>
      </c>
      <c r="Q2570">
        <v>0.73096095155917595</v>
      </c>
      <c r="R2570">
        <v>0.27219857792994401</v>
      </c>
      <c r="S2570" t="s">
        <v>6199</v>
      </c>
      <c r="T2570" t="s">
        <v>7256</v>
      </c>
      <c r="U2570" t="s">
        <v>7256</v>
      </c>
      <c r="V2570" t="s">
        <v>7256</v>
      </c>
      <c r="W2570">
        <v>1</v>
      </c>
      <c r="X2570" t="s">
        <v>9826</v>
      </c>
      <c r="Y2570">
        <v>0.80008225809513622</v>
      </c>
      <c r="Z2570" t="str">
        <f>HYPERLINK("Melting_Curves/meltCurve_sp_Q9H9B1_4_EHMT1_HUMAN_.pdf", "Melting_Curves/meltCurve_sp_Q9H9B1_4_EHMT1_HUMAN_.pdf")</f>
        <v>Melting_Curves/meltCurve_sp_Q9H9B1_4_EHMT1_HUMAN_.pdf</v>
      </c>
      <c r="AA2570" t="s">
        <v>13421</v>
      </c>
      <c r="AB2570" t="s">
        <v>16995</v>
      </c>
    </row>
    <row r="2571" spans="1:28" x14ac:dyDescent="0.25">
      <c r="A2571" t="s">
        <v>2575</v>
      </c>
      <c r="B2571">
        <v>0.98018197421672304</v>
      </c>
      <c r="C2571">
        <v>0.90941519043750896</v>
      </c>
      <c r="D2571">
        <v>0.91058031684700702</v>
      </c>
      <c r="E2571">
        <v>0.597628667894052</v>
      </c>
      <c r="F2571">
        <v>0.33342622924465298</v>
      </c>
      <c r="G2571">
        <v>0.20930453860829101</v>
      </c>
      <c r="H2571">
        <v>0.150961514458371</v>
      </c>
      <c r="I2571">
        <v>0.152046248904805</v>
      </c>
      <c r="J2571">
        <v>0.14292485792704901</v>
      </c>
      <c r="K2571">
        <v>0.205548804036325</v>
      </c>
      <c r="L2571">
        <v>1129.57584430414</v>
      </c>
      <c r="M2571">
        <v>22.553005443688299</v>
      </c>
      <c r="N2571">
        <v>50.930568105143998</v>
      </c>
      <c r="O2571">
        <v>49.6965871166501</v>
      </c>
      <c r="P2571">
        <v>-9.5745029347781702E-2</v>
      </c>
      <c r="Q2571">
        <v>0.15610272824640201</v>
      </c>
      <c r="R2571">
        <v>0.992123384170155</v>
      </c>
      <c r="S2571" t="s">
        <v>6200</v>
      </c>
      <c r="T2571" t="s">
        <v>7256</v>
      </c>
      <c r="U2571" t="s">
        <v>7256</v>
      </c>
      <c r="V2571" t="s">
        <v>7256</v>
      </c>
      <c r="W2571">
        <v>3</v>
      </c>
      <c r="X2571" t="s">
        <v>9827</v>
      </c>
      <c r="Y2571">
        <v>0.44907701102360009</v>
      </c>
      <c r="Z2571" t="str">
        <f>HYPERLINK("Melting_Curves/meltCurve_sp_Q9H9C1_2_SPE39_HUMAN_.pdf", "Melting_Curves/meltCurve_sp_Q9H9C1_2_SPE39_HUMAN_.pdf")</f>
        <v>Melting_Curves/meltCurve_sp_Q9H9C1_2_SPE39_HUMAN_.pdf</v>
      </c>
      <c r="AA2571" t="s">
        <v>13422</v>
      </c>
      <c r="AB2571" t="s">
        <v>16996</v>
      </c>
    </row>
    <row r="2572" spans="1:28" x14ac:dyDescent="0.25">
      <c r="A2572" t="s">
        <v>2576</v>
      </c>
      <c r="B2572">
        <v>0.98018197421672304</v>
      </c>
      <c r="C2572">
        <v>0.94342088087793496</v>
      </c>
      <c r="D2572">
        <v>0.73632079880034396</v>
      </c>
      <c r="E2572">
        <v>0.38183606058695502</v>
      </c>
      <c r="F2572">
        <v>0.22480928040284701</v>
      </c>
      <c r="G2572">
        <v>0.13675061444731301</v>
      </c>
      <c r="H2572">
        <v>9.1034410430679003E-2</v>
      </c>
      <c r="I2572">
        <v>7.6714968001888997E-2</v>
      </c>
      <c r="J2572">
        <v>8.0846200850227604E-2</v>
      </c>
      <c r="K2572">
        <v>6.0307138698462201E-2</v>
      </c>
      <c r="L2572">
        <v>922.40278168442001</v>
      </c>
      <c r="M2572">
        <v>19.098083542912001</v>
      </c>
      <c r="N2572">
        <v>48.701093903302599</v>
      </c>
      <c r="O2572">
        <v>47.777990883657502</v>
      </c>
      <c r="P2572">
        <v>-9.2632504405307098E-2</v>
      </c>
      <c r="Q2572">
        <v>7.3075152844454497E-2</v>
      </c>
      <c r="R2572">
        <v>0.99910376320102401</v>
      </c>
      <c r="S2572" t="s">
        <v>6201</v>
      </c>
      <c r="T2572" t="s">
        <v>7256</v>
      </c>
      <c r="U2572" t="s">
        <v>7256</v>
      </c>
      <c r="V2572" t="s">
        <v>7256</v>
      </c>
      <c r="W2572">
        <v>10</v>
      </c>
      <c r="X2572" t="s">
        <v>9828</v>
      </c>
      <c r="Y2572">
        <v>0.34389356506771268</v>
      </c>
      <c r="Z2572" t="str">
        <f>HYPERLINK("Melting_Curves/meltCurve_sp_Q9H9E3_COG4_HUMAN_.pdf", "Melting_Curves/meltCurve_sp_Q9H9E3_COG4_HUMAN_.pdf")</f>
        <v>Melting_Curves/meltCurve_sp_Q9H9E3_COG4_HUMAN_.pdf</v>
      </c>
      <c r="AA2572" t="s">
        <v>13423</v>
      </c>
      <c r="AB2572" t="s">
        <v>16997</v>
      </c>
    </row>
    <row r="2573" spans="1:28" x14ac:dyDescent="0.25">
      <c r="A2573" t="s">
        <v>2577</v>
      </c>
      <c r="B2573">
        <v>0.98018197421672304</v>
      </c>
      <c r="C2573">
        <v>1.2499243179950199</v>
      </c>
      <c r="D2573">
        <v>0.92137005732701704</v>
      </c>
      <c r="E2573">
        <v>0.82350885518141703</v>
      </c>
      <c r="F2573">
        <v>0.70558024240046202</v>
      </c>
      <c r="G2573">
        <v>0.47323217767325498</v>
      </c>
      <c r="H2573">
        <v>0.39218330792011802</v>
      </c>
      <c r="I2573">
        <v>0.38333923123761698</v>
      </c>
      <c r="J2573">
        <v>0.35055234954534098</v>
      </c>
      <c r="K2573">
        <v>0.151839016291933</v>
      </c>
      <c r="L2573">
        <v>792.53954677002105</v>
      </c>
      <c r="M2573">
        <v>14.489520411288501</v>
      </c>
      <c r="N2573">
        <v>57.205581841987403</v>
      </c>
      <c r="O2573">
        <v>53.687233369288499</v>
      </c>
      <c r="P2573">
        <v>-5.1614775404339397E-2</v>
      </c>
      <c r="Q2573">
        <v>0.235106767777086</v>
      </c>
      <c r="R2573">
        <v>0.912670299668072</v>
      </c>
      <c r="S2573" t="s">
        <v>6202</v>
      </c>
      <c r="T2573" t="s">
        <v>7256</v>
      </c>
      <c r="U2573" t="s">
        <v>7256</v>
      </c>
      <c r="V2573" t="s">
        <v>7256</v>
      </c>
      <c r="W2573">
        <v>10</v>
      </c>
      <c r="X2573" t="s">
        <v>9829</v>
      </c>
      <c r="Y2573">
        <v>0.62547647769066195</v>
      </c>
      <c r="Z2573" t="str">
        <f>HYPERLINK("Melting_Curves/meltCurve_sp_Q9H9G7_2_AGO3_HUMAN_.pdf", "Melting_Curves/meltCurve_sp_Q9H9G7_2_AGO3_HUMAN_.pdf")</f>
        <v>Melting_Curves/meltCurve_sp_Q9H9G7_2_AGO3_HUMAN_.pdf</v>
      </c>
      <c r="AA2573" t="s">
        <v>13424</v>
      </c>
      <c r="AB2573" t="s">
        <v>16998</v>
      </c>
    </row>
    <row r="2574" spans="1:28" x14ac:dyDescent="0.25">
      <c r="A2574" t="s">
        <v>2578</v>
      </c>
      <c r="B2574">
        <v>0.98018197421672304</v>
      </c>
      <c r="C2574">
        <v>0.82990094088511102</v>
      </c>
      <c r="D2574">
        <v>0.86220061114641</v>
      </c>
      <c r="E2574">
        <v>0.86865744160792802</v>
      </c>
      <c r="F2574">
        <v>0.68380116548452996</v>
      </c>
      <c r="G2574">
        <v>0.49663526549492598</v>
      </c>
      <c r="H2574">
        <v>0.233861273336676</v>
      </c>
      <c r="I2574">
        <v>0.108248759455765</v>
      </c>
      <c r="J2574">
        <v>3.6293574025542598E-2</v>
      </c>
      <c r="K2574">
        <v>2.0683682927165398E-2</v>
      </c>
      <c r="L2574">
        <v>805.00547173164603</v>
      </c>
      <c r="M2574">
        <v>14.3784489999352</v>
      </c>
      <c r="N2574">
        <v>55.986947532707603</v>
      </c>
      <c r="O2574">
        <v>54.937417159615698</v>
      </c>
      <c r="P2574">
        <v>-6.54388658675569E-2</v>
      </c>
      <c r="Q2574">
        <v>0</v>
      </c>
      <c r="R2574">
        <v>0.96706468464222495</v>
      </c>
      <c r="S2574" t="s">
        <v>6203</v>
      </c>
      <c r="T2574" t="s">
        <v>7256</v>
      </c>
      <c r="U2574" t="s">
        <v>7256</v>
      </c>
      <c r="V2574" t="s">
        <v>7256</v>
      </c>
      <c r="W2574">
        <v>2</v>
      </c>
      <c r="X2574" t="s">
        <v>9830</v>
      </c>
      <c r="Y2574">
        <v>0.55128203593580771</v>
      </c>
      <c r="Z2574" t="str">
        <f>HYPERLINK("Melting_Curves/meltCurve_sp_Q9H9J2_RM44_HUMAN_.pdf", "Melting_Curves/meltCurve_sp_Q9H9J2_RM44_HUMAN_.pdf")</f>
        <v>Melting_Curves/meltCurve_sp_Q9H9J2_RM44_HUMAN_.pdf</v>
      </c>
      <c r="AA2574" t="s">
        <v>13425</v>
      </c>
      <c r="AB2574" t="s">
        <v>16999</v>
      </c>
    </row>
    <row r="2575" spans="1:28" x14ac:dyDescent="0.25">
      <c r="A2575" t="s">
        <v>2579</v>
      </c>
      <c r="B2575">
        <v>0.98018197421672304</v>
      </c>
      <c r="C2575">
        <v>1.01730112466153</v>
      </c>
      <c r="D2575">
        <v>0.90122020154989602</v>
      </c>
      <c r="E2575">
        <v>0.72689171153704402</v>
      </c>
      <c r="F2575">
        <v>0.65457014284890402</v>
      </c>
      <c r="G2575">
        <v>0.275123094089117</v>
      </c>
      <c r="H2575">
        <v>0.21715471302372</v>
      </c>
      <c r="I2575">
        <v>7.9535875211967297E-2</v>
      </c>
      <c r="J2575">
        <v>0.96212152729266198</v>
      </c>
      <c r="K2575">
        <v>7.2101335123792007E-2</v>
      </c>
      <c r="L2575">
        <v>1182.073683033</v>
      </c>
      <c r="M2575">
        <v>22.9837823544614</v>
      </c>
      <c r="N2575">
        <v>53.7668569156546</v>
      </c>
      <c r="O2575">
        <v>51.046193105053703</v>
      </c>
      <c r="P2575">
        <v>-7.7017052861850899E-2</v>
      </c>
      <c r="Q2575">
        <v>0.31580411031422201</v>
      </c>
      <c r="R2575">
        <v>0.57687101851615896</v>
      </c>
      <c r="S2575" t="s">
        <v>6204</v>
      </c>
      <c r="T2575" t="s">
        <v>7256</v>
      </c>
      <c r="U2575" t="s">
        <v>7256</v>
      </c>
      <c r="V2575" t="s">
        <v>7256</v>
      </c>
      <c r="W2575">
        <v>1</v>
      </c>
      <c r="X2575" t="s">
        <v>9831</v>
      </c>
      <c r="Y2575">
        <v>0.58380618289934461</v>
      </c>
      <c r="Z2575" t="str">
        <f>HYPERLINK("Melting_Curves/meltCurve_sp_Q9H9Q2_2_CSN7B_HUMAN_.pdf", "Melting_Curves/meltCurve_sp_Q9H9Q2_2_CSN7B_HUMAN_.pdf")</f>
        <v>Melting_Curves/meltCurve_sp_Q9H9Q2_2_CSN7B_HUMAN_.pdf</v>
      </c>
      <c r="AA2575" t="s">
        <v>13426</v>
      </c>
      <c r="AB2575" t="s">
        <v>17000</v>
      </c>
    </row>
    <row r="2576" spans="1:28" x14ac:dyDescent="0.25">
      <c r="A2576" t="s">
        <v>2580</v>
      </c>
      <c r="B2576">
        <v>0.98018197421672304</v>
      </c>
      <c r="C2576">
        <v>0.72607899053835101</v>
      </c>
      <c r="D2576">
        <v>0.67602612567079601</v>
      </c>
      <c r="E2576">
        <v>0.35716866155763499</v>
      </c>
      <c r="F2576">
        <v>0.193229918082479</v>
      </c>
      <c r="G2576">
        <v>0.100401396608796</v>
      </c>
      <c r="H2576">
        <v>5.6859314902676997E-2</v>
      </c>
      <c r="I2576">
        <v>4.4356583329408603E-2</v>
      </c>
      <c r="J2576">
        <v>6.0585637656669598E-2</v>
      </c>
      <c r="K2576">
        <v>4.7655721711589501E-2</v>
      </c>
      <c r="L2576">
        <v>651.20934756502902</v>
      </c>
      <c r="M2576">
        <v>13.7088762698165</v>
      </c>
      <c r="N2576">
        <v>47.667732744161299</v>
      </c>
      <c r="O2576">
        <v>46.526162984446103</v>
      </c>
      <c r="P2576">
        <v>-7.1965895434595306E-2</v>
      </c>
      <c r="Q2576">
        <v>2.31684565403204E-2</v>
      </c>
      <c r="R2576">
        <v>0.98576471516279096</v>
      </c>
      <c r="S2576" t="s">
        <v>6205</v>
      </c>
      <c r="T2576" t="s">
        <v>7256</v>
      </c>
      <c r="U2576" t="s">
        <v>7256</v>
      </c>
      <c r="V2576" t="s">
        <v>7256</v>
      </c>
      <c r="W2576">
        <v>3</v>
      </c>
      <c r="X2576" t="s">
        <v>9832</v>
      </c>
      <c r="Y2576">
        <v>0.29827819018127349</v>
      </c>
      <c r="Z2576" t="str">
        <f>HYPERLINK("Melting_Curves/meltCurve_sp_Q9H9S4_CB39L_HUMAN_.pdf", "Melting_Curves/meltCurve_sp_Q9H9S4_CB39L_HUMAN_.pdf")</f>
        <v>Melting_Curves/meltCurve_sp_Q9H9S4_CB39L_HUMAN_.pdf</v>
      </c>
      <c r="AA2576" t="s">
        <v>13427</v>
      </c>
      <c r="AB2576" t="s">
        <v>17001</v>
      </c>
    </row>
    <row r="2577" spans="1:28" x14ac:dyDescent="0.25">
      <c r="A2577" t="s">
        <v>2581</v>
      </c>
      <c r="B2577">
        <v>0.98018197421672304</v>
      </c>
      <c r="C2577">
        <v>0.94327053886555701</v>
      </c>
      <c r="D2577">
        <v>0.83941597310352101</v>
      </c>
      <c r="E2577">
        <v>0.67415985823982405</v>
      </c>
      <c r="F2577">
        <v>0.45620698277853</v>
      </c>
      <c r="G2577">
        <v>0.163757863385038</v>
      </c>
      <c r="H2577">
        <v>7.7370016129839694E-2</v>
      </c>
      <c r="I2577">
        <v>5.5849750807209199E-2</v>
      </c>
      <c r="J2577">
        <v>6.3146962447142102E-2</v>
      </c>
      <c r="K2577">
        <v>4.2893334476053702E-2</v>
      </c>
      <c r="L2577">
        <v>812.05703310129297</v>
      </c>
      <c r="M2577">
        <v>15.6463178370661</v>
      </c>
      <c r="N2577">
        <v>51.976416052477497</v>
      </c>
      <c r="O2577">
        <v>51.075206215078602</v>
      </c>
      <c r="P2577">
        <v>-7.5729851470228302E-2</v>
      </c>
      <c r="Q2577">
        <v>1.1246855237819301E-2</v>
      </c>
      <c r="R2577">
        <v>0.99497350360857395</v>
      </c>
      <c r="S2577" t="s">
        <v>6206</v>
      </c>
      <c r="T2577" t="s">
        <v>7256</v>
      </c>
      <c r="U2577" t="s">
        <v>7256</v>
      </c>
      <c r="V2577" t="s">
        <v>7256</v>
      </c>
      <c r="W2577">
        <v>6</v>
      </c>
      <c r="X2577" t="s">
        <v>9833</v>
      </c>
      <c r="Y2577">
        <v>0.42424615366362178</v>
      </c>
      <c r="Z2577" t="str">
        <f>HYPERLINK("Melting_Curves/meltCurve_sp_Q9H9T3_2_ELP3_HUMAN_.pdf", "Melting_Curves/meltCurve_sp_Q9H9T3_2_ELP3_HUMAN_.pdf")</f>
        <v>Melting_Curves/meltCurve_sp_Q9H9T3_2_ELP3_HUMAN_.pdf</v>
      </c>
      <c r="AA2577" t="s">
        <v>13428</v>
      </c>
      <c r="AB2577" t="s">
        <v>17002</v>
      </c>
    </row>
    <row r="2578" spans="1:28" x14ac:dyDescent="0.25">
      <c r="A2578" t="s">
        <v>2582</v>
      </c>
      <c r="B2578">
        <v>0.98018197421672304</v>
      </c>
      <c r="C2578">
        <v>1.0339031652000199</v>
      </c>
      <c r="D2578">
        <v>0.99773542808734395</v>
      </c>
      <c r="E2578">
        <v>0.78881943053327297</v>
      </c>
      <c r="F2578">
        <v>0.72151693732497801</v>
      </c>
      <c r="G2578">
        <v>0.52110857507960495</v>
      </c>
      <c r="H2578">
        <v>0.30137865241200301</v>
      </c>
      <c r="I2578">
        <v>0.111082048417075</v>
      </c>
      <c r="J2578">
        <v>9.3109865816372997E-2</v>
      </c>
      <c r="K2578">
        <v>6.4710127811536594E-2</v>
      </c>
      <c r="L2578">
        <v>782.248724430685</v>
      </c>
      <c r="M2578">
        <v>13.8090160112839</v>
      </c>
      <c r="N2578">
        <v>56.647671412275002</v>
      </c>
      <c r="O2578">
        <v>55.499345207005902</v>
      </c>
      <c r="P2578">
        <v>-6.2212193793679302E-2</v>
      </c>
      <c r="Q2578">
        <v>0</v>
      </c>
      <c r="R2578">
        <v>0.98898888123484696</v>
      </c>
      <c r="S2578" t="s">
        <v>6207</v>
      </c>
      <c r="T2578" t="s">
        <v>7256</v>
      </c>
      <c r="U2578" t="s">
        <v>7256</v>
      </c>
      <c r="V2578" t="s">
        <v>7256</v>
      </c>
      <c r="W2578">
        <v>5</v>
      </c>
      <c r="X2578" t="s">
        <v>9834</v>
      </c>
      <c r="Y2578">
        <v>0.57228597298802197</v>
      </c>
      <c r="Z2578" t="str">
        <f>HYPERLINK("Melting_Curves/meltCurve_sp_Q9HA64_KT3K_HUMAN_.pdf", "Melting_Curves/meltCurve_sp_Q9HA64_KT3K_HUMAN_.pdf")</f>
        <v>Melting_Curves/meltCurve_sp_Q9HA64_KT3K_HUMAN_.pdf</v>
      </c>
      <c r="AA2578" t="s">
        <v>13429</v>
      </c>
      <c r="AB2578" t="s">
        <v>17003</v>
      </c>
    </row>
    <row r="2579" spans="1:28" x14ac:dyDescent="0.25">
      <c r="A2579" t="s">
        <v>2583</v>
      </c>
      <c r="B2579">
        <v>0.98018197421672304</v>
      </c>
      <c r="C2579">
        <v>0.98175473918334299</v>
      </c>
      <c r="D2579">
        <v>0.85778694949454404</v>
      </c>
      <c r="E2579">
        <v>0.68133665942814103</v>
      </c>
      <c r="F2579">
        <v>0.32774698105580002</v>
      </c>
      <c r="G2579">
        <v>0.102622251354878</v>
      </c>
      <c r="H2579">
        <v>4.0340163984860997E-2</v>
      </c>
      <c r="I2579">
        <v>2.95558041799464E-2</v>
      </c>
      <c r="J2579">
        <v>3.30544257512249E-2</v>
      </c>
      <c r="K2579">
        <v>8.9528700581517906E-3</v>
      </c>
      <c r="L2579">
        <v>1066.33743247655</v>
      </c>
      <c r="M2579">
        <v>20.779218628455499</v>
      </c>
      <c r="N2579">
        <v>51.359135106454403</v>
      </c>
      <c r="O2579">
        <v>50.849294076282597</v>
      </c>
      <c r="P2579">
        <v>-0.10131027293749199</v>
      </c>
      <c r="Q2579">
        <v>8.3530701513755707E-3</v>
      </c>
      <c r="R2579">
        <v>0.99575154830261303</v>
      </c>
      <c r="S2579" t="s">
        <v>6208</v>
      </c>
      <c r="T2579" t="s">
        <v>7256</v>
      </c>
      <c r="U2579" t="s">
        <v>7256</v>
      </c>
      <c r="V2579" t="s">
        <v>7256</v>
      </c>
      <c r="W2579">
        <v>5</v>
      </c>
      <c r="X2579" t="s">
        <v>9835</v>
      </c>
      <c r="Y2579">
        <v>0.39526294453412608</v>
      </c>
      <c r="Z2579" t="str">
        <f>HYPERLINK("Melting_Curves/meltCurve_sp_Q9HA65_TBC17_HUMAN_.pdf", "Melting_Curves/meltCurve_sp_Q9HA65_TBC17_HUMAN_.pdf")</f>
        <v>Melting_Curves/meltCurve_sp_Q9HA65_TBC17_HUMAN_.pdf</v>
      </c>
      <c r="AA2579" t="s">
        <v>13430</v>
      </c>
      <c r="AB2579" t="s">
        <v>17004</v>
      </c>
    </row>
    <row r="2580" spans="1:28" x14ac:dyDescent="0.25">
      <c r="A2580" t="s">
        <v>2584</v>
      </c>
      <c r="B2580">
        <v>0.98018197421672304</v>
      </c>
      <c r="C2580">
        <v>0.97557670025490695</v>
      </c>
      <c r="D2580">
        <v>0.86848046240156596</v>
      </c>
      <c r="E2580">
        <v>0.81946210871722103</v>
      </c>
      <c r="F2580">
        <v>0.68109254283021603</v>
      </c>
      <c r="G2580">
        <v>0.48670844966558002</v>
      </c>
      <c r="H2580">
        <v>0.246384268484761</v>
      </c>
      <c r="I2580">
        <v>0.108901953545174</v>
      </c>
      <c r="J2580">
        <v>9.41170725440343E-2</v>
      </c>
      <c r="K2580">
        <v>5.61344771591549E-2</v>
      </c>
      <c r="L2580">
        <v>735.16387518092404</v>
      </c>
      <c r="M2580">
        <v>13.1490426247613</v>
      </c>
      <c r="N2580">
        <v>55.910068700801901</v>
      </c>
      <c r="O2580">
        <v>54.664342378542202</v>
      </c>
      <c r="P2580">
        <v>-6.0145536497617801E-2</v>
      </c>
      <c r="Q2580">
        <v>0</v>
      </c>
      <c r="R2580">
        <v>0.99130273194848495</v>
      </c>
      <c r="S2580" t="s">
        <v>6209</v>
      </c>
      <c r="T2580" t="s">
        <v>7256</v>
      </c>
      <c r="U2580" t="s">
        <v>7256</v>
      </c>
      <c r="V2580" t="s">
        <v>7256</v>
      </c>
      <c r="W2580">
        <v>15</v>
      </c>
      <c r="X2580" t="s">
        <v>9836</v>
      </c>
      <c r="Y2580">
        <v>0.55006349899921636</v>
      </c>
      <c r="Z2580" t="str">
        <f>HYPERLINK("Melting_Curves/meltCurve_sp_Q9HA77_SYCM_HUMAN_.pdf", "Melting_Curves/meltCurve_sp_Q9HA77_SYCM_HUMAN_.pdf")</f>
        <v>Melting_Curves/meltCurve_sp_Q9HA77_SYCM_HUMAN_.pdf</v>
      </c>
      <c r="AA2580" t="s">
        <v>13431</v>
      </c>
      <c r="AB2580" t="s">
        <v>17005</v>
      </c>
    </row>
    <row r="2581" spans="1:28" x14ac:dyDescent="0.25">
      <c r="A2581" t="s">
        <v>2585</v>
      </c>
      <c r="B2581">
        <v>0.98018197421672304</v>
      </c>
      <c r="C2581">
        <v>1.02056665463371</v>
      </c>
      <c r="D2581">
        <v>0.96981407587001101</v>
      </c>
      <c r="E2581">
        <v>0.78009529119597198</v>
      </c>
      <c r="F2581">
        <v>0.46317678497999998</v>
      </c>
      <c r="G2581">
        <v>0.124501007741638</v>
      </c>
      <c r="H2581">
        <v>5.82983272000668E-2</v>
      </c>
      <c r="I2581">
        <v>3.7852471696410997E-2</v>
      </c>
      <c r="J2581">
        <v>3.82696142769594E-2</v>
      </c>
      <c r="K2581">
        <v>2.50400008753251E-2</v>
      </c>
      <c r="L2581">
        <v>1351.8028764135299</v>
      </c>
      <c r="M2581">
        <v>25.760322896800901</v>
      </c>
      <c r="N2581">
        <v>52.5921655628146</v>
      </c>
      <c r="O2581">
        <v>52.162989563660503</v>
      </c>
      <c r="P2581">
        <v>-0.120052428520072</v>
      </c>
      <c r="Q2581">
        <v>2.76179795031729E-2</v>
      </c>
      <c r="R2581">
        <v>0.99918156560282001</v>
      </c>
      <c r="S2581" t="s">
        <v>6210</v>
      </c>
      <c r="T2581" t="s">
        <v>7256</v>
      </c>
      <c r="U2581" t="s">
        <v>7256</v>
      </c>
      <c r="V2581" t="s">
        <v>7256</v>
      </c>
      <c r="W2581">
        <v>11</v>
      </c>
      <c r="X2581" t="s">
        <v>9837</v>
      </c>
      <c r="Y2581">
        <v>0.44042450664207922</v>
      </c>
      <c r="Z2581" t="str">
        <f>HYPERLINK("Melting_Curves/meltCurve_sp_Q9HAB8_PPCS_HUMAN_.pdf", "Melting_Curves/meltCurve_sp_Q9HAB8_PPCS_HUMAN_.pdf")</f>
        <v>Melting_Curves/meltCurve_sp_Q9HAB8_PPCS_HUMAN_.pdf</v>
      </c>
      <c r="AA2581" t="s">
        <v>13432</v>
      </c>
      <c r="AB2581" t="s">
        <v>17006</v>
      </c>
    </row>
    <row r="2582" spans="1:28" x14ac:dyDescent="0.25">
      <c r="A2582" t="s">
        <v>2586</v>
      </c>
      <c r="B2582">
        <v>0.98018197421672304</v>
      </c>
      <c r="C2582">
        <v>0.95393418155767196</v>
      </c>
      <c r="D2582">
        <v>0.88647811629324103</v>
      </c>
      <c r="E2582">
        <v>0.64671092119914098</v>
      </c>
      <c r="F2582">
        <v>0.341198839378341</v>
      </c>
      <c r="G2582">
        <v>0.135353958824384</v>
      </c>
      <c r="H2582">
        <v>6.5865428437648699E-2</v>
      </c>
      <c r="I2582">
        <v>5.5619627917748701E-2</v>
      </c>
      <c r="J2582">
        <v>6.1975550086655402E-2</v>
      </c>
      <c r="K2582">
        <v>4.3755054410561899E-2</v>
      </c>
      <c r="L2582">
        <v>1030.0890756910101</v>
      </c>
      <c r="M2582">
        <v>20.164798276134199</v>
      </c>
      <c r="N2582">
        <v>51.289969487698301</v>
      </c>
      <c r="O2582">
        <v>50.589096343086197</v>
      </c>
      <c r="P2582">
        <v>-9.5768837362362497E-2</v>
      </c>
      <c r="Q2582">
        <v>3.89774827081504E-2</v>
      </c>
      <c r="R2582">
        <v>0.99838366489000896</v>
      </c>
      <c r="S2582" t="s">
        <v>6211</v>
      </c>
      <c r="T2582" t="s">
        <v>7256</v>
      </c>
      <c r="U2582" t="s">
        <v>7256</v>
      </c>
      <c r="V2582" t="s">
        <v>7256</v>
      </c>
      <c r="W2582">
        <v>6</v>
      </c>
      <c r="X2582" t="s">
        <v>9838</v>
      </c>
      <c r="Y2582">
        <v>0.40716307462787582</v>
      </c>
      <c r="Z2582" t="str">
        <f>HYPERLINK("Melting_Curves/meltCurve_sp_Q9HAC7_4_CG010_HUMAN_.pdf", "Melting_Curves/meltCurve_sp_Q9HAC7_4_CG010_HUMAN_.pdf")</f>
        <v>Melting_Curves/meltCurve_sp_Q9HAC7_4_CG010_HUMAN_.pdf</v>
      </c>
      <c r="AA2582" t="s">
        <v>13433</v>
      </c>
      <c r="AB2582" t="s">
        <v>17007</v>
      </c>
    </row>
    <row r="2583" spans="1:28" x14ac:dyDescent="0.25">
      <c r="A2583" t="s">
        <v>2587</v>
      </c>
      <c r="B2583">
        <v>0.98018197421672304</v>
      </c>
      <c r="C2583">
        <v>0.95896183860765005</v>
      </c>
      <c r="D2583">
        <v>0.90677469848459302</v>
      </c>
      <c r="E2583">
        <v>0.77147719216779498</v>
      </c>
      <c r="F2583">
        <v>0.67976542543111496</v>
      </c>
      <c r="G2583">
        <v>0.51701372892719599</v>
      </c>
      <c r="H2583">
        <v>0.39462473565251899</v>
      </c>
      <c r="I2583">
        <v>0.26650842918720002</v>
      </c>
      <c r="J2583">
        <v>0.18883298436304</v>
      </c>
      <c r="K2583">
        <v>0.106206217073262</v>
      </c>
      <c r="L2583">
        <v>543.863128080352</v>
      </c>
      <c r="M2583">
        <v>9.5110310914695209</v>
      </c>
      <c r="N2583">
        <v>57.182352656792503</v>
      </c>
      <c r="O2583">
        <v>54.8256674690209</v>
      </c>
      <c r="P2583">
        <v>-4.3394966382782701E-2</v>
      </c>
      <c r="Q2583">
        <v>0</v>
      </c>
      <c r="R2583">
        <v>0.99564835902818105</v>
      </c>
      <c r="S2583" t="s">
        <v>6212</v>
      </c>
      <c r="T2583" t="s">
        <v>7256</v>
      </c>
      <c r="U2583" t="s">
        <v>7256</v>
      </c>
      <c r="V2583" t="s">
        <v>7256</v>
      </c>
      <c r="W2583">
        <v>4</v>
      </c>
      <c r="X2583" t="s">
        <v>9839</v>
      </c>
      <c r="Y2583">
        <v>0.58681401002559297</v>
      </c>
      <c r="Z2583" t="str">
        <f>HYPERLINK("Melting_Curves/meltCurve_sp_Q9HAN9_NMNA1_HUMAN_.pdf", "Melting_Curves/meltCurve_sp_Q9HAN9_NMNA1_HUMAN_.pdf")</f>
        <v>Melting_Curves/meltCurve_sp_Q9HAN9_NMNA1_HUMAN_.pdf</v>
      </c>
      <c r="AA2583" t="s">
        <v>13434</v>
      </c>
      <c r="AB2583" t="s">
        <v>17008</v>
      </c>
    </row>
    <row r="2584" spans="1:28" x14ac:dyDescent="0.25">
      <c r="A2584" t="s">
        <v>2588</v>
      </c>
      <c r="B2584">
        <v>0.98018197421672304</v>
      </c>
      <c r="C2584">
        <v>0.87967239704257505</v>
      </c>
      <c r="D2584">
        <v>0.88615014689285598</v>
      </c>
      <c r="E2584">
        <v>0.92083985592027995</v>
      </c>
      <c r="F2584">
        <v>0.74388570451954805</v>
      </c>
      <c r="G2584">
        <v>0.69460852565767695</v>
      </c>
      <c r="H2584">
        <v>0.41815807490211798</v>
      </c>
      <c r="I2584">
        <v>0.28258662658945</v>
      </c>
      <c r="J2584">
        <v>0.141633669826467</v>
      </c>
      <c r="K2584">
        <v>0.103524959049827</v>
      </c>
      <c r="L2584">
        <v>727.75830635465798</v>
      </c>
      <c r="M2584">
        <v>12.3071012663271</v>
      </c>
      <c r="N2584">
        <v>59.133202139444002</v>
      </c>
      <c r="O2584">
        <v>57.636994403789799</v>
      </c>
      <c r="P2584">
        <v>-5.3393620466486401E-2</v>
      </c>
      <c r="Q2584">
        <v>0</v>
      </c>
      <c r="R2584">
        <v>0.96714716437887405</v>
      </c>
      <c r="S2584" t="s">
        <v>6213</v>
      </c>
      <c r="T2584" t="s">
        <v>7256</v>
      </c>
      <c r="U2584" t="s">
        <v>7256</v>
      </c>
      <c r="V2584" t="s">
        <v>7256</v>
      </c>
      <c r="W2584">
        <v>1</v>
      </c>
      <c r="X2584" t="s">
        <v>9840</v>
      </c>
      <c r="Y2584">
        <v>0.64547572643341633</v>
      </c>
      <c r="Z2584" t="str">
        <f>HYPERLINK("Melting_Curves/meltCurve_sp_Q9HAP2_MLXIP_HUMAN_.pdf", "Melting_Curves/meltCurve_sp_Q9HAP2_MLXIP_HUMAN_.pdf")</f>
        <v>Melting_Curves/meltCurve_sp_Q9HAP2_MLXIP_HUMAN_.pdf</v>
      </c>
      <c r="AA2584" t="s">
        <v>13435</v>
      </c>
      <c r="AB2584" t="s">
        <v>17009</v>
      </c>
    </row>
    <row r="2585" spans="1:28" x14ac:dyDescent="0.25">
      <c r="A2585" t="s">
        <v>2589</v>
      </c>
      <c r="B2585">
        <v>0.98018197421672304</v>
      </c>
      <c r="C2585">
        <v>0.89531092109632504</v>
      </c>
      <c r="D2585">
        <v>0.926463354257969</v>
      </c>
      <c r="E2585">
        <v>0.86101637642927198</v>
      </c>
      <c r="F2585">
        <v>0.80804372996201801</v>
      </c>
      <c r="G2585">
        <v>0.65959973092289204</v>
      </c>
      <c r="H2585">
        <v>0.46490545436053898</v>
      </c>
      <c r="I2585">
        <v>0.35107916272190798</v>
      </c>
      <c r="J2585">
        <v>0.15167426435790399</v>
      </c>
      <c r="K2585">
        <v>8.2885911135921406E-2</v>
      </c>
      <c r="L2585">
        <v>712.11733695772602</v>
      </c>
      <c r="M2585">
        <v>11.951923480234701</v>
      </c>
      <c r="N2585">
        <v>59.581818662323499</v>
      </c>
      <c r="O2585">
        <v>57.987330202569801</v>
      </c>
      <c r="P2585">
        <v>-5.1540783951827401E-2</v>
      </c>
      <c r="Q2585">
        <v>0</v>
      </c>
      <c r="R2585">
        <v>0.97503997447802604</v>
      </c>
      <c r="S2585" t="s">
        <v>6214</v>
      </c>
      <c r="T2585" t="s">
        <v>7256</v>
      </c>
      <c r="U2585" t="s">
        <v>7256</v>
      </c>
      <c r="V2585" t="s">
        <v>7256</v>
      </c>
      <c r="W2585">
        <v>5</v>
      </c>
      <c r="X2585" t="s">
        <v>9841</v>
      </c>
      <c r="Y2585">
        <v>0.65741596770447919</v>
      </c>
      <c r="Z2585" t="str">
        <f>HYPERLINK("Melting_Curves/meltCurve_sp_Q9HAT2_SIAE_HUMAN_.pdf", "Melting_Curves/meltCurve_sp_Q9HAT2_SIAE_HUMAN_.pdf")</f>
        <v>Melting_Curves/meltCurve_sp_Q9HAT2_SIAE_HUMAN_.pdf</v>
      </c>
      <c r="AA2585" t="s">
        <v>13436</v>
      </c>
      <c r="AB2585" t="s">
        <v>17010</v>
      </c>
    </row>
    <row r="2586" spans="1:28" x14ac:dyDescent="0.25">
      <c r="A2586" t="s">
        <v>2590</v>
      </c>
      <c r="B2586">
        <v>0.98018197421672304</v>
      </c>
      <c r="C2586">
        <v>1.02857699090968</v>
      </c>
      <c r="D2586">
        <v>0.87621755339170104</v>
      </c>
      <c r="E2586">
        <v>0.79084691934220297</v>
      </c>
      <c r="F2586">
        <v>0.67086527927320105</v>
      </c>
      <c r="G2586">
        <v>0.36771684063337501</v>
      </c>
      <c r="H2586">
        <v>0.230819907061206</v>
      </c>
      <c r="I2586">
        <v>0.230434354931184</v>
      </c>
      <c r="J2586">
        <v>0.207446910976259</v>
      </c>
      <c r="K2586">
        <v>0.30808562125821098</v>
      </c>
      <c r="L2586">
        <v>978.20420957671695</v>
      </c>
      <c r="M2586">
        <v>18.432783769676501</v>
      </c>
      <c r="N2586">
        <v>54.745914697907203</v>
      </c>
      <c r="O2586">
        <v>52.455941429767798</v>
      </c>
      <c r="P2586">
        <v>-6.8899757010534704E-2</v>
      </c>
      <c r="Q2586">
        <v>0.21573663781060601</v>
      </c>
      <c r="R2586">
        <v>0.97730815703852103</v>
      </c>
      <c r="S2586" t="s">
        <v>6215</v>
      </c>
      <c r="T2586" t="s">
        <v>7256</v>
      </c>
      <c r="U2586" t="s">
        <v>7256</v>
      </c>
      <c r="V2586" t="s">
        <v>7256</v>
      </c>
      <c r="W2586">
        <v>2</v>
      </c>
      <c r="X2586" t="s">
        <v>9842</v>
      </c>
      <c r="Y2586">
        <v>0.56972478597696274</v>
      </c>
      <c r="Z2586" t="str">
        <f>HYPERLINK("Melting_Curves/meltCurve_sp_Q9HAU0_PKHA5_HUMAN_.pdf", "Melting_Curves/meltCurve_sp_Q9HAU0_PKHA5_HUMAN_.pdf")</f>
        <v>Melting_Curves/meltCurve_sp_Q9HAU0_PKHA5_HUMAN_.pdf</v>
      </c>
      <c r="AA2586" t="s">
        <v>13437</v>
      </c>
      <c r="AB2586" t="s">
        <v>17011</v>
      </c>
    </row>
    <row r="2587" spans="1:28" x14ac:dyDescent="0.25">
      <c r="A2587" t="s">
        <v>2591</v>
      </c>
      <c r="B2587">
        <v>0.98018197421672304</v>
      </c>
      <c r="C2587">
        <v>0.98511985759801002</v>
      </c>
      <c r="D2587">
        <v>0.86276931195849305</v>
      </c>
      <c r="E2587">
        <v>0.57999179710398596</v>
      </c>
      <c r="F2587">
        <v>0.242244860310109</v>
      </c>
      <c r="G2587">
        <v>0.11316758789107099</v>
      </c>
      <c r="H2587">
        <v>8.0926296510053994E-2</v>
      </c>
      <c r="I2587">
        <v>8.9139551362975494E-2</v>
      </c>
      <c r="J2587">
        <v>5.68161839324638E-2</v>
      </c>
      <c r="K2587">
        <v>6.4883573322291194E-2</v>
      </c>
      <c r="L2587">
        <v>1160.3796277481999</v>
      </c>
      <c r="M2587">
        <v>23.144644634194101</v>
      </c>
      <c r="N2587">
        <v>50.429725685331903</v>
      </c>
      <c r="O2587">
        <v>49.766204438113299</v>
      </c>
      <c r="P2587">
        <v>-0.108937172972321</v>
      </c>
      <c r="Q2587">
        <v>6.3059158462595494E-2</v>
      </c>
      <c r="R2587">
        <v>0.99731827870312895</v>
      </c>
      <c r="S2587" t="s">
        <v>6216</v>
      </c>
      <c r="T2587" t="s">
        <v>7256</v>
      </c>
      <c r="U2587" t="s">
        <v>7256</v>
      </c>
      <c r="V2587" t="s">
        <v>7256</v>
      </c>
      <c r="W2587">
        <v>3</v>
      </c>
      <c r="X2587" t="s">
        <v>9843</v>
      </c>
      <c r="Y2587">
        <v>0.3894021351000217</v>
      </c>
      <c r="Z2587" t="str">
        <f>HYPERLINK("Melting_Curves/meltCurve_sp_Q9HAU5_RENT2_HUMAN_.pdf", "Melting_Curves/meltCurve_sp_Q9HAU5_RENT2_HUMAN_.pdf")</f>
        <v>Melting_Curves/meltCurve_sp_Q9HAU5_RENT2_HUMAN_.pdf</v>
      </c>
      <c r="AA2587" t="s">
        <v>13438</v>
      </c>
      <c r="AB2587" t="s">
        <v>17012</v>
      </c>
    </row>
    <row r="2588" spans="1:28" x14ac:dyDescent="0.25">
      <c r="A2588" t="s">
        <v>2592</v>
      </c>
      <c r="B2588">
        <v>0.98018197421672304</v>
      </c>
      <c r="C2588">
        <v>0.96773332887798402</v>
      </c>
      <c r="D2588">
        <v>0.85985691323646296</v>
      </c>
      <c r="E2588">
        <v>0.77779442061009696</v>
      </c>
      <c r="F2588">
        <v>0.60306197148189</v>
      </c>
      <c r="G2588">
        <v>0.29821586967529201</v>
      </c>
      <c r="H2588">
        <v>0.193315298742787</v>
      </c>
      <c r="I2588">
        <v>0.19776195003723401</v>
      </c>
      <c r="J2588">
        <v>0.234969404683815</v>
      </c>
      <c r="K2588">
        <v>0.30833279090746502</v>
      </c>
      <c r="L2588">
        <v>1031.3622831569901</v>
      </c>
      <c r="M2588">
        <v>19.7467688814022</v>
      </c>
      <c r="N2588">
        <v>53.737957903130898</v>
      </c>
      <c r="O2588">
        <v>51.702647932993898</v>
      </c>
      <c r="P2588">
        <v>-7.5168956385957303E-2</v>
      </c>
      <c r="Q2588">
        <v>0.21277257369783401</v>
      </c>
      <c r="R2588">
        <v>0.97266041283023896</v>
      </c>
      <c r="S2588" t="s">
        <v>6217</v>
      </c>
      <c r="T2588" t="s">
        <v>7256</v>
      </c>
      <c r="U2588" t="s">
        <v>7256</v>
      </c>
      <c r="V2588" t="s">
        <v>7256</v>
      </c>
      <c r="W2588">
        <v>11</v>
      </c>
      <c r="X2588" t="s">
        <v>9844</v>
      </c>
      <c r="Y2588">
        <v>0.54481456339256629</v>
      </c>
      <c r="Z2588" t="str">
        <f>HYPERLINK("Melting_Curves/meltCurve_sp_Q9HAV7_GRPE1_HUMAN_.pdf", "Melting_Curves/meltCurve_sp_Q9HAV7_GRPE1_HUMAN_.pdf")</f>
        <v>Melting_Curves/meltCurve_sp_Q9HAV7_GRPE1_HUMAN_.pdf</v>
      </c>
      <c r="AA2588" t="s">
        <v>13439</v>
      </c>
      <c r="AB2588" t="s">
        <v>17013</v>
      </c>
    </row>
    <row r="2589" spans="1:28" x14ac:dyDescent="0.25">
      <c r="A2589" t="s">
        <v>2593</v>
      </c>
      <c r="B2589">
        <v>0.98018197421672304</v>
      </c>
      <c r="C2589">
        <v>0.97599170188031703</v>
      </c>
      <c r="D2589">
        <v>0.88550880580791702</v>
      </c>
      <c r="E2589">
        <v>0.61382951464123203</v>
      </c>
      <c r="F2589">
        <v>0.36317596762360399</v>
      </c>
      <c r="G2589">
        <v>0.21609985262381701</v>
      </c>
      <c r="H2589">
        <v>0.128132775531656</v>
      </c>
      <c r="I2589">
        <v>0.102111613748316</v>
      </c>
      <c r="J2589">
        <v>0.105914788386961</v>
      </c>
      <c r="K2589">
        <v>6.5946208182722899E-2</v>
      </c>
      <c r="L2589">
        <v>915.97754703036696</v>
      </c>
      <c r="M2589">
        <v>18.0122135228841</v>
      </c>
      <c r="N2589">
        <v>51.359537972027603</v>
      </c>
      <c r="O2589">
        <v>50.238777528531401</v>
      </c>
      <c r="P2589">
        <v>-8.2344472021469897E-2</v>
      </c>
      <c r="Q2589">
        <v>8.1361032692931295E-2</v>
      </c>
      <c r="R2589">
        <v>0.99880295901018701</v>
      </c>
      <c r="S2589" t="s">
        <v>6218</v>
      </c>
      <c r="T2589" t="s">
        <v>7256</v>
      </c>
      <c r="U2589" t="s">
        <v>7256</v>
      </c>
      <c r="V2589" t="s">
        <v>7256</v>
      </c>
      <c r="W2589">
        <v>9</v>
      </c>
      <c r="X2589" t="s">
        <v>9845</v>
      </c>
      <c r="Y2589">
        <v>0.42918402262901828</v>
      </c>
      <c r="Z2589" t="str">
        <f>HYPERLINK("Melting_Curves/meltCurve_sp_Q9HB07_MYG1_HUMAN_.pdf", "Melting_Curves/meltCurve_sp_Q9HB07_MYG1_HUMAN_.pdf")</f>
        <v>Melting_Curves/meltCurve_sp_Q9HB07_MYG1_HUMAN_.pdf</v>
      </c>
      <c r="AA2589" t="s">
        <v>13440</v>
      </c>
      <c r="AB2589" t="s">
        <v>17014</v>
      </c>
    </row>
    <row r="2590" spans="1:28" x14ac:dyDescent="0.25">
      <c r="A2590" t="s">
        <v>2594</v>
      </c>
      <c r="B2590">
        <v>0.98018197421672304</v>
      </c>
      <c r="C2590">
        <v>0.95429165269834004</v>
      </c>
      <c r="D2590">
        <v>0.95302885923810199</v>
      </c>
      <c r="E2590">
        <v>0.81554978814630896</v>
      </c>
      <c r="F2590">
        <v>0.66026325961874399</v>
      </c>
      <c r="G2590">
        <v>0.35880960371257797</v>
      </c>
      <c r="H2590">
        <v>0.13546272169697601</v>
      </c>
      <c r="I2590">
        <v>8.7128762384748107E-2</v>
      </c>
      <c r="J2590">
        <v>7.4911701506718595E-2</v>
      </c>
      <c r="K2590">
        <v>3.8931827143539301E-2</v>
      </c>
      <c r="L2590">
        <v>905.89690588473604</v>
      </c>
      <c r="M2590">
        <v>16.531313086769799</v>
      </c>
      <c r="N2590">
        <v>54.859649534570998</v>
      </c>
      <c r="O2590">
        <v>54.0158018681486</v>
      </c>
      <c r="P2590">
        <v>-7.5822184187255198E-2</v>
      </c>
      <c r="Q2590">
        <v>9.0772461781204808E-3</v>
      </c>
      <c r="R2590">
        <v>0.99755428504251997</v>
      </c>
      <c r="S2590" t="s">
        <v>6219</v>
      </c>
      <c r="T2590" t="s">
        <v>7256</v>
      </c>
      <c r="U2590" t="s">
        <v>7256</v>
      </c>
      <c r="V2590" t="s">
        <v>7256</v>
      </c>
      <c r="W2590">
        <v>8</v>
      </c>
      <c r="X2590" t="s">
        <v>9846</v>
      </c>
      <c r="Y2590">
        <v>0.51517522475277111</v>
      </c>
      <c r="Z2590" t="str">
        <f>HYPERLINK("Melting_Curves/meltCurve_sp_Q9HB71_CYBP_HUMAN_.pdf", "Melting_Curves/meltCurve_sp_Q9HB71_CYBP_HUMAN_.pdf")</f>
        <v>Melting_Curves/meltCurve_sp_Q9HB71_CYBP_HUMAN_.pdf</v>
      </c>
      <c r="AA2590" t="s">
        <v>13441</v>
      </c>
      <c r="AB2590" t="s">
        <v>17015</v>
      </c>
    </row>
    <row r="2591" spans="1:28" x14ac:dyDescent="0.25">
      <c r="A2591" t="s">
        <v>2595</v>
      </c>
      <c r="B2591">
        <v>0.98018197421672304</v>
      </c>
      <c r="C2591">
        <v>1.0200304638096001</v>
      </c>
      <c r="D2591">
        <v>0.90528544318789494</v>
      </c>
      <c r="E2591">
        <v>0.74718876027435999</v>
      </c>
      <c r="F2591">
        <v>0.60958435107949505</v>
      </c>
      <c r="G2591">
        <v>0.38807457615079199</v>
      </c>
      <c r="H2591">
        <v>0.22342983534538899</v>
      </c>
      <c r="I2591">
        <v>0.141588622206129</v>
      </c>
      <c r="J2591">
        <v>0.120576675035755</v>
      </c>
      <c r="K2591">
        <v>5.9621455493557698E-2</v>
      </c>
      <c r="L2591">
        <v>680.33706155444804</v>
      </c>
      <c r="M2591">
        <v>12.438379518307199</v>
      </c>
      <c r="N2591">
        <v>54.788843508881101</v>
      </c>
      <c r="O2591">
        <v>53.340521661747303</v>
      </c>
      <c r="P2591">
        <v>-5.7705077370906702E-2</v>
      </c>
      <c r="Q2591">
        <v>1.03619407931473E-2</v>
      </c>
      <c r="R2591">
        <v>0.99707628880733901</v>
      </c>
      <c r="S2591" t="s">
        <v>6220</v>
      </c>
      <c r="T2591" t="s">
        <v>7256</v>
      </c>
      <c r="U2591" t="s">
        <v>7256</v>
      </c>
      <c r="V2591" t="s">
        <v>7256</v>
      </c>
      <c r="W2591">
        <v>4</v>
      </c>
      <c r="X2591" t="s">
        <v>9847</v>
      </c>
      <c r="Y2591">
        <v>0.51854332195817032</v>
      </c>
      <c r="Z2591" t="str">
        <f>HYPERLINK("Melting_Curves/meltCurve_sp_Q9HB90_RRAGC_HUMAN_.pdf", "Melting_Curves/meltCurve_sp_Q9HB90_RRAGC_HUMAN_.pdf")</f>
        <v>Melting_Curves/meltCurve_sp_Q9HB90_RRAGC_HUMAN_.pdf</v>
      </c>
      <c r="AA2591" t="s">
        <v>13442</v>
      </c>
      <c r="AB2591" t="s">
        <v>17016</v>
      </c>
    </row>
    <row r="2592" spans="1:28" x14ac:dyDescent="0.25">
      <c r="A2592" t="s">
        <v>2596</v>
      </c>
      <c r="B2592">
        <v>0.98018197421672304</v>
      </c>
      <c r="C2592">
        <v>0.85952380145134</v>
      </c>
      <c r="D2592">
        <v>0.88574721711717297</v>
      </c>
      <c r="E2592">
        <v>0.897388564994405</v>
      </c>
      <c r="F2592">
        <v>0.45563433789093899</v>
      </c>
      <c r="G2592">
        <v>0.29822929844554003</v>
      </c>
      <c r="H2592">
        <v>0.34588753744808498</v>
      </c>
      <c r="I2592">
        <v>0.24515410155338399</v>
      </c>
      <c r="J2592">
        <v>0.16512721404301201</v>
      </c>
      <c r="K2592">
        <v>0.42629718994503701</v>
      </c>
      <c r="L2592">
        <v>2578.7283229293898</v>
      </c>
      <c r="M2592">
        <v>49.856080980044403</v>
      </c>
      <c r="N2592">
        <v>52.662437364883999</v>
      </c>
      <c r="O2592">
        <v>51.640434002033501</v>
      </c>
      <c r="P2592">
        <v>-0.170291181582651</v>
      </c>
      <c r="Q2592">
        <v>0.29445695849398901</v>
      </c>
      <c r="R2592">
        <v>0.91852915242447597</v>
      </c>
      <c r="S2592" t="s">
        <v>6221</v>
      </c>
      <c r="T2592" t="s">
        <v>7256</v>
      </c>
      <c r="U2592" t="s">
        <v>7256</v>
      </c>
      <c r="V2592" t="s">
        <v>7256</v>
      </c>
      <c r="W2592">
        <v>2</v>
      </c>
      <c r="X2592" t="s">
        <v>9848</v>
      </c>
      <c r="Y2592">
        <v>0.57178914379852486</v>
      </c>
      <c r="Z2592" t="str">
        <f>HYPERLINK("Melting_Curves/meltCurve_sp_Q9HBF4_2_ZFYV1_HUMAN_.pdf", "Melting_Curves/meltCurve_sp_Q9HBF4_2_ZFYV1_HUMAN_.pdf")</f>
        <v>Melting_Curves/meltCurve_sp_Q9HBF4_2_ZFYV1_HUMAN_.pdf</v>
      </c>
      <c r="AA2592" t="s">
        <v>13443</v>
      </c>
      <c r="AB2592" t="s">
        <v>17017</v>
      </c>
    </row>
    <row r="2593" spans="1:28" x14ac:dyDescent="0.25">
      <c r="A2593" t="s">
        <v>2597</v>
      </c>
      <c r="B2593">
        <v>0.98018197421672304</v>
      </c>
      <c r="C2593">
        <v>1.0996393027779501</v>
      </c>
      <c r="D2593">
        <v>0.98644521720831302</v>
      </c>
      <c r="E2593">
        <v>0.82610004557613403</v>
      </c>
      <c r="F2593">
        <v>0.73827216774937798</v>
      </c>
      <c r="G2593">
        <v>0.53493390087651604</v>
      </c>
      <c r="H2593">
        <v>0.29369741522821302</v>
      </c>
      <c r="I2593">
        <v>0.15740145283634699</v>
      </c>
      <c r="J2593">
        <v>0.116205023282485</v>
      </c>
      <c r="K2593">
        <v>0.10459925398450901</v>
      </c>
      <c r="L2593">
        <v>797.90238189987394</v>
      </c>
      <c r="M2593">
        <v>14.0207574026829</v>
      </c>
      <c r="N2593">
        <v>57.046094080566803</v>
      </c>
      <c r="O2593">
        <v>55.788484947864397</v>
      </c>
      <c r="P2593">
        <v>-6.1794475335106701E-2</v>
      </c>
      <c r="Q2593">
        <v>1.6610465152785098E-2</v>
      </c>
      <c r="R2593">
        <v>0.98718098573551105</v>
      </c>
      <c r="S2593" t="s">
        <v>6222</v>
      </c>
      <c r="T2593" t="s">
        <v>7256</v>
      </c>
      <c r="U2593" t="s">
        <v>7256</v>
      </c>
      <c r="V2593" t="s">
        <v>7256</v>
      </c>
      <c r="W2593">
        <v>7</v>
      </c>
      <c r="X2593" t="s">
        <v>9849</v>
      </c>
      <c r="Y2593">
        <v>0.58717693173627217</v>
      </c>
      <c r="Z2593" t="str">
        <f>HYPERLINK("Melting_Curves/meltCurve_sp_Q9HBH1_DEFM_HUMAN_.pdf", "Melting_Curves/meltCurve_sp_Q9HBH1_DEFM_HUMAN_.pdf")</f>
        <v>Melting_Curves/meltCurve_sp_Q9HBH1_DEFM_HUMAN_.pdf</v>
      </c>
      <c r="AA2593" t="s">
        <v>13444</v>
      </c>
      <c r="AB2593" t="s">
        <v>17018</v>
      </c>
    </row>
    <row r="2594" spans="1:28" x14ac:dyDescent="0.25">
      <c r="A2594" t="s">
        <v>2598</v>
      </c>
      <c r="B2594">
        <v>0.98018197421672304</v>
      </c>
      <c r="C2594">
        <v>1.06311120833893</v>
      </c>
      <c r="D2594">
        <v>0.65978922405784801</v>
      </c>
      <c r="E2594">
        <v>0.298434070493239</v>
      </c>
      <c r="F2594">
        <v>0.16696670686888601</v>
      </c>
      <c r="G2594">
        <v>9.87417257532376E-2</v>
      </c>
      <c r="H2594">
        <v>6.40723537830198E-2</v>
      </c>
      <c r="I2594">
        <v>4.4529549554307497E-2</v>
      </c>
      <c r="J2594">
        <v>6.3040886235966501E-2</v>
      </c>
      <c r="K2594">
        <v>4.6731574150206297E-2</v>
      </c>
      <c r="L2594">
        <v>1162.35710879149</v>
      </c>
      <c r="M2594">
        <v>24.426531952918701</v>
      </c>
      <c r="N2594">
        <v>47.856866895401403</v>
      </c>
      <c r="O2594">
        <v>47.270335574292901</v>
      </c>
      <c r="P2594">
        <v>-0.12084225982472201</v>
      </c>
      <c r="Q2594">
        <v>6.4595649084913206E-2</v>
      </c>
      <c r="R2594">
        <v>0.98538713693637803</v>
      </c>
      <c r="S2594" t="s">
        <v>6223</v>
      </c>
      <c r="T2594" t="s">
        <v>7256</v>
      </c>
      <c r="U2594" t="s">
        <v>7256</v>
      </c>
      <c r="V2594" t="s">
        <v>7256</v>
      </c>
      <c r="W2594">
        <v>4</v>
      </c>
      <c r="X2594" t="s">
        <v>9850</v>
      </c>
      <c r="Y2594">
        <v>0.30983388565225539</v>
      </c>
      <c r="Z2594" t="str">
        <f>HYPERLINK("Melting_Curves/meltCurve_sp_Q9HBK9_AS3MT_HUMAN_.pdf", "Melting_Curves/meltCurve_sp_Q9HBK9_AS3MT_HUMAN_.pdf")</f>
        <v>Melting_Curves/meltCurve_sp_Q9HBK9_AS3MT_HUMAN_.pdf</v>
      </c>
      <c r="AA2594" t="s">
        <v>13445</v>
      </c>
      <c r="AB2594" t="s">
        <v>17019</v>
      </c>
    </row>
    <row r="2595" spans="1:28" x14ac:dyDescent="0.25">
      <c r="A2595" t="s">
        <v>2599</v>
      </c>
      <c r="B2595">
        <v>0.98018197421672304</v>
      </c>
      <c r="C2595">
        <v>0.98418449417827403</v>
      </c>
      <c r="D2595">
        <v>0.73723419195904305</v>
      </c>
      <c r="E2595">
        <v>0.51683550278429102</v>
      </c>
      <c r="F2595">
        <v>0.45760236152767497</v>
      </c>
      <c r="G2595">
        <v>0.34588661771796703</v>
      </c>
      <c r="H2595">
        <v>0.215581127662068</v>
      </c>
      <c r="I2595">
        <v>0.104551350275927</v>
      </c>
      <c r="J2595">
        <v>7.1631504494343606E-2</v>
      </c>
      <c r="K2595">
        <v>4.3657700810165297E-2</v>
      </c>
      <c r="L2595">
        <v>522.24206944457603</v>
      </c>
      <c r="M2595">
        <v>10.0782215932905</v>
      </c>
      <c r="N2595">
        <v>51.818862009150003</v>
      </c>
      <c r="O2595">
        <v>49.9027378935549</v>
      </c>
      <c r="P2595">
        <v>-5.0513158198755799E-2</v>
      </c>
      <c r="Q2595">
        <v>0</v>
      </c>
      <c r="R2595">
        <v>0.97935682094482002</v>
      </c>
      <c r="S2595" t="s">
        <v>6224</v>
      </c>
      <c r="T2595" t="s">
        <v>7256</v>
      </c>
      <c r="U2595" t="s">
        <v>7256</v>
      </c>
      <c r="V2595" t="s">
        <v>7256</v>
      </c>
      <c r="W2595">
        <v>7</v>
      </c>
      <c r="X2595" t="s">
        <v>9851</v>
      </c>
      <c r="Y2595">
        <v>0.43225732238037851</v>
      </c>
      <c r="Z2595" t="str">
        <f>HYPERLINK("Melting_Curves/meltCurve_sp_Q9HBL8_NMRL1_HUMAN_.pdf", "Melting_Curves/meltCurve_sp_Q9HBL8_NMRL1_HUMAN_.pdf")</f>
        <v>Melting_Curves/meltCurve_sp_Q9HBL8_NMRL1_HUMAN_.pdf</v>
      </c>
      <c r="AA2595" t="s">
        <v>13446</v>
      </c>
      <c r="AB2595" t="s">
        <v>17020</v>
      </c>
    </row>
    <row r="2596" spans="1:28" x14ac:dyDescent="0.25">
      <c r="A2596" t="s">
        <v>2600</v>
      </c>
      <c r="B2596">
        <v>0.98018197421672304</v>
      </c>
      <c r="C2596">
        <v>0.93228804123962605</v>
      </c>
      <c r="D2596">
        <v>0.86563989593330903</v>
      </c>
      <c r="E2596">
        <v>0.55166357304885605</v>
      </c>
      <c r="F2596">
        <v>0.24487687556361101</v>
      </c>
      <c r="G2596">
        <v>0.139326353889065</v>
      </c>
      <c r="H2596">
        <v>9.4542224595975E-2</v>
      </c>
      <c r="I2596">
        <v>9.0254257879358105E-2</v>
      </c>
      <c r="J2596">
        <v>0.104701375962132</v>
      </c>
      <c r="K2596">
        <v>9.8702436539492802E-2</v>
      </c>
      <c r="L2596">
        <v>1109.74800030651</v>
      </c>
      <c r="M2596">
        <v>22.289968780219699</v>
      </c>
      <c r="N2596">
        <v>50.222250039842201</v>
      </c>
      <c r="O2596">
        <v>49.391350519940097</v>
      </c>
      <c r="P2596">
        <v>-0.10291358908879999</v>
      </c>
      <c r="Q2596">
        <v>8.7852754528858198E-2</v>
      </c>
      <c r="R2596">
        <v>0.99670935611389599</v>
      </c>
      <c r="S2596" t="s">
        <v>6225</v>
      </c>
      <c r="T2596" t="s">
        <v>7256</v>
      </c>
      <c r="U2596" t="s">
        <v>7256</v>
      </c>
      <c r="V2596" t="s">
        <v>7256</v>
      </c>
      <c r="W2596">
        <v>29</v>
      </c>
      <c r="X2596" t="s">
        <v>9852</v>
      </c>
      <c r="Y2596">
        <v>0.39567002921853017</v>
      </c>
      <c r="Z2596" t="str">
        <f>HYPERLINK("Melting_Curves/meltCurve_sp_Q9HC35_EMAL4_HUMAN_.pdf", "Melting_Curves/meltCurve_sp_Q9HC35_EMAL4_HUMAN_.pdf")</f>
        <v>Melting_Curves/meltCurve_sp_Q9HC35_EMAL4_HUMAN_.pdf</v>
      </c>
      <c r="AA2596" t="s">
        <v>13447</v>
      </c>
      <c r="AB2596" t="s">
        <v>17021</v>
      </c>
    </row>
    <row r="2597" spans="1:28" x14ac:dyDescent="0.25">
      <c r="A2597" t="s">
        <v>2601</v>
      </c>
      <c r="B2597">
        <v>0.98018197421672304</v>
      </c>
      <c r="C2597">
        <v>1.0028015525671301</v>
      </c>
      <c r="D2597">
        <v>0.99907060647269796</v>
      </c>
      <c r="E2597">
        <v>0.84007971638271095</v>
      </c>
      <c r="F2597">
        <v>0.56806481931979202</v>
      </c>
      <c r="G2597">
        <v>0.14648590356166299</v>
      </c>
      <c r="H2597">
        <v>7.0776926115141206E-2</v>
      </c>
      <c r="I2597">
        <v>5.2689253787726202E-2</v>
      </c>
      <c r="J2597">
        <v>5.4571125426053101E-2</v>
      </c>
      <c r="K2597">
        <v>4.5475881362588802E-2</v>
      </c>
      <c r="L2597">
        <v>1506.3525618603501</v>
      </c>
      <c r="M2597">
        <v>28.3184346633833</v>
      </c>
      <c r="N2597">
        <v>53.364971555357798</v>
      </c>
      <c r="O2597">
        <v>52.930215618524102</v>
      </c>
      <c r="P2597">
        <v>-0.127933354508595</v>
      </c>
      <c r="Q2597">
        <v>4.3522775349945399E-2</v>
      </c>
      <c r="R2597">
        <v>0.99875314079128097</v>
      </c>
      <c r="S2597" t="s">
        <v>6226</v>
      </c>
      <c r="T2597" t="s">
        <v>7256</v>
      </c>
      <c r="U2597" t="s">
        <v>7256</v>
      </c>
      <c r="V2597" t="s">
        <v>7256</v>
      </c>
      <c r="W2597">
        <v>19</v>
      </c>
      <c r="X2597" t="s">
        <v>9853</v>
      </c>
      <c r="Y2597">
        <v>0.47111795829794417</v>
      </c>
      <c r="Z2597" t="str">
        <f>HYPERLINK("Melting_Curves/meltCurve_sp_Q9HC38_2_GLOD4_HUMAN_.pdf", "Melting_Curves/meltCurve_sp_Q9HC38_2_GLOD4_HUMAN_.pdf")</f>
        <v>Melting_Curves/meltCurve_sp_Q9HC38_2_GLOD4_HUMAN_.pdf</v>
      </c>
      <c r="AA2597" t="s">
        <v>13448</v>
      </c>
      <c r="AB2597" t="s">
        <v>17022</v>
      </c>
    </row>
    <row r="2598" spans="1:28" x14ac:dyDescent="0.25">
      <c r="A2598" t="s">
        <v>2602</v>
      </c>
      <c r="B2598">
        <v>0.98018197421672304</v>
      </c>
      <c r="C2598">
        <v>0.59570722043206803</v>
      </c>
      <c r="D2598">
        <v>0.74997972155886705</v>
      </c>
      <c r="E2598">
        <v>0.64156894997560099</v>
      </c>
      <c r="F2598">
        <v>0.25855066114781899</v>
      </c>
      <c r="G2598">
        <v>8.1028192087395395E-2</v>
      </c>
      <c r="H2598">
        <v>1.02161311075342E-2</v>
      </c>
      <c r="I2598">
        <v>6.0728857840480098E-3</v>
      </c>
      <c r="J2598">
        <v>1.93158535930097E-3</v>
      </c>
      <c r="K2598">
        <v>0</v>
      </c>
      <c r="L2598">
        <v>598.76521849747905</v>
      </c>
      <c r="M2598">
        <v>12.1757114003639</v>
      </c>
      <c r="N2598">
        <v>49.1770212669065</v>
      </c>
      <c r="O2598">
        <v>47.9068775163081</v>
      </c>
      <c r="P2598">
        <v>-6.3552911533794401E-2</v>
      </c>
      <c r="Q2598">
        <v>0</v>
      </c>
      <c r="R2598">
        <v>0.89989281204591798</v>
      </c>
      <c r="S2598" t="s">
        <v>6227</v>
      </c>
      <c r="T2598" t="s">
        <v>7256</v>
      </c>
      <c r="U2598" t="s">
        <v>7256</v>
      </c>
      <c r="V2598" t="s">
        <v>7256</v>
      </c>
      <c r="W2598">
        <v>1</v>
      </c>
      <c r="X2598" t="s">
        <v>9854</v>
      </c>
      <c r="Y2598">
        <v>0.34137981135676881</v>
      </c>
      <c r="Z2598" t="str">
        <f>HYPERLINK("Melting_Curves/meltCurve_sp_Q9HCB6_SPON1_HUMAN_.pdf", "Melting_Curves/meltCurve_sp_Q9HCB6_SPON1_HUMAN_.pdf")</f>
        <v>Melting_Curves/meltCurve_sp_Q9HCB6_SPON1_HUMAN_.pdf</v>
      </c>
      <c r="AA2598" t="s">
        <v>13449</v>
      </c>
      <c r="AB2598" t="s">
        <v>17023</v>
      </c>
    </row>
    <row r="2599" spans="1:28" x14ac:dyDescent="0.25">
      <c r="A2599" t="s">
        <v>2603</v>
      </c>
      <c r="B2599">
        <v>0.98018197421672304</v>
      </c>
      <c r="C2599">
        <v>1.0005008499513901</v>
      </c>
      <c r="D2599">
        <v>0.81141775481906697</v>
      </c>
      <c r="E2599">
        <v>0.68963208089917205</v>
      </c>
      <c r="F2599">
        <v>0.57051847678513601</v>
      </c>
      <c r="G2599">
        <v>0.44215416773187899</v>
      </c>
      <c r="H2599">
        <v>0.33095963848098198</v>
      </c>
      <c r="I2599">
        <v>0.38485180823383502</v>
      </c>
      <c r="J2599">
        <v>0.174813790946522</v>
      </c>
      <c r="K2599">
        <v>5.6114635682564598E-2</v>
      </c>
      <c r="L2599">
        <v>458.38120139164698</v>
      </c>
      <c r="M2599">
        <v>8.2527986208724808</v>
      </c>
      <c r="N2599">
        <v>55.542516228596398</v>
      </c>
      <c r="O2599">
        <v>52.567689861148303</v>
      </c>
      <c r="P2599">
        <v>-3.9287961935248097E-2</v>
      </c>
      <c r="Q2599">
        <v>0</v>
      </c>
      <c r="R2599">
        <v>0.96047712841201904</v>
      </c>
      <c r="S2599" t="s">
        <v>6228</v>
      </c>
      <c r="T2599" t="s">
        <v>7256</v>
      </c>
      <c r="U2599" t="s">
        <v>7256</v>
      </c>
      <c r="V2599" t="s">
        <v>7256</v>
      </c>
      <c r="W2599">
        <v>22</v>
      </c>
      <c r="X2599" t="s">
        <v>9855</v>
      </c>
      <c r="Y2599">
        <v>0.54146206724787171</v>
      </c>
      <c r="Z2599" t="str">
        <f>HYPERLINK("Melting_Curves/meltCurve_sp_Q9HCC0_MCCB_HUMAN_.pdf", "Melting_Curves/meltCurve_sp_Q9HCC0_MCCB_HUMAN_.pdf")</f>
        <v>Melting_Curves/meltCurve_sp_Q9HCC0_MCCB_HUMAN_.pdf</v>
      </c>
      <c r="AA2599" t="s">
        <v>13450</v>
      </c>
      <c r="AB2599" t="s">
        <v>17024</v>
      </c>
    </row>
    <row r="2600" spans="1:28" x14ac:dyDescent="0.25">
      <c r="A2600" t="s">
        <v>2604</v>
      </c>
      <c r="B2600">
        <v>0.98018197421672304</v>
      </c>
      <c r="C2600">
        <v>0.79290738279122397</v>
      </c>
      <c r="D2600">
        <v>0.79039406299773396</v>
      </c>
      <c r="E2600">
        <v>0.75550463468627405</v>
      </c>
      <c r="F2600">
        <v>0.43558207355831302</v>
      </c>
      <c r="G2600">
        <v>0.15012951145873199</v>
      </c>
      <c r="H2600">
        <v>0.13102798178869901</v>
      </c>
      <c r="I2600">
        <v>0.119139420404024</v>
      </c>
      <c r="J2600">
        <v>0.131167170165125</v>
      </c>
      <c r="K2600">
        <v>0.14128256812061199</v>
      </c>
      <c r="L2600">
        <v>696.10861437370397</v>
      </c>
      <c r="M2600">
        <v>13.5621472841251</v>
      </c>
      <c r="N2600">
        <v>51.859357015952803</v>
      </c>
      <c r="O2600">
        <v>50.249907014647903</v>
      </c>
      <c r="P2600">
        <v>-6.3100776226190203E-2</v>
      </c>
      <c r="Q2600">
        <v>6.4946075799406103E-2</v>
      </c>
      <c r="R2600">
        <v>0.94633375995601199</v>
      </c>
      <c r="S2600" t="s">
        <v>6229</v>
      </c>
      <c r="T2600" t="s">
        <v>7256</v>
      </c>
      <c r="U2600" t="s">
        <v>7256</v>
      </c>
      <c r="V2600" t="s">
        <v>7256</v>
      </c>
      <c r="W2600">
        <v>3</v>
      </c>
      <c r="X2600" t="s">
        <v>9856</v>
      </c>
      <c r="Y2600">
        <v>0.44303060541466388</v>
      </c>
      <c r="Z2600" t="str">
        <f>HYPERLINK("Melting_Curves/meltCurve_sp_Q9HCE5_MET14_HUMAN_.pdf", "Melting_Curves/meltCurve_sp_Q9HCE5_MET14_HUMAN_.pdf")</f>
        <v>Melting_Curves/meltCurve_sp_Q9HCE5_MET14_HUMAN_.pdf</v>
      </c>
      <c r="AA2600" t="s">
        <v>13451</v>
      </c>
      <c r="AB2600" t="s">
        <v>17025</v>
      </c>
    </row>
    <row r="2601" spans="1:28" x14ac:dyDescent="0.25">
      <c r="A2601" t="s">
        <v>2605</v>
      </c>
      <c r="B2601">
        <v>0.98018197421672304</v>
      </c>
      <c r="C2601">
        <v>0.960393040071852</v>
      </c>
      <c r="D2601">
        <v>0.80192637738650296</v>
      </c>
      <c r="E2601">
        <v>0.51944644651191796</v>
      </c>
      <c r="F2601">
        <v>0.29272225943908198</v>
      </c>
      <c r="G2601">
        <v>0.16252999202056201</v>
      </c>
      <c r="H2601">
        <v>9.8239782953783397E-2</v>
      </c>
      <c r="I2601">
        <v>7.8601346008234999E-2</v>
      </c>
      <c r="J2601">
        <v>9.7229049724315494E-2</v>
      </c>
      <c r="K2601">
        <v>5.4149285719206401E-2</v>
      </c>
      <c r="L2601">
        <v>861.80991337676505</v>
      </c>
      <c r="M2601">
        <v>17.3356423475269</v>
      </c>
      <c r="N2601">
        <v>50.112537870725397</v>
      </c>
      <c r="O2601">
        <v>49.065812378369998</v>
      </c>
      <c r="P2601">
        <v>-8.2634602083562894E-2</v>
      </c>
      <c r="Q2601">
        <v>6.4516572557222499E-2</v>
      </c>
      <c r="R2601">
        <v>0.99883740524562203</v>
      </c>
      <c r="S2601" t="s">
        <v>6230</v>
      </c>
      <c r="T2601" t="s">
        <v>7256</v>
      </c>
      <c r="U2601" t="s">
        <v>7256</v>
      </c>
      <c r="V2601" t="s">
        <v>7256</v>
      </c>
      <c r="W2601">
        <v>13</v>
      </c>
      <c r="X2601" t="s">
        <v>9857</v>
      </c>
      <c r="Y2601">
        <v>0.38461270077584331</v>
      </c>
      <c r="Z2601" t="str">
        <f>HYPERLINK("Melting_Curves/meltCurve_sp_Q9HCE6_3_ARGAL_HUMAN_.pdf", "Melting_Curves/meltCurve_sp_Q9HCE6_3_ARGAL_HUMAN_.pdf")</f>
        <v>Melting_Curves/meltCurve_sp_Q9HCE6_3_ARGAL_HUMAN_.pdf</v>
      </c>
      <c r="AA2601" t="s">
        <v>13452</v>
      </c>
      <c r="AB2601" t="s">
        <v>17026</v>
      </c>
    </row>
    <row r="2602" spans="1:28" x14ac:dyDescent="0.25">
      <c r="A2602" t="s">
        <v>2606</v>
      </c>
      <c r="B2602">
        <v>0.98018197421672304</v>
      </c>
      <c r="C2602">
        <v>0.74076568637973705</v>
      </c>
      <c r="D2602">
        <v>0.76380963520361</v>
      </c>
      <c r="E2602">
        <v>0.60813763819343003</v>
      </c>
      <c r="F2602">
        <v>0.34357916035553299</v>
      </c>
      <c r="G2602">
        <v>0.16733691662261699</v>
      </c>
      <c r="H2602">
        <v>0.123203798403115</v>
      </c>
      <c r="I2602">
        <v>0.105057986249438</v>
      </c>
      <c r="J2602">
        <v>0.158370553950342</v>
      </c>
      <c r="K2602">
        <v>0.14587564943737699</v>
      </c>
      <c r="L2602">
        <v>583.23646207074898</v>
      </c>
      <c r="M2602">
        <v>11.769305878160599</v>
      </c>
      <c r="N2602">
        <v>50.208241125387303</v>
      </c>
      <c r="O2602">
        <v>48.1899534905736</v>
      </c>
      <c r="P2602">
        <v>-5.6741649332278897E-2</v>
      </c>
      <c r="Q2602">
        <v>7.0916537794431994E-2</v>
      </c>
      <c r="R2602">
        <v>0.95872314827840599</v>
      </c>
      <c r="S2602" t="s">
        <v>6231</v>
      </c>
      <c r="T2602" t="s">
        <v>7256</v>
      </c>
      <c r="U2602" t="s">
        <v>7256</v>
      </c>
      <c r="V2602" t="s">
        <v>7256</v>
      </c>
      <c r="W2602">
        <v>2</v>
      </c>
      <c r="X2602" t="s">
        <v>9858</v>
      </c>
      <c r="Y2602">
        <v>0.40091136677495448</v>
      </c>
      <c r="Z2602" t="str">
        <f>HYPERLINK("Melting_Curves/meltCurve_sp_Q9HCN4_3_GPN1_HUMAN_.pdf", "Melting_Curves/meltCurve_sp_Q9HCN4_3_GPN1_HUMAN_.pdf")</f>
        <v>Melting_Curves/meltCurve_sp_Q9HCN4_3_GPN1_HUMAN_.pdf</v>
      </c>
      <c r="AA2602" t="s">
        <v>13453</v>
      </c>
      <c r="AB2602" t="s">
        <v>17027</v>
      </c>
    </row>
    <row r="2603" spans="1:28" x14ac:dyDescent="0.25">
      <c r="A2603" t="s">
        <v>2607</v>
      </c>
      <c r="B2603">
        <v>0.98018197421672304</v>
      </c>
      <c r="C2603">
        <v>0.90991731271791498</v>
      </c>
      <c r="D2603">
        <v>0.84499905892333205</v>
      </c>
      <c r="E2603">
        <v>0.64840658933095097</v>
      </c>
      <c r="F2603">
        <v>0.46233983694977199</v>
      </c>
      <c r="G2603">
        <v>0.31140732349428502</v>
      </c>
      <c r="H2603">
        <v>0.235346110027257</v>
      </c>
      <c r="I2603">
        <v>0.16361626890309</v>
      </c>
      <c r="J2603">
        <v>0.20504196444217601</v>
      </c>
      <c r="K2603">
        <v>0.244746405379796</v>
      </c>
      <c r="L2603">
        <v>734.06017422211403</v>
      </c>
      <c r="M2603">
        <v>14.487435457962</v>
      </c>
      <c r="N2603">
        <v>52.257156867983802</v>
      </c>
      <c r="O2603">
        <v>49.732692883742502</v>
      </c>
      <c r="P2603">
        <v>-5.9863287750401603E-2</v>
      </c>
      <c r="Q2603">
        <v>0.17809665772192801</v>
      </c>
      <c r="R2603">
        <v>0.99215505568619899</v>
      </c>
      <c r="S2603" t="s">
        <v>6232</v>
      </c>
      <c r="T2603" t="s">
        <v>7256</v>
      </c>
      <c r="U2603" t="s">
        <v>7256</v>
      </c>
      <c r="V2603" t="s">
        <v>7256</v>
      </c>
      <c r="W2603">
        <v>2</v>
      </c>
      <c r="X2603" t="s">
        <v>9859</v>
      </c>
      <c r="Y2603">
        <v>0.49072736112020471</v>
      </c>
      <c r="Z2603" t="str">
        <f>HYPERLINK("Melting_Curves/meltCurve_sp_Q9HCN8_SDF2L_HUMAN_.pdf", "Melting_Curves/meltCurve_sp_Q9HCN8_SDF2L_HUMAN_.pdf")</f>
        <v>Melting_Curves/meltCurve_sp_Q9HCN8_SDF2L_HUMAN_.pdf</v>
      </c>
      <c r="AA2603" t="s">
        <v>13454</v>
      </c>
      <c r="AB2603" t="s">
        <v>17028</v>
      </c>
    </row>
    <row r="2604" spans="1:28" x14ac:dyDescent="0.25">
      <c r="A2604" t="s">
        <v>2608</v>
      </c>
      <c r="B2604">
        <v>0.98018197421672304</v>
      </c>
      <c r="C2604">
        <v>0.80468824245946002</v>
      </c>
      <c r="D2604">
        <v>0.79409879525419202</v>
      </c>
      <c r="E2604">
        <v>0.68733393975206603</v>
      </c>
      <c r="F2604">
        <v>0.71815277795027699</v>
      </c>
      <c r="G2604">
        <v>0.59851784377773998</v>
      </c>
      <c r="H2604">
        <v>0.54584071999226103</v>
      </c>
      <c r="I2604">
        <v>0.54727616261072698</v>
      </c>
      <c r="J2604">
        <v>0.65902237625068705</v>
      </c>
      <c r="K2604">
        <v>0.50340560480220398</v>
      </c>
      <c r="L2604">
        <v>427.12509731320301</v>
      </c>
      <c r="M2604">
        <v>9.0730194613988804</v>
      </c>
      <c r="O2604">
        <v>44.958422812411598</v>
      </c>
      <c r="P2604">
        <v>-2.3596259252086201E-2</v>
      </c>
      <c r="Q2604">
        <v>0.53263437932011504</v>
      </c>
      <c r="R2604">
        <v>0.86936546268815895</v>
      </c>
      <c r="S2604" t="s">
        <v>6233</v>
      </c>
      <c r="T2604" t="s">
        <v>7256</v>
      </c>
      <c r="U2604" t="s">
        <v>7256</v>
      </c>
      <c r="V2604" t="s">
        <v>7256</v>
      </c>
      <c r="W2604">
        <v>7</v>
      </c>
      <c r="X2604" t="s">
        <v>9860</v>
      </c>
      <c r="Y2604">
        <v>0.67387144925022702</v>
      </c>
      <c r="Z2604" t="str">
        <f>HYPERLINK("Melting_Curves/meltCurve_sp_Q9HD15_SRA1_HUMAN_.pdf", "Melting_Curves/meltCurve_sp_Q9HD15_SRA1_HUMAN_.pdf")</f>
        <v>Melting_Curves/meltCurve_sp_Q9HD15_SRA1_HUMAN_.pdf</v>
      </c>
      <c r="AA2604" t="s">
        <v>13455</v>
      </c>
      <c r="AB2604" t="s">
        <v>17029</v>
      </c>
    </row>
    <row r="2605" spans="1:28" x14ac:dyDescent="0.25">
      <c r="A2605" t="s">
        <v>2609</v>
      </c>
      <c r="B2605">
        <v>0.98018197421672304</v>
      </c>
      <c r="C2605">
        <v>0.92887791169733602</v>
      </c>
      <c r="D2605">
        <v>0.780177983118434</v>
      </c>
      <c r="E2605">
        <v>0.31931622595637099</v>
      </c>
      <c r="F2605">
        <v>0.230413895469954</v>
      </c>
      <c r="G2605">
        <v>9.9036903376404306E-2</v>
      </c>
      <c r="H2605">
        <v>6.1948086172506397E-2</v>
      </c>
      <c r="I2605">
        <v>6.3030324932224699E-2</v>
      </c>
      <c r="J2605">
        <v>7.2901264123876694E-2</v>
      </c>
      <c r="K2605">
        <v>6.4443232839970999E-2</v>
      </c>
      <c r="L2605">
        <v>1043.1840845358599</v>
      </c>
      <c r="M2605">
        <v>21.638118658688999</v>
      </c>
      <c r="N2605">
        <v>48.529284214413003</v>
      </c>
      <c r="O2605">
        <v>47.804377578014197</v>
      </c>
      <c r="P2605">
        <v>-0.105665076788216</v>
      </c>
      <c r="Q2605">
        <v>6.6252865327346894E-2</v>
      </c>
      <c r="R2605">
        <v>0.99609852294454804</v>
      </c>
      <c r="S2605" t="s">
        <v>6234</v>
      </c>
      <c r="T2605" t="s">
        <v>7256</v>
      </c>
      <c r="U2605" t="s">
        <v>7256</v>
      </c>
      <c r="V2605" t="s">
        <v>7256</v>
      </c>
      <c r="W2605">
        <v>2</v>
      </c>
      <c r="X2605" t="s">
        <v>9861</v>
      </c>
      <c r="Y2605">
        <v>0.33299869890435951</v>
      </c>
      <c r="Z2605" t="str">
        <f>HYPERLINK("Melting_Curves/meltCurve_sp_Q9HD26_2_GOPC_HUMAN_.pdf", "Melting_Curves/meltCurve_sp_Q9HD26_2_GOPC_HUMAN_.pdf")</f>
        <v>Melting_Curves/meltCurve_sp_Q9HD26_2_GOPC_HUMAN_.pdf</v>
      </c>
      <c r="AA2605" t="s">
        <v>13456</v>
      </c>
      <c r="AB2605" t="s">
        <v>17030</v>
      </c>
    </row>
    <row r="2606" spans="1:28" x14ac:dyDescent="0.25">
      <c r="A2606" t="s">
        <v>2610</v>
      </c>
      <c r="B2606">
        <v>0.98018197421672304</v>
      </c>
      <c r="C2606">
        <v>0.92197805310117797</v>
      </c>
      <c r="D2606">
        <v>0.69518094255941598</v>
      </c>
      <c r="E2606">
        <v>0.456858878243111</v>
      </c>
      <c r="F2606">
        <v>0.30833990991736099</v>
      </c>
      <c r="G2606">
        <v>0.17459777395852</v>
      </c>
      <c r="H2606">
        <v>0.130418517321853</v>
      </c>
      <c r="I2606">
        <v>0.109596845097646</v>
      </c>
      <c r="J2606">
        <v>0.105657581916085</v>
      </c>
      <c r="K2606">
        <v>6.7341736475928199E-2</v>
      </c>
      <c r="L2606">
        <v>712.71579363758997</v>
      </c>
      <c r="M2606">
        <v>14.624144664989201</v>
      </c>
      <c r="N2606">
        <v>49.312863219644598</v>
      </c>
      <c r="O2606">
        <v>47.8514752184157</v>
      </c>
      <c r="P2606">
        <v>-7.0400554619726802E-2</v>
      </c>
      <c r="Q2606">
        <v>7.86759533337133E-2</v>
      </c>
      <c r="R2606">
        <v>0.99710311741644397</v>
      </c>
      <c r="S2606" t="s">
        <v>6235</v>
      </c>
      <c r="T2606" t="s">
        <v>7256</v>
      </c>
      <c r="U2606" t="s">
        <v>7256</v>
      </c>
      <c r="V2606" t="s">
        <v>7256</v>
      </c>
      <c r="W2606">
        <v>2</v>
      </c>
      <c r="X2606" t="s">
        <v>9862</v>
      </c>
      <c r="Y2606">
        <v>0.37105560500342122</v>
      </c>
      <c r="Z2606" t="str">
        <f>HYPERLINK("Melting_Curves/meltCurve_sp_Q9HD33_2_RM47_HUMAN_.pdf", "Melting_Curves/meltCurve_sp_Q9HD33_2_RM47_HUMAN_.pdf")</f>
        <v>Melting_Curves/meltCurve_sp_Q9HD33_2_RM47_HUMAN_.pdf</v>
      </c>
      <c r="AA2606" t="s">
        <v>13457</v>
      </c>
      <c r="AB2606" t="s">
        <v>17031</v>
      </c>
    </row>
    <row r="2607" spans="1:28" x14ac:dyDescent="0.25">
      <c r="A2607" t="s">
        <v>2611</v>
      </c>
      <c r="B2607">
        <v>0.98018197421672304</v>
      </c>
      <c r="C2607">
        <v>0.90906106785860297</v>
      </c>
      <c r="D2607">
        <v>0.89428711759258195</v>
      </c>
      <c r="E2607">
        <v>0.80083843136543398</v>
      </c>
      <c r="F2607">
        <v>0.69657182877387602</v>
      </c>
      <c r="G2607">
        <v>0.58166190311259502</v>
      </c>
      <c r="H2607">
        <v>0.44001009806634001</v>
      </c>
      <c r="I2607">
        <v>0.28122287328411399</v>
      </c>
      <c r="J2607">
        <v>0.145418855627483</v>
      </c>
      <c r="K2607">
        <v>5.5158501938612901E-2</v>
      </c>
      <c r="L2607">
        <v>586.18710157369503</v>
      </c>
      <c r="M2607">
        <v>10.150175043052901</v>
      </c>
      <c r="N2607">
        <v>57.7514276058305</v>
      </c>
      <c r="O2607">
        <v>55.644293669154202</v>
      </c>
      <c r="P2607">
        <v>-4.56238995957041E-2</v>
      </c>
      <c r="Q2607">
        <v>0</v>
      </c>
      <c r="R2607">
        <v>0.97543670903804403</v>
      </c>
      <c r="S2607" t="s">
        <v>6236</v>
      </c>
      <c r="T2607" t="s">
        <v>7256</v>
      </c>
      <c r="U2607" t="s">
        <v>7256</v>
      </c>
      <c r="V2607" t="s">
        <v>7256</v>
      </c>
      <c r="W2607">
        <v>15</v>
      </c>
      <c r="X2607" t="s">
        <v>9863</v>
      </c>
      <c r="Y2607">
        <v>0.60342346523843815</v>
      </c>
      <c r="Z2607" t="str">
        <f>HYPERLINK("Melting_Curves/meltCurve_sp_Q9HD40_SPCS_HUMAN_.pdf", "Melting_Curves/meltCurve_sp_Q9HD40_SPCS_HUMAN_.pdf")</f>
        <v>Melting_Curves/meltCurve_sp_Q9HD40_SPCS_HUMAN_.pdf</v>
      </c>
      <c r="AA2607" t="s">
        <v>13458</v>
      </c>
      <c r="AB2607" t="s">
        <v>17032</v>
      </c>
    </row>
    <row r="2608" spans="1:28" x14ac:dyDescent="0.25">
      <c r="A2608" t="s">
        <v>2612</v>
      </c>
      <c r="B2608">
        <v>0.98018197421672304</v>
      </c>
      <c r="C2608">
        <v>0.95425510722672902</v>
      </c>
      <c r="D2608">
        <v>0.87229359641910198</v>
      </c>
      <c r="E2608">
        <v>0.77577231408417302</v>
      </c>
      <c r="F2608">
        <v>0.72068216526823303</v>
      </c>
      <c r="G2608">
        <v>0.51406468145933104</v>
      </c>
      <c r="H2608">
        <v>0.52260412211082397</v>
      </c>
      <c r="I2608">
        <v>0.55242049498817902</v>
      </c>
      <c r="J2608">
        <v>0.68524914714001295</v>
      </c>
      <c r="K2608">
        <v>0.69966745018602905</v>
      </c>
      <c r="L2608">
        <v>892.67987512778404</v>
      </c>
      <c r="M2608">
        <v>18.362163627864799</v>
      </c>
      <c r="O2608">
        <v>48.049583225274802</v>
      </c>
      <c r="P2608">
        <v>-3.8410867352150699E-2</v>
      </c>
      <c r="Q2608">
        <v>0.597968507922224</v>
      </c>
      <c r="R2608">
        <v>0.83417088610423296</v>
      </c>
      <c r="S2608" t="s">
        <v>6237</v>
      </c>
      <c r="T2608" t="s">
        <v>7256</v>
      </c>
      <c r="U2608" t="s">
        <v>7256</v>
      </c>
      <c r="V2608" t="s">
        <v>7256</v>
      </c>
      <c r="W2608">
        <v>3</v>
      </c>
      <c r="X2608" t="s">
        <v>9864</v>
      </c>
      <c r="Y2608">
        <v>0.72016110063337346</v>
      </c>
      <c r="Z2608" t="str">
        <f>HYPERLINK("Melting_Curves/meltCurve_sp_Q9HD42_CHM1A_HUMAN_.pdf", "Melting_Curves/meltCurve_sp_Q9HD42_CHM1A_HUMAN_.pdf")</f>
        <v>Melting_Curves/meltCurve_sp_Q9HD42_CHM1A_HUMAN_.pdf</v>
      </c>
      <c r="AA2608" t="s">
        <v>13459</v>
      </c>
      <c r="AB2608" t="s">
        <v>17033</v>
      </c>
    </row>
    <row r="2609" spans="1:28" x14ac:dyDescent="0.25">
      <c r="A2609" t="s">
        <v>2613</v>
      </c>
      <c r="B2609">
        <v>0.98018197421672304</v>
      </c>
      <c r="C2609">
        <v>0.91736470608051901</v>
      </c>
      <c r="D2609">
        <v>0.94255604026555295</v>
      </c>
      <c r="E2609">
        <v>0.80977960023970796</v>
      </c>
      <c r="F2609">
        <v>0.80853308892351505</v>
      </c>
      <c r="G2609">
        <v>0.67735735407731001</v>
      </c>
      <c r="H2609">
        <v>0.58510509590127802</v>
      </c>
      <c r="I2609">
        <v>0.57059717591402104</v>
      </c>
      <c r="J2609">
        <v>0.75686601275573295</v>
      </c>
      <c r="K2609">
        <v>0.43893984980800999</v>
      </c>
      <c r="L2609">
        <v>440.08720139563599</v>
      </c>
      <c r="M2609">
        <v>8.0187024555308692</v>
      </c>
      <c r="O2609">
        <v>51.784887124229101</v>
      </c>
      <c r="P2609">
        <v>-2.05034117583461E-2</v>
      </c>
      <c r="Q2609">
        <v>0.47094790036893702</v>
      </c>
      <c r="R2609">
        <v>0.80953048570235198</v>
      </c>
      <c r="S2609" t="s">
        <v>6238</v>
      </c>
      <c r="T2609" t="s">
        <v>7256</v>
      </c>
      <c r="U2609" t="s">
        <v>7256</v>
      </c>
      <c r="V2609" t="s">
        <v>7256</v>
      </c>
      <c r="W2609">
        <v>4</v>
      </c>
      <c r="X2609" t="s">
        <v>9865</v>
      </c>
      <c r="Y2609">
        <v>0.74821136232553898</v>
      </c>
      <c r="Z2609" t="str">
        <f>HYPERLINK("Melting_Curves/meltCurve_sp_Q9HD89_RETN_HUMAN_.pdf", "Melting_Curves/meltCurve_sp_Q9HD89_RETN_HUMAN_.pdf")</f>
        <v>Melting_Curves/meltCurve_sp_Q9HD89_RETN_HUMAN_.pdf</v>
      </c>
      <c r="AA2609" t="s">
        <v>13460</v>
      </c>
      <c r="AB2609" t="s">
        <v>17034</v>
      </c>
    </row>
    <row r="2610" spans="1:28" x14ac:dyDescent="0.25">
      <c r="A2610" t="s">
        <v>2614</v>
      </c>
      <c r="B2610">
        <v>0.98018197421672304</v>
      </c>
      <c r="C2610">
        <v>1.1311319586441799</v>
      </c>
      <c r="D2610">
        <v>1.1165149184618</v>
      </c>
      <c r="E2610">
        <v>1.0239502519714501</v>
      </c>
      <c r="F2610">
        <v>0.93333477992439196</v>
      </c>
      <c r="G2610">
        <v>0.680243021904405</v>
      </c>
      <c r="H2610">
        <v>0.45828920516701199</v>
      </c>
      <c r="I2610">
        <v>0.308987844915944</v>
      </c>
      <c r="J2610">
        <v>0.159711304370873</v>
      </c>
      <c r="K2610">
        <v>6.7845736066244597E-2</v>
      </c>
      <c r="L2610">
        <v>1022.65954343234</v>
      </c>
      <c r="M2610">
        <v>16.944055859538199</v>
      </c>
      <c r="N2610">
        <v>60.355062101626103</v>
      </c>
      <c r="O2610">
        <v>59.533192395388497</v>
      </c>
      <c r="P2610">
        <v>-7.1158275141495503E-2</v>
      </c>
      <c r="Q2610">
        <v>0</v>
      </c>
      <c r="R2610">
        <v>0.97337311490092404</v>
      </c>
      <c r="S2610" t="s">
        <v>6239</v>
      </c>
      <c r="T2610" t="s">
        <v>7256</v>
      </c>
      <c r="U2610" t="s">
        <v>7256</v>
      </c>
      <c r="V2610" t="s">
        <v>7256</v>
      </c>
      <c r="W2610">
        <v>1</v>
      </c>
      <c r="X2610" t="s">
        <v>9866</v>
      </c>
      <c r="Y2610">
        <v>0.68537405848254229</v>
      </c>
      <c r="Z2610" t="str">
        <f>HYPERLINK("Melting_Curves/meltCurve_sp_Q9HDC5_JPH1_HUMAN_.pdf", "Melting_Curves/meltCurve_sp_Q9HDC5_JPH1_HUMAN_.pdf")</f>
        <v>Melting_Curves/meltCurve_sp_Q9HDC5_JPH1_HUMAN_.pdf</v>
      </c>
      <c r="AA2610" t="s">
        <v>13461</v>
      </c>
      <c r="AB2610" t="s">
        <v>17035</v>
      </c>
    </row>
    <row r="2611" spans="1:28" x14ac:dyDescent="0.25">
      <c r="A2611" t="s">
        <v>2615</v>
      </c>
      <c r="B2611">
        <v>0.98018197421672304</v>
      </c>
      <c r="C2611">
        <v>0.942604493554143</v>
      </c>
      <c r="D2611">
        <v>0.928662177273889</v>
      </c>
      <c r="E2611">
        <v>0.81973894502660904</v>
      </c>
      <c r="F2611">
        <v>0.67931499652098803</v>
      </c>
      <c r="G2611">
        <v>0.45774550481642401</v>
      </c>
      <c r="H2611">
        <v>0.44651976294869899</v>
      </c>
      <c r="I2611">
        <v>0.48493812051693003</v>
      </c>
      <c r="J2611">
        <v>0.54350025930699497</v>
      </c>
      <c r="K2611">
        <v>0.60327923869440203</v>
      </c>
      <c r="L2611">
        <v>1331.8649999029999</v>
      </c>
      <c r="M2611">
        <v>26.096886911689801</v>
      </c>
      <c r="O2611">
        <v>50.738553789891803</v>
      </c>
      <c r="P2611">
        <v>-6.3627670430825706E-2</v>
      </c>
      <c r="Q2611">
        <v>0.50517633622365499</v>
      </c>
      <c r="R2611">
        <v>0.92987525517327096</v>
      </c>
      <c r="S2611" t="s">
        <v>6240</v>
      </c>
      <c r="T2611" t="s">
        <v>7256</v>
      </c>
      <c r="U2611" t="s">
        <v>7256</v>
      </c>
      <c r="V2611" t="s">
        <v>7256</v>
      </c>
      <c r="W2611">
        <v>13</v>
      </c>
      <c r="X2611" t="s">
        <v>9867</v>
      </c>
      <c r="Y2611">
        <v>0.69130439045323333</v>
      </c>
      <c r="Z2611" t="str">
        <f>HYPERLINK("Melting_Curves/meltCurve_sp_Q9NP61_ARFG3_HUMAN_.pdf", "Melting_Curves/meltCurve_sp_Q9NP61_ARFG3_HUMAN_.pdf")</f>
        <v>Melting_Curves/meltCurve_sp_Q9NP61_ARFG3_HUMAN_.pdf</v>
      </c>
      <c r="AA2611" t="s">
        <v>13462</v>
      </c>
      <c r="AB2611" t="s">
        <v>17036</v>
      </c>
    </row>
    <row r="2612" spans="1:28" x14ac:dyDescent="0.25">
      <c r="A2612" t="s">
        <v>2616</v>
      </c>
      <c r="B2612">
        <v>0.98018197421672304</v>
      </c>
      <c r="C2612">
        <v>0.90611015745441503</v>
      </c>
      <c r="D2612">
        <v>0.84305760221836901</v>
      </c>
      <c r="E2612">
        <v>0.56099360094900497</v>
      </c>
      <c r="F2612">
        <v>0.349055019868445</v>
      </c>
      <c r="G2612">
        <v>0.153405772186995</v>
      </c>
      <c r="H2612">
        <v>8.9648481171900496E-2</v>
      </c>
      <c r="I2612">
        <v>7.0539815364272895E-2</v>
      </c>
      <c r="J2612">
        <v>6.7729136846407495E-2</v>
      </c>
      <c r="K2612">
        <v>5.9336009034354001E-2</v>
      </c>
      <c r="L2612">
        <v>805.85206911212595</v>
      </c>
      <c r="M2612">
        <v>15.974781905527401</v>
      </c>
      <c r="N2612">
        <v>50.710622455951103</v>
      </c>
      <c r="O2612">
        <v>49.6746189758423</v>
      </c>
      <c r="P2612">
        <v>-7.71794847020357E-2</v>
      </c>
      <c r="Q2612">
        <v>4.0097334087091097E-2</v>
      </c>
      <c r="R2612">
        <v>0.998202235969744</v>
      </c>
      <c r="S2612" t="s">
        <v>6241</v>
      </c>
      <c r="T2612" t="s">
        <v>7256</v>
      </c>
      <c r="U2612" t="s">
        <v>7256</v>
      </c>
      <c r="V2612" t="s">
        <v>7256</v>
      </c>
      <c r="W2612">
        <v>4</v>
      </c>
      <c r="X2612" t="s">
        <v>9868</v>
      </c>
      <c r="Y2612">
        <v>0.39453061908201559</v>
      </c>
      <c r="Z2612" t="str">
        <f>HYPERLINK("Melting_Curves/meltCurve_sp_Q9NP71_4_MLXPL_HUMAN_.pdf", "Melting_Curves/meltCurve_sp_Q9NP71_4_MLXPL_HUMAN_.pdf")</f>
        <v>Melting_Curves/meltCurve_sp_Q9NP71_4_MLXPL_HUMAN_.pdf</v>
      </c>
      <c r="AA2612" t="s">
        <v>13463</v>
      </c>
      <c r="AB2612" t="s">
        <v>17037</v>
      </c>
    </row>
    <row r="2613" spans="1:28" x14ac:dyDescent="0.25">
      <c r="A2613" t="s">
        <v>2617</v>
      </c>
      <c r="B2613">
        <v>0.98018197421672304</v>
      </c>
      <c r="C2613">
        <v>1.0158259176241</v>
      </c>
      <c r="D2613">
        <v>0.89192452746185602</v>
      </c>
      <c r="E2613">
        <v>0.69391143191233395</v>
      </c>
      <c r="F2613">
        <v>0.49709679725485101</v>
      </c>
      <c r="G2613">
        <v>0.31509125456480103</v>
      </c>
      <c r="H2613">
        <v>0.16278279787915401</v>
      </c>
      <c r="I2613">
        <v>0.12759984862976401</v>
      </c>
      <c r="J2613">
        <v>0.218867834220935</v>
      </c>
      <c r="K2613">
        <v>6.0007127988557202E-2</v>
      </c>
      <c r="L2613">
        <v>808.656289944484</v>
      </c>
      <c r="M2613">
        <v>15.4784418973668</v>
      </c>
      <c r="N2613">
        <v>53.008573398227902</v>
      </c>
      <c r="O2613">
        <v>51.395286057813998</v>
      </c>
      <c r="P2613">
        <v>-6.7765069487239302E-2</v>
      </c>
      <c r="Q2613">
        <v>0.10003984713625701</v>
      </c>
      <c r="R2613">
        <v>0.98768918722840704</v>
      </c>
      <c r="S2613" t="s">
        <v>6242</v>
      </c>
      <c r="T2613" t="s">
        <v>7256</v>
      </c>
      <c r="U2613" t="s">
        <v>7256</v>
      </c>
      <c r="V2613" t="s">
        <v>7256</v>
      </c>
      <c r="W2613">
        <v>6</v>
      </c>
      <c r="X2613" t="s">
        <v>9869</v>
      </c>
      <c r="Y2613">
        <v>0.48636542671147259</v>
      </c>
      <c r="Z2613" t="str">
        <f>HYPERLINK("Melting_Curves/meltCurve_sp_Q9NP72_RAB18_HUMAN_.pdf", "Melting_Curves/meltCurve_sp_Q9NP72_RAB18_HUMAN_.pdf")</f>
        <v>Melting_Curves/meltCurve_sp_Q9NP72_RAB18_HUMAN_.pdf</v>
      </c>
      <c r="AA2613" t="s">
        <v>13464</v>
      </c>
      <c r="AB2613" t="s">
        <v>17038</v>
      </c>
    </row>
    <row r="2614" spans="1:28" x14ac:dyDescent="0.25">
      <c r="A2614" t="s">
        <v>2618</v>
      </c>
      <c r="B2614">
        <v>0.98018197421672304</v>
      </c>
      <c r="C2614">
        <v>0.92145408716296096</v>
      </c>
      <c r="D2614">
        <v>0.92880897556028197</v>
      </c>
      <c r="E2614">
        <v>0.829989422992642</v>
      </c>
      <c r="F2614">
        <v>0.76738595306530799</v>
      </c>
      <c r="G2614">
        <v>0.56901579234816402</v>
      </c>
      <c r="H2614">
        <v>0.58811979295221894</v>
      </c>
      <c r="I2614">
        <v>0.60728477196614095</v>
      </c>
      <c r="J2614">
        <v>0.73412410689232699</v>
      </c>
      <c r="K2614">
        <v>0.69717581333548395</v>
      </c>
      <c r="L2614">
        <v>977.38632134093405</v>
      </c>
      <c r="M2614">
        <v>19.636642707204601</v>
      </c>
      <c r="O2614">
        <v>49.2660169393084</v>
      </c>
      <c r="P2614">
        <v>-3.5911770517433501E-2</v>
      </c>
      <c r="Q2614">
        <v>0.63961901390359699</v>
      </c>
      <c r="R2614">
        <v>0.83590569207773502</v>
      </c>
      <c r="S2614" t="s">
        <v>6243</v>
      </c>
      <c r="T2614" t="s">
        <v>7256</v>
      </c>
      <c r="U2614" t="s">
        <v>7256</v>
      </c>
      <c r="V2614" t="s">
        <v>7256</v>
      </c>
      <c r="W2614">
        <v>14</v>
      </c>
      <c r="X2614" t="s">
        <v>9870</v>
      </c>
      <c r="Y2614">
        <v>0.76223233667540025</v>
      </c>
      <c r="Z2614" t="str">
        <f>HYPERLINK("Melting_Curves/meltCurve_sp_Q9NP74_PALMD_HUMAN_.pdf", "Melting_Curves/meltCurve_sp_Q9NP74_PALMD_HUMAN_.pdf")</f>
        <v>Melting_Curves/meltCurve_sp_Q9NP74_PALMD_HUMAN_.pdf</v>
      </c>
      <c r="AA2614" t="s">
        <v>13465</v>
      </c>
      <c r="AB2614" t="s">
        <v>17039</v>
      </c>
    </row>
    <row r="2615" spans="1:28" x14ac:dyDescent="0.25">
      <c r="A2615" t="s">
        <v>2619</v>
      </c>
      <c r="B2615">
        <v>0.98018197421672304</v>
      </c>
      <c r="C2615">
        <v>0.99069888063511702</v>
      </c>
      <c r="D2615">
        <v>0.90173699684380904</v>
      </c>
      <c r="E2615">
        <v>0.76622403389147897</v>
      </c>
      <c r="F2615">
        <v>0.535663097395081</v>
      </c>
      <c r="G2615">
        <v>0.243453172195949</v>
      </c>
      <c r="H2615">
        <v>0.12666014438523401</v>
      </c>
      <c r="I2615">
        <v>0.107451152618497</v>
      </c>
      <c r="J2615">
        <v>0.12075355068561699</v>
      </c>
      <c r="K2615">
        <v>6.7071162780098795E-2</v>
      </c>
      <c r="L2615">
        <v>970.774647304224</v>
      </c>
      <c r="M2615">
        <v>18.3807723598329</v>
      </c>
      <c r="N2615">
        <v>53.250195711480004</v>
      </c>
      <c r="O2615">
        <v>52.201448731408199</v>
      </c>
      <c r="P2615">
        <v>-8.1888509676585605E-2</v>
      </c>
      <c r="Q2615">
        <v>6.9787807325673704E-2</v>
      </c>
      <c r="R2615">
        <v>0.997039455812326</v>
      </c>
      <c r="S2615" t="s">
        <v>6244</v>
      </c>
      <c r="T2615" t="s">
        <v>7256</v>
      </c>
      <c r="U2615" t="s">
        <v>7256</v>
      </c>
      <c r="V2615" t="s">
        <v>7256</v>
      </c>
      <c r="W2615">
        <v>5</v>
      </c>
      <c r="X2615" t="s">
        <v>9871</v>
      </c>
      <c r="Y2615">
        <v>0.48190374603263908</v>
      </c>
      <c r="Z2615" t="str">
        <f>HYPERLINK("Melting_Curves/meltCurve_sp_Q9NP79_VTA1_HUMAN_.pdf", "Melting_Curves/meltCurve_sp_Q9NP79_VTA1_HUMAN_.pdf")</f>
        <v>Melting_Curves/meltCurve_sp_Q9NP79_VTA1_HUMAN_.pdf</v>
      </c>
      <c r="AA2615" t="s">
        <v>13466</v>
      </c>
      <c r="AB2615" t="s">
        <v>17040</v>
      </c>
    </row>
    <row r="2616" spans="1:28" x14ac:dyDescent="0.25">
      <c r="A2616" t="s">
        <v>2620</v>
      </c>
      <c r="B2616">
        <v>0.98018197421672304</v>
      </c>
      <c r="C2616">
        <v>0.84766271591272402</v>
      </c>
      <c r="D2616">
        <v>0.89605046641848496</v>
      </c>
      <c r="E2616">
        <v>0.71162904577018604</v>
      </c>
      <c r="F2616">
        <v>0.51040450402452897</v>
      </c>
      <c r="G2616">
        <v>0.36694598785883298</v>
      </c>
      <c r="H2616">
        <v>0.25635758196261599</v>
      </c>
      <c r="I2616">
        <v>0.247448617267369</v>
      </c>
      <c r="J2616">
        <v>0.27633971030890297</v>
      </c>
      <c r="K2616">
        <v>0.23085894099853199</v>
      </c>
      <c r="L2616">
        <v>688.88026422253097</v>
      </c>
      <c r="M2616">
        <v>13.396184568577899</v>
      </c>
      <c r="N2616">
        <v>53.523344914882301</v>
      </c>
      <c r="O2616">
        <v>50.318236542050698</v>
      </c>
      <c r="P2616">
        <v>-5.2962609078858802E-2</v>
      </c>
      <c r="Q2616">
        <v>0.204380251103086</v>
      </c>
      <c r="R2616">
        <v>0.98101512456485096</v>
      </c>
      <c r="S2616" t="s">
        <v>6245</v>
      </c>
      <c r="T2616" t="s">
        <v>7256</v>
      </c>
      <c r="U2616" t="s">
        <v>7256</v>
      </c>
      <c r="V2616" t="s">
        <v>7256</v>
      </c>
      <c r="W2616">
        <v>1</v>
      </c>
      <c r="X2616" t="s">
        <v>9872</v>
      </c>
      <c r="Y2616">
        <v>0.52893973141682649</v>
      </c>
      <c r="Z2616" t="str">
        <f>HYPERLINK("Melting_Curves/meltCurve_sp_Q9NP97_DLRB1_HUMAN_.pdf", "Melting_Curves/meltCurve_sp_Q9NP97_DLRB1_HUMAN_.pdf")</f>
        <v>Melting_Curves/meltCurve_sp_Q9NP97_DLRB1_HUMAN_.pdf</v>
      </c>
      <c r="AA2616" t="s">
        <v>13467</v>
      </c>
      <c r="AB2616" t="s">
        <v>17041</v>
      </c>
    </row>
    <row r="2617" spans="1:28" x14ac:dyDescent="0.25">
      <c r="A2617" t="s">
        <v>2621</v>
      </c>
      <c r="B2617">
        <v>0.98018197421672304</v>
      </c>
      <c r="C2617">
        <v>0.83511691262329701</v>
      </c>
      <c r="D2617">
        <v>0.86892679408241602</v>
      </c>
      <c r="E2617">
        <v>0.73514408753355598</v>
      </c>
      <c r="F2617">
        <v>0.62127737803984995</v>
      </c>
      <c r="G2617">
        <v>0.44128626224005901</v>
      </c>
      <c r="H2617">
        <v>0.44444646617995598</v>
      </c>
      <c r="I2617">
        <v>0.37895460650767099</v>
      </c>
      <c r="J2617">
        <v>0.59660901241957098</v>
      </c>
      <c r="K2617">
        <v>0.32415678458951902</v>
      </c>
      <c r="L2617">
        <v>556.34637629246504</v>
      </c>
      <c r="M2617">
        <v>11.0741242625348</v>
      </c>
      <c r="N2617">
        <v>57.714197295975701</v>
      </c>
      <c r="O2617">
        <v>48.683641857485902</v>
      </c>
      <c r="P2617">
        <v>-3.5219783167836902E-2</v>
      </c>
      <c r="Q2617">
        <v>0.38087610102606001</v>
      </c>
      <c r="R2617">
        <v>0.87589381895847496</v>
      </c>
      <c r="S2617" t="s">
        <v>6246</v>
      </c>
      <c r="T2617" t="s">
        <v>7256</v>
      </c>
      <c r="U2617" t="s">
        <v>7256</v>
      </c>
      <c r="V2617" t="s">
        <v>7256</v>
      </c>
      <c r="W2617">
        <v>2</v>
      </c>
      <c r="X2617" t="s">
        <v>9873</v>
      </c>
      <c r="Y2617">
        <v>0.61598839516766501</v>
      </c>
      <c r="Z2617" t="str">
        <f>HYPERLINK("Melting_Curves/meltCurve_sp_Q9NPA8_2_ENY2_HUMAN_.pdf", "Melting_Curves/meltCurve_sp_Q9NPA8_2_ENY2_HUMAN_.pdf")</f>
        <v>Melting_Curves/meltCurve_sp_Q9NPA8_2_ENY2_HUMAN_.pdf</v>
      </c>
      <c r="AA2617" t="s">
        <v>13468</v>
      </c>
      <c r="AB2617" t="s">
        <v>17042</v>
      </c>
    </row>
    <row r="2618" spans="1:28" x14ac:dyDescent="0.25">
      <c r="A2618" t="s">
        <v>2622</v>
      </c>
      <c r="B2618">
        <v>0.98018197421672304</v>
      </c>
      <c r="C2618">
        <v>0.91649267706585802</v>
      </c>
      <c r="D2618">
        <v>0.88087943407337699</v>
      </c>
      <c r="E2618">
        <v>0.66751819551926905</v>
      </c>
      <c r="F2618">
        <v>0.493731203690846</v>
      </c>
      <c r="G2618">
        <v>0.291554019641448</v>
      </c>
      <c r="H2618">
        <v>0.14403761908062801</v>
      </c>
      <c r="I2618">
        <v>0.122331850858465</v>
      </c>
      <c r="J2618">
        <v>0.10765043565261199</v>
      </c>
      <c r="K2618">
        <v>8.2572858115632003E-2</v>
      </c>
      <c r="L2618">
        <v>693.17653375849795</v>
      </c>
      <c r="M2618">
        <v>13.2328363400188</v>
      </c>
      <c r="N2618">
        <v>52.750103616856101</v>
      </c>
      <c r="O2618">
        <v>51.230126123408297</v>
      </c>
      <c r="P2618">
        <v>-6.1745515884146299E-2</v>
      </c>
      <c r="Q2618">
        <v>4.3981523002397403E-2</v>
      </c>
      <c r="R2618">
        <v>0.99798004702242404</v>
      </c>
      <c r="S2618" t="s">
        <v>6247</v>
      </c>
      <c r="T2618" t="s">
        <v>7256</v>
      </c>
      <c r="U2618" t="s">
        <v>7256</v>
      </c>
      <c r="V2618" t="s">
        <v>7256</v>
      </c>
      <c r="W2618">
        <v>2</v>
      </c>
      <c r="X2618" t="s">
        <v>9874</v>
      </c>
      <c r="Y2618">
        <v>0.46374199300622182</v>
      </c>
      <c r="Z2618" t="str">
        <f>HYPERLINK("Melting_Curves/meltCurve_sp_Q9NPD3_EXOS4_HUMAN_.pdf", "Melting_Curves/meltCurve_sp_Q9NPD3_EXOS4_HUMAN_.pdf")</f>
        <v>Melting_Curves/meltCurve_sp_Q9NPD3_EXOS4_HUMAN_.pdf</v>
      </c>
      <c r="AA2618" t="s">
        <v>13469</v>
      </c>
      <c r="AB2618" t="s">
        <v>17043</v>
      </c>
    </row>
    <row r="2619" spans="1:28" x14ac:dyDescent="0.25">
      <c r="A2619" t="s">
        <v>2623</v>
      </c>
      <c r="B2619">
        <v>0.98018197421672304</v>
      </c>
      <c r="C2619">
        <v>0.935358296029561</v>
      </c>
      <c r="D2619">
        <v>0.883664190537641</v>
      </c>
      <c r="E2619">
        <v>0.62477560656405895</v>
      </c>
      <c r="F2619">
        <v>0.34354450657865698</v>
      </c>
      <c r="G2619">
        <v>0.17714814987331901</v>
      </c>
      <c r="H2619">
        <v>9.4096745175911795E-2</v>
      </c>
      <c r="I2619">
        <v>5.8585223250907197E-2</v>
      </c>
      <c r="J2619">
        <v>5.9036124809769198E-2</v>
      </c>
      <c r="K2619">
        <v>3.70854127579687E-2</v>
      </c>
      <c r="L2619">
        <v>898.87436934685104</v>
      </c>
      <c r="M2619">
        <v>17.610602338161701</v>
      </c>
      <c r="N2619">
        <v>51.264468677451703</v>
      </c>
      <c r="O2619">
        <v>50.397152838927603</v>
      </c>
      <c r="P2619">
        <v>-8.4145136212566599E-2</v>
      </c>
      <c r="Q2619">
        <v>3.6842249217428902E-2</v>
      </c>
      <c r="R2619">
        <v>0.99833294892824198</v>
      </c>
      <c r="S2619" t="s">
        <v>6248</v>
      </c>
      <c r="T2619" t="s">
        <v>7256</v>
      </c>
      <c r="U2619" t="s">
        <v>7256</v>
      </c>
      <c r="V2619" t="s">
        <v>7256</v>
      </c>
      <c r="W2619">
        <v>7</v>
      </c>
      <c r="X2619" t="s">
        <v>9875</v>
      </c>
      <c r="Y2619">
        <v>0.40820649457080849</v>
      </c>
      <c r="Z2619" t="str">
        <f>HYPERLINK("Melting_Curves/meltCurve_sp_Q9NPF4_OSGEP_HUMAN_.pdf", "Melting_Curves/meltCurve_sp_Q9NPF4_OSGEP_HUMAN_.pdf")</f>
        <v>Melting_Curves/meltCurve_sp_Q9NPF4_OSGEP_HUMAN_.pdf</v>
      </c>
      <c r="AA2619" t="s">
        <v>13470</v>
      </c>
      <c r="AB2619" t="s">
        <v>16963</v>
      </c>
    </row>
    <row r="2620" spans="1:28" x14ac:dyDescent="0.25">
      <c r="A2620" t="s">
        <v>2624</v>
      </c>
      <c r="B2620">
        <v>0.98018197421672304</v>
      </c>
      <c r="C2620">
        <v>0.92071863331690895</v>
      </c>
      <c r="D2620">
        <v>0.85272824241672995</v>
      </c>
      <c r="E2620">
        <v>0.72175445906858504</v>
      </c>
      <c r="F2620">
        <v>0.60048902790972403</v>
      </c>
      <c r="G2620">
        <v>0.44876566607738599</v>
      </c>
      <c r="H2620">
        <v>0.158461586101205</v>
      </c>
      <c r="I2620">
        <v>0.10868088799937201</v>
      </c>
      <c r="J2620">
        <v>0.10383736188293299</v>
      </c>
      <c r="K2620">
        <v>7.3642006196752902E-2</v>
      </c>
      <c r="L2620">
        <v>626.84086524119698</v>
      </c>
      <c r="M2620">
        <v>11.5222856472869</v>
      </c>
      <c r="N2620">
        <v>54.4024756382289</v>
      </c>
      <c r="O2620">
        <v>52.841211243544898</v>
      </c>
      <c r="P2620">
        <v>-5.4529104558313703E-2</v>
      </c>
      <c r="Q2620">
        <v>0</v>
      </c>
      <c r="R2620">
        <v>0.98711302459508099</v>
      </c>
      <c r="S2620" t="s">
        <v>6249</v>
      </c>
      <c r="T2620" t="s">
        <v>7256</v>
      </c>
      <c r="U2620" t="s">
        <v>7256</v>
      </c>
      <c r="V2620" t="s">
        <v>7256</v>
      </c>
      <c r="W2620">
        <v>2</v>
      </c>
      <c r="X2620" t="s">
        <v>9876</v>
      </c>
      <c r="Y2620">
        <v>0.50600357122781092</v>
      </c>
      <c r="Z2620" t="str">
        <f>HYPERLINK("Melting_Curves/meltCurve_sp_Q9NPH0_PPA6_HUMAN_.pdf", "Melting_Curves/meltCurve_sp_Q9NPH0_PPA6_HUMAN_.pdf")</f>
        <v>Melting_Curves/meltCurve_sp_Q9NPH0_PPA6_HUMAN_.pdf</v>
      </c>
      <c r="AA2620" t="s">
        <v>13471</v>
      </c>
      <c r="AB2620" t="s">
        <v>17044</v>
      </c>
    </row>
    <row r="2621" spans="1:28" x14ac:dyDescent="0.25">
      <c r="A2621" t="s">
        <v>2625</v>
      </c>
      <c r="B2621">
        <v>0.98018197421672304</v>
      </c>
      <c r="C2621">
        <v>1.0400625923931599</v>
      </c>
      <c r="D2621">
        <v>0.98315913426372004</v>
      </c>
      <c r="E2621">
        <v>0.87261256770170703</v>
      </c>
      <c r="F2621">
        <v>0.80956666461850002</v>
      </c>
      <c r="G2621">
        <v>0.68256498493387996</v>
      </c>
      <c r="H2621">
        <v>0.38883250776608302</v>
      </c>
      <c r="I2621">
        <v>0.24557632290054701</v>
      </c>
      <c r="J2621">
        <v>8.7032071252201901E-2</v>
      </c>
      <c r="K2621">
        <v>5.1032409680449697E-2</v>
      </c>
      <c r="L2621">
        <v>904.15664842034005</v>
      </c>
      <c r="M2621">
        <v>15.3259330581503</v>
      </c>
      <c r="N2621">
        <v>58.995210969132003</v>
      </c>
      <c r="O2621">
        <v>58.018132732013598</v>
      </c>
      <c r="P2621">
        <v>-6.6045516208100605E-2</v>
      </c>
      <c r="Q2621">
        <v>0</v>
      </c>
      <c r="R2621">
        <v>0.98878841137780904</v>
      </c>
      <c r="S2621" t="s">
        <v>6250</v>
      </c>
      <c r="T2621" t="s">
        <v>7256</v>
      </c>
      <c r="U2621" t="s">
        <v>7256</v>
      </c>
      <c r="V2621" t="s">
        <v>7256</v>
      </c>
      <c r="W2621">
        <v>6</v>
      </c>
      <c r="X2621" t="s">
        <v>9877</v>
      </c>
      <c r="Y2621">
        <v>0.64376541236074347</v>
      </c>
      <c r="Z2621" t="str">
        <f>HYPERLINK("Melting_Curves/meltCurve_sp_Q9NPJ3_ACO13_HUMAN_.pdf", "Melting_Curves/meltCurve_sp_Q9NPJ3_ACO13_HUMAN_.pdf")</f>
        <v>Melting_Curves/meltCurve_sp_Q9NPJ3_ACO13_HUMAN_.pdf</v>
      </c>
      <c r="AA2621" t="s">
        <v>13472</v>
      </c>
      <c r="AB2621" t="s">
        <v>17045</v>
      </c>
    </row>
    <row r="2622" spans="1:28" x14ac:dyDescent="0.25">
      <c r="A2622" t="s">
        <v>2626</v>
      </c>
      <c r="B2622">
        <v>0.98018197421672304</v>
      </c>
      <c r="C2622">
        <v>0.87620122907204601</v>
      </c>
      <c r="D2622">
        <v>0.88785735294420998</v>
      </c>
      <c r="E2622">
        <v>0.65580748784979004</v>
      </c>
      <c r="F2622">
        <v>0.69333938055685995</v>
      </c>
      <c r="G2622">
        <v>0.11677284566276901</v>
      </c>
      <c r="H2622">
        <v>0.214899425723107</v>
      </c>
      <c r="I2622">
        <v>7.9925854489900805E-2</v>
      </c>
      <c r="J2622">
        <v>0.12050034184654899</v>
      </c>
      <c r="K2622">
        <v>0</v>
      </c>
      <c r="L2622">
        <v>713.83711093986801</v>
      </c>
      <c r="M2622">
        <v>13.391835081332401</v>
      </c>
      <c r="N2622">
        <v>53.303908939615198</v>
      </c>
      <c r="O2622">
        <v>52.157407793395997</v>
      </c>
      <c r="P2622">
        <v>-6.4199617711476697E-2</v>
      </c>
      <c r="Q2622">
        <v>0</v>
      </c>
      <c r="R2622">
        <v>0.94049365843906696</v>
      </c>
      <c r="S2622" t="s">
        <v>6251</v>
      </c>
      <c r="T2622" t="s">
        <v>7256</v>
      </c>
      <c r="U2622" t="s">
        <v>7256</v>
      </c>
      <c r="V2622" t="s">
        <v>7256</v>
      </c>
      <c r="W2622">
        <v>1</v>
      </c>
      <c r="X2622" t="s">
        <v>9878</v>
      </c>
      <c r="Y2622">
        <v>0.46800243331328312</v>
      </c>
      <c r="Z2622" t="str">
        <f>HYPERLINK("Melting_Curves/meltCurve_sp_Q9NPJ6_2_MED4_HUMAN_.pdf", "Melting_Curves/meltCurve_sp_Q9NPJ6_2_MED4_HUMAN_.pdf")</f>
        <v>Melting_Curves/meltCurve_sp_Q9NPJ6_2_MED4_HUMAN_.pdf</v>
      </c>
      <c r="AA2622" t="s">
        <v>13473</v>
      </c>
      <c r="AB2622" t="s">
        <v>17046</v>
      </c>
    </row>
    <row r="2623" spans="1:28" x14ac:dyDescent="0.25">
      <c r="A2623" t="s">
        <v>2627</v>
      </c>
      <c r="B2623">
        <v>0.98018197421672304</v>
      </c>
      <c r="C2623">
        <v>1.11712386095281</v>
      </c>
      <c r="D2623">
        <v>0.99844303830627401</v>
      </c>
      <c r="E2623">
        <v>0.71334450684544903</v>
      </c>
      <c r="F2623">
        <v>0.2228184822431</v>
      </c>
      <c r="G2623">
        <v>0.119351672347688</v>
      </c>
      <c r="H2623">
        <v>5.5300991801447902E-2</v>
      </c>
      <c r="I2623">
        <v>3.5153951483171297E-2</v>
      </c>
      <c r="J2623">
        <v>4.1510599831584498E-2</v>
      </c>
      <c r="K2623">
        <v>1.8210958000513599E-2</v>
      </c>
      <c r="L2623">
        <v>1995.9569871174399</v>
      </c>
      <c r="M2623">
        <v>39.087864633556201</v>
      </c>
      <c r="N2623">
        <v>51.1975337544444</v>
      </c>
      <c r="O2623">
        <v>50.930236308061602</v>
      </c>
      <c r="P2623">
        <v>-0.18252807377407099</v>
      </c>
      <c r="Q2623">
        <v>4.8689213054002499E-2</v>
      </c>
      <c r="R2623">
        <v>0.99035423118858801</v>
      </c>
      <c r="S2623" t="s">
        <v>6252</v>
      </c>
      <c r="T2623" t="s">
        <v>7256</v>
      </c>
      <c r="U2623" t="s">
        <v>7256</v>
      </c>
      <c r="V2623" t="s">
        <v>7256</v>
      </c>
      <c r="W2623">
        <v>4</v>
      </c>
      <c r="X2623" t="s">
        <v>9879</v>
      </c>
      <c r="Y2623">
        <v>0.40302892643097649</v>
      </c>
      <c r="Z2623" t="str">
        <f>HYPERLINK("Melting_Curves/meltCurve_sp_Q9NPQ8_2_RIC8A_HUMAN_.pdf", "Melting_Curves/meltCurve_sp_Q9NPQ8_2_RIC8A_HUMAN_.pdf")</f>
        <v>Melting_Curves/meltCurve_sp_Q9NPQ8_2_RIC8A_HUMAN_.pdf</v>
      </c>
      <c r="AA2623" t="s">
        <v>13474</v>
      </c>
      <c r="AB2623" t="s">
        <v>17047</v>
      </c>
    </row>
    <row r="2624" spans="1:28" x14ac:dyDescent="0.25">
      <c r="A2624" t="s">
        <v>2628</v>
      </c>
      <c r="B2624">
        <v>0.98018197421672304</v>
      </c>
      <c r="C2624">
        <v>0.93308652433526995</v>
      </c>
      <c r="D2624">
        <v>0.88462677854479499</v>
      </c>
      <c r="E2624">
        <v>0.59501685652329095</v>
      </c>
      <c r="F2624">
        <v>0.24582724481520701</v>
      </c>
      <c r="G2624">
        <v>0.17339679020211499</v>
      </c>
      <c r="H2624">
        <v>0.13331101520123401</v>
      </c>
      <c r="I2624">
        <v>0.16030668258997899</v>
      </c>
      <c r="J2624">
        <v>0.115283345212547</v>
      </c>
      <c r="K2624">
        <v>4.7950837803863597E-2</v>
      </c>
      <c r="L2624">
        <v>1169.4134766002201</v>
      </c>
      <c r="M2624">
        <v>23.373419810344</v>
      </c>
      <c r="N2624">
        <v>50.552055064886602</v>
      </c>
      <c r="O2624">
        <v>49.669853901667302</v>
      </c>
      <c r="P2624">
        <v>-0.105068967384964</v>
      </c>
      <c r="Q2624">
        <v>0.106905422344833</v>
      </c>
      <c r="R2624">
        <v>0.98966416738667895</v>
      </c>
      <c r="S2624" t="s">
        <v>6253</v>
      </c>
      <c r="T2624" t="s">
        <v>7256</v>
      </c>
      <c r="U2624" t="s">
        <v>7256</v>
      </c>
      <c r="V2624" t="s">
        <v>7256</v>
      </c>
      <c r="W2624">
        <v>1</v>
      </c>
      <c r="X2624" t="s">
        <v>9880</v>
      </c>
      <c r="Y2624">
        <v>0.41468641232277842</v>
      </c>
      <c r="Z2624" t="str">
        <f>HYPERLINK("Melting_Curves/meltCurve_sp_Q9NQ88_TIGAR_HUMAN_.pdf", "Melting_Curves/meltCurve_sp_Q9NQ88_TIGAR_HUMAN_.pdf")</f>
        <v>Melting_Curves/meltCurve_sp_Q9NQ88_TIGAR_HUMAN_.pdf</v>
      </c>
      <c r="AA2624" t="s">
        <v>13475</v>
      </c>
      <c r="AB2624" t="s">
        <v>17048</v>
      </c>
    </row>
    <row r="2625" spans="1:28" x14ac:dyDescent="0.25">
      <c r="A2625" t="s">
        <v>2629</v>
      </c>
      <c r="B2625">
        <v>0.98018197421672304</v>
      </c>
      <c r="C2625">
        <v>0.95604298594873804</v>
      </c>
      <c r="D2625">
        <v>0.77878303762758805</v>
      </c>
      <c r="E2625">
        <v>0.51099211949295897</v>
      </c>
      <c r="F2625">
        <v>0.325443026540917</v>
      </c>
      <c r="G2625">
        <v>0.21695387208561001</v>
      </c>
      <c r="H2625">
        <v>0.17349958982514899</v>
      </c>
      <c r="I2625">
        <v>0.14894677787042901</v>
      </c>
      <c r="J2625">
        <v>0.172966847022334</v>
      </c>
      <c r="K2625">
        <v>0.16806739869169399</v>
      </c>
      <c r="L2625">
        <v>871.06848891621405</v>
      </c>
      <c r="M2625">
        <v>17.789038162090201</v>
      </c>
      <c r="N2625">
        <v>50.002204750997201</v>
      </c>
      <c r="O2625">
        <v>48.360369939922599</v>
      </c>
      <c r="P2625">
        <v>-7.7794398402797602E-2</v>
      </c>
      <c r="Q2625">
        <v>0.154092235146157</v>
      </c>
      <c r="R2625">
        <v>0.998651852057304</v>
      </c>
      <c r="S2625" t="s">
        <v>6254</v>
      </c>
      <c r="T2625" t="s">
        <v>7256</v>
      </c>
      <c r="U2625" t="s">
        <v>7256</v>
      </c>
      <c r="V2625" t="s">
        <v>7256</v>
      </c>
      <c r="W2625">
        <v>16</v>
      </c>
      <c r="X2625" t="s">
        <v>9881</v>
      </c>
      <c r="Y2625">
        <v>0.42193233145720388</v>
      </c>
      <c r="Z2625" t="str">
        <f>HYPERLINK("Melting_Curves/meltCurve_sp_Q9NQ94_2_A1CF_HUMAN_.pdf", "Melting_Curves/meltCurve_sp_Q9NQ94_2_A1CF_HUMAN_.pdf")</f>
        <v>Melting_Curves/meltCurve_sp_Q9NQ94_2_A1CF_HUMAN_.pdf</v>
      </c>
      <c r="AA2625" t="s">
        <v>13476</v>
      </c>
      <c r="AB2625" t="s">
        <v>17049</v>
      </c>
    </row>
    <row r="2626" spans="1:28" x14ac:dyDescent="0.25">
      <c r="A2626" t="s">
        <v>2630</v>
      </c>
      <c r="B2626">
        <v>0.98018197421672304</v>
      </c>
      <c r="C2626">
        <v>0.91773822853558396</v>
      </c>
      <c r="D2626">
        <v>0.92271701010980101</v>
      </c>
      <c r="E2626">
        <v>0.73095512376131799</v>
      </c>
      <c r="F2626">
        <v>0.50030678325119504</v>
      </c>
      <c r="G2626">
        <v>0.20938510103743499</v>
      </c>
      <c r="H2626">
        <v>0.12708264764072899</v>
      </c>
      <c r="I2626">
        <v>9.3545860471669601E-2</v>
      </c>
      <c r="J2626">
        <v>0.126612412388554</v>
      </c>
      <c r="K2626">
        <v>9.5548528271066802E-2</v>
      </c>
      <c r="L2626">
        <v>996.22690660304499</v>
      </c>
      <c r="M2626">
        <v>19.071082232240599</v>
      </c>
      <c r="N2626">
        <v>52.734379934780499</v>
      </c>
      <c r="O2626">
        <v>51.673375246950997</v>
      </c>
      <c r="P2626">
        <v>-8.4683915755184094E-2</v>
      </c>
      <c r="Q2626">
        <v>8.2226827457696799E-2</v>
      </c>
      <c r="R2626">
        <v>0.99415811187457903</v>
      </c>
      <c r="S2626" t="s">
        <v>6255</v>
      </c>
      <c r="T2626" t="s">
        <v>7256</v>
      </c>
      <c r="U2626" t="s">
        <v>7256</v>
      </c>
      <c r="V2626" t="s">
        <v>7256</v>
      </c>
      <c r="W2626">
        <v>9</v>
      </c>
      <c r="X2626" t="s">
        <v>9882</v>
      </c>
      <c r="Y2626">
        <v>0.47039400342891008</v>
      </c>
      <c r="Z2626" t="str">
        <f>HYPERLINK("Melting_Curves/meltCurve_sp_Q9NQG5_RPR1B_HUMAN_.pdf", "Melting_Curves/meltCurve_sp_Q9NQG5_RPR1B_HUMAN_.pdf")</f>
        <v>Melting_Curves/meltCurve_sp_Q9NQG5_RPR1B_HUMAN_.pdf</v>
      </c>
      <c r="AA2626" t="s">
        <v>13477</v>
      </c>
      <c r="AB2626" t="s">
        <v>17050</v>
      </c>
    </row>
    <row r="2627" spans="1:28" x14ac:dyDescent="0.25">
      <c r="A2627" t="s">
        <v>2631</v>
      </c>
      <c r="B2627">
        <v>0.98018197421672304</v>
      </c>
      <c r="C2627">
        <v>1.01963367513605</v>
      </c>
      <c r="D2627">
        <v>0.87867630282190601</v>
      </c>
      <c r="E2627">
        <v>0.75874248365090202</v>
      </c>
      <c r="F2627">
        <v>0.59083577204398996</v>
      </c>
      <c r="G2627">
        <v>0.31683015931408698</v>
      </c>
      <c r="H2627">
        <v>0.15200289967609801</v>
      </c>
      <c r="I2627">
        <v>0.11738373734884699</v>
      </c>
      <c r="J2627">
        <v>7.7330492439450796E-2</v>
      </c>
      <c r="K2627">
        <v>3.8693446334708601E-2</v>
      </c>
      <c r="L2627">
        <v>762.52996444651899</v>
      </c>
      <c r="M2627">
        <v>14.119194515222301</v>
      </c>
      <c r="N2627">
        <v>54.056339402054498</v>
      </c>
      <c r="O2627">
        <v>52.957872199093103</v>
      </c>
      <c r="P2627">
        <v>-6.6231439170408399E-2</v>
      </c>
      <c r="Q2627">
        <v>6.4512207973017096E-3</v>
      </c>
      <c r="R2627">
        <v>0.996306822105954</v>
      </c>
      <c r="S2627" t="s">
        <v>6256</v>
      </c>
      <c r="T2627" t="s">
        <v>7256</v>
      </c>
      <c r="U2627" t="s">
        <v>7256</v>
      </c>
      <c r="V2627" t="s">
        <v>7256</v>
      </c>
      <c r="W2627">
        <v>8</v>
      </c>
      <c r="X2627" t="s">
        <v>9883</v>
      </c>
      <c r="Y2627">
        <v>0.49223378033296977</v>
      </c>
      <c r="Z2627" t="str">
        <f>HYPERLINK("Melting_Curves/meltCurve_sp_Q9NQH7_2_XPP3_HUMAN_.pdf", "Melting_Curves/meltCurve_sp_Q9NQH7_2_XPP3_HUMAN_.pdf")</f>
        <v>Melting_Curves/meltCurve_sp_Q9NQH7_2_XPP3_HUMAN_.pdf</v>
      </c>
      <c r="AA2627" t="s">
        <v>13478</v>
      </c>
      <c r="AB2627" t="s">
        <v>17051</v>
      </c>
    </row>
    <row r="2628" spans="1:28" x14ac:dyDescent="0.25">
      <c r="A2628" t="s">
        <v>2632</v>
      </c>
      <c r="B2628">
        <v>0.98018197421672304</v>
      </c>
      <c r="C2628">
        <v>0.92258972915511805</v>
      </c>
      <c r="D2628">
        <v>0.85336368015301101</v>
      </c>
      <c r="E2628">
        <v>0.74626371939598501</v>
      </c>
      <c r="F2628">
        <v>0.59743142670640603</v>
      </c>
      <c r="G2628">
        <v>0.438046978216248</v>
      </c>
      <c r="H2628">
        <v>0.31526193042327799</v>
      </c>
      <c r="I2628">
        <v>0.32136625735300101</v>
      </c>
      <c r="J2628">
        <v>0.32257448767201102</v>
      </c>
      <c r="K2628">
        <v>0.39227687150844098</v>
      </c>
      <c r="L2628">
        <v>705.254772400295</v>
      </c>
      <c r="M2628">
        <v>13.739811580003501</v>
      </c>
      <c r="N2628">
        <v>55.062609032963699</v>
      </c>
      <c r="O2628">
        <v>50.278592863634302</v>
      </c>
      <c r="P2628">
        <v>-4.7622303866148699E-2</v>
      </c>
      <c r="Q2628">
        <v>0.303034832521694</v>
      </c>
      <c r="R2628">
        <v>0.98006880395888096</v>
      </c>
      <c r="S2628" t="s">
        <v>6257</v>
      </c>
      <c r="T2628" t="s">
        <v>7256</v>
      </c>
      <c r="U2628" t="s">
        <v>7256</v>
      </c>
      <c r="V2628" t="s">
        <v>7256</v>
      </c>
      <c r="W2628">
        <v>2</v>
      </c>
      <c r="X2628" t="s">
        <v>9884</v>
      </c>
      <c r="Y2628">
        <v>0.58452817238809485</v>
      </c>
      <c r="Z2628" t="str">
        <f>HYPERLINK("Melting_Curves/meltCurve_sp_Q9NQP4_PFD4_HUMAN_.pdf", "Melting_Curves/meltCurve_sp_Q9NQP4_PFD4_HUMAN_.pdf")</f>
        <v>Melting_Curves/meltCurve_sp_Q9NQP4_PFD4_HUMAN_.pdf</v>
      </c>
      <c r="AA2628" t="s">
        <v>13479</v>
      </c>
      <c r="AB2628" t="s">
        <v>17052</v>
      </c>
    </row>
    <row r="2629" spans="1:28" x14ac:dyDescent="0.25">
      <c r="A2629" t="s">
        <v>2633</v>
      </c>
      <c r="B2629">
        <v>0.98018197421672304</v>
      </c>
      <c r="C2629">
        <v>0.75843627790457202</v>
      </c>
      <c r="D2629">
        <v>1.11025990055446</v>
      </c>
      <c r="E2629">
        <v>0.96668595686318104</v>
      </c>
      <c r="F2629">
        <v>0.585076013249479</v>
      </c>
      <c r="G2629">
        <v>0.488509473861646</v>
      </c>
      <c r="H2629">
        <v>0.23520506676907599</v>
      </c>
      <c r="I2629">
        <v>0.20934084937757799</v>
      </c>
      <c r="J2629">
        <v>0.13941337747247001</v>
      </c>
      <c r="K2629">
        <v>0.15481367464023299</v>
      </c>
      <c r="L2629">
        <v>1031.37660978231</v>
      </c>
      <c r="M2629">
        <v>18.8200082317308</v>
      </c>
      <c r="N2629">
        <v>55.764541231751998</v>
      </c>
      <c r="O2629">
        <v>54.194654049900002</v>
      </c>
      <c r="P2629">
        <v>-7.4781367380630501E-2</v>
      </c>
      <c r="Q2629">
        <v>0.138665301985513</v>
      </c>
      <c r="R2629">
        <v>0.919213406085996</v>
      </c>
      <c r="S2629" t="s">
        <v>6258</v>
      </c>
      <c r="T2629" t="s">
        <v>7256</v>
      </c>
      <c r="U2629" t="s">
        <v>7256</v>
      </c>
      <c r="V2629" t="s">
        <v>7256</v>
      </c>
      <c r="W2629">
        <v>21</v>
      </c>
      <c r="X2629" t="s">
        <v>9885</v>
      </c>
      <c r="Y2629">
        <v>0.57626275098976065</v>
      </c>
      <c r="Z2629" t="str">
        <f>HYPERLINK("Melting_Curves/meltCurve_sp_Q9NQR4_NIT2_HUMAN_.pdf", "Melting_Curves/meltCurve_sp_Q9NQR4_NIT2_HUMAN_.pdf")</f>
        <v>Melting_Curves/meltCurve_sp_Q9NQR4_NIT2_HUMAN_.pdf</v>
      </c>
      <c r="AA2629" t="s">
        <v>13480</v>
      </c>
      <c r="AB2629" t="s">
        <v>17053</v>
      </c>
    </row>
    <row r="2630" spans="1:28" x14ac:dyDescent="0.25">
      <c r="A2630" t="s">
        <v>2634</v>
      </c>
      <c r="B2630">
        <v>0.98018197421672304</v>
      </c>
      <c r="C2630">
        <v>0.89061988726391506</v>
      </c>
      <c r="D2630">
        <v>0.88400596255908903</v>
      </c>
      <c r="E2630">
        <v>0.85555916938946797</v>
      </c>
      <c r="F2630">
        <v>0.779740233668482</v>
      </c>
      <c r="G2630">
        <v>0.56833647984904501</v>
      </c>
      <c r="H2630">
        <v>0.52634702856209303</v>
      </c>
      <c r="I2630">
        <v>0.469781472807698</v>
      </c>
      <c r="J2630">
        <v>0.71404144229858402</v>
      </c>
      <c r="K2630">
        <v>0.70405604629767804</v>
      </c>
      <c r="L2630">
        <v>754.19986431765801</v>
      </c>
      <c r="M2630">
        <v>15.0088345247056</v>
      </c>
      <c r="O2630">
        <v>49.3836319262128</v>
      </c>
      <c r="P2630">
        <v>-3.1327208029199902E-2</v>
      </c>
      <c r="Q2630">
        <v>0.58773726758752998</v>
      </c>
      <c r="R2630">
        <v>0.72821825045718502</v>
      </c>
      <c r="S2630" t="s">
        <v>6259</v>
      </c>
      <c r="T2630" t="s">
        <v>7256</v>
      </c>
      <c r="U2630" t="s">
        <v>7256</v>
      </c>
      <c r="V2630" t="s">
        <v>7256</v>
      </c>
      <c r="W2630">
        <v>2</v>
      </c>
      <c r="X2630" t="s">
        <v>9886</v>
      </c>
      <c r="Y2630">
        <v>0.73834169106565084</v>
      </c>
      <c r="Z2630" t="str">
        <f>HYPERLINK("Melting_Curves/meltCurve_sp_Q9NQS1_AVEN_HUMAN_.pdf", "Melting_Curves/meltCurve_sp_Q9NQS1_AVEN_HUMAN_.pdf")</f>
        <v>Melting_Curves/meltCurve_sp_Q9NQS1_AVEN_HUMAN_.pdf</v>
      </c>
      <c r="AA2630" t="s">
        <v>13481</v>
      </c>
      <c r="AB2630" t="s">
        <v>17054</v>
      </c>
    </row>
    <row r="2631" spans="1:28" x14ac:dyDescent="0.25">
      <c r="A2631" t="s">
        <v>2635</v>
      </c>
      <c r="B2631">
        <v>0.98018197421672304</v>
      </c>
      <c r="C2631">
        <v>0.84103798522990703</v>
      </c>
      <c r="D2631">
        <v>0.59924960001269501</v>
      </c>
      <c r="E2631">
        <v>0.35573892815142399</v>
      </c>
      <c r="F2631">
        <v>0.240193052228141</v>
      </c>
      <c r="G2631">
        <v>0.155852634583662</v>
      </c>
      <c r="H2631">
        <v>0.111259122418417</v>
      </c>
      <c r="I2631">
        <v>9.6137857485451894E-2</v>
      </c>
      <c r="J2631">
        <v>9.8542395599000701E-2</v>
      </c>
      <c r="K2631">
        <v>9.9446378775546407E-2</v>
      </c>
      <c r="L2631">
        <v>736.79069243879906</v>
      </c>
      <c r="M2631">
        <v>15.6688144533376</v>
      </c>
      <c r="N2631">
        <v>47.647704473980703</v>
      </c>
      <c r="O2631">
        <v>46.2768121726224</v>
      </c>
      <c r="P2631">
        <v>-7.6791272515307096E-2</v>
      </c>
      <c r="Q2631">
        <v>9.2885556744873699E-2</v>
      </c>
      <c r="R2631">
        <v>0.99761951429724705</v>
      </c>
      <c r="S2631" t="s">
        <v>6260</v>
      </c>
      <c r="T2631" t="s">
        <v>7256</v>
      </c>
      <c r="U2631" t="s">
        <v>7256</v>
      </c>
      <c r="V2631" t="s">
        <v>7256</v>
      </c>
      <c r="W2631">
        <v>21</v>
      </c>
      <c r="X2631" t="s">
        <v>9887</v>
      </c>
      <c r="Y2631">
        <v>0.32771568506948628</v>
      </c>
      <c r="Z2631" t="str">
        <f>HYPERLINK("Melting_Curves/meltCurve_sp_Q9NQT8_KI13B_HUMAN_.pdf", "Melting_Curves/meltCurve_sp_Q9NQT8_KI13B_HUMAN_.pdf")</f>
        <v>Melting_Curves/meltCurve_sp_Q9NQT8_KI13B_HUMAN_.pdf</v>
      </c>
      <c r="AA2631" t="s">
        <v>13482</v>
      </c>
      <c r="AB2631" t="s">
        <v>17055</v>
      </c>
    </row>
    <row r="2632" spans="1:28" x14ac:dyDescent="0.25">
      <c r="A2632" t="s">
        <v>2636</v>
      </c>
      <c r="B2632">
        <v>0.98018197421672304</v>
      </c>
      <c r="C2632">
        <v>0.96426854542497298</v>
      </c>
      <c r="D2632">
        <v>0.88005518492400303</v>
      </c>
      <c r="E2632">
        <v>0.613774473285291</v>
      </c>
      <c r="F2632">
        <v>0.24177744511417901</v>
      </c>
      <c r="G2632">
        <v>0.12543085939330001</v>
      </c>
      <c r="H2632">
        <v>8.1543840298814202E-2</v>
      </c>
      <c r="I2632">
        <v>6.7946303497065E-2</v>
      </c>
      <c r="J2632">
        <v>6.5569929978136099E-2</v>
      </c>
      <c r="K2632">
        <v>4.0244124826145797E-2</v>
      </c>
      <c r="L2632">
        <v>1195.8887349101999</v>
      </c>
      <c r="M2632">
        <v>23.718149453277</v>
      </c>
      <c r="N2632">
        <v>50.675062750784399</v>
      </c>
      <c r="O2632">
        <v>50.066507185066399</v>
      </c>
      <c r="P2632">
        <v>-0.111791802573161</v>
      </c>
      <c r="Q2632">
        <v>5.60929774615503E-2</v>
      </c>
      <c r="R2632">
        <v>0.99623791027210395</v>
      </c>
      <c r="S2632" t="s">
        <v>6261</v>
      </c>
      <c r="T2632" t="s">
        <v>7256</v>
      </c>
      <c r="U2632" t="s">
        <v>7256</v>
      </c>
      <c r="V2632" t="s">
        <v>7256</v>
      </c>
      <c r="W2632">
        <v>16</v>
      </c>
      <c r="X2632" t="s">
        <v>9888</v>
      </c>
      <c r="Y2632">
        <v>0.39337696390250682</v>
      </c>
      <c r="Z2632" t="str">
        <f>HYPERLINK("Melting_Curves/meltCurve_sp_Q9NQW7_3_XPP1_HUMAN_.pdf", "Melting_Curves/meltCurve_sp_Q9NQW7_3_XPP1_HUMAN_.pdf")</f>
        <v>Melting_Curves/meltCurve_sp_Q9NQW7_3_XPP1_HUMAN_.pdf</v>
      </c>
      <c r="AA2632" t="s">
        <v>13483</v>
      </c>
      <c r="AB2632" t="s">
        <v>17056</v>
      </c>
    </row>
    <row r="2633" spans="1:28" x14ac:dyDescent="0.25">
      <c r="A2633" t="s">
        <v>2637</v>
      </c>
      <c r="B2633">
        <v>0.98018197421672304</v>
      </c>
      <c r="C2633">
        <v>0.93831745554134804</v>
      </c>
      <c r="D2633">
        <v>0.92592246361515496</v>
      </c>
      <c r="E2633">
        <v>0.82836669775241301</v>
      </c>
      <c r="F2633">
        <v>0.70146361420214898</v>
      </c>
      <c r="G2633">
        <v>0.50999192136304305</v>
      </c>
      <c r="H2633">
        <v>0.33054798653204798</v>
      </c>
      <c r="I2633">
        <v>9.8859998214449393E-2</v>
      </c>
      <c r="J2633">
        <v>6.4209073633868505E-2</v>
      </c>
      <c r="K2633">
        <v>7.0935661488170806E-2</v>
      </c>
      <c r="L2633">
        <v>756.28217007207695</v>
      </c>
      <c r="M2633">
        <v>13.3827285964101</v>
      </c>
      <c r="N2633">
        <v>56.511804534634997</v>
      </c>
      <c r="O2633">
        <v>55.294693805240797</v>
      </c>
      <c r="P2633">
        <v>-6.0515910986609002E-2</v>
      </c>
      <c r="Q2633">
        <v>0</v>
      </c>
      <c r="R2633">
        <v>0.987363055081249</v>
      </c>
      <c r="S2633" t="s">
        <v>6262</v>
      </c>
      <c r="T2633" t="s">
        <v>7256</v>
      </c>
      <c r="U2633" t="s">
        <v>7256</v>
      </c>
      <c r="V2633" t="s">
        <v>7256</v>
      </c>
      <c r="W2633">
        <v>16</v>
      </c>
      <c r="X2633" t="s">
        <v>9889</v>
      </c>
      <c r="Y2633">
        <v>0.56837264912324514</v>
      </c>
      <c r="Z2633" t="str">
        <f>HYPERLINK("Melting_Curves/meltCurve_sp_Q9NQX3_GEPH_HUMAN_.pdf", "Melting_Curves/meltCurve_sp_Q9NQX3_GEPH_HUMAN_.pdf")</f>
        <v>Melting_Curves/meltCurve_sp_Q9NQX3_GEPH_HUMAN_.pdf</v>
      </c>
      <c r="AA2633" t="s">
        <v>13484</v>
      </c>
      <c r="AB2633" t="s">
        <v>17057</v>
      </c>
    </row>
    <row r="2634" spans="1:28" x14ac:dyDescent="0.25">
      <c r="A2634" t="s">
        <v>2638</v>
      </c>
      <c r="B2634">
        <v>0.98018197421672304</v>
      </c>
      <c r="C2634">
        <v>0.84072120115598004</v>
      </c>
      <c r="D2634">
        <v>0.786773732670902</v>
      </c>
      <c r="E2634">
        <v>0.63137403289795402</v>
      </c>
      <c r="F2634">
        <v>0.32530937263218801</v>
      </c>
      <c r="G2634">
        <v>0.13611145919050099</v>
      </c>
      <c r="H2634">
        <v>9.6507701137409502E-2</v>
      </c>
      <c r="I2634">
        <v>0.10479368928442701</v>
      </c>
      <c r="J2634">
        <v>2.39207081370943E-2</v>
      </c>
      <c r="K2634">
        <v>3.1292973592636601E-2</v>
      </c>
      <c r="L2634">
        <v>669.84801016166898</v>
      </c>
      <c r="M2634">
        <v>13.210203160819001</v>
      </c>
      <c r="N2634">
        <v>50.706865978538097</v>
      </c>
      <c r="O2634">
        <v>49.587127621261899</v>
      </c>
      <c r="P2634">
        <v>-6.6612020801161007E-2</v>
      </c>
      <c r="Q2634">
        <v>0</v>
      </c>
      <c r="R2634">
        <v>0.98466164642408005</v>
      </c>
      <c r="S2634" t="s">
        <v>6263</v>
      </c>
      <c r="T2634" t="s">
        <v>7256</v>
      </c>
      <c r="U2634" t="s">
        <v>7256</v>
      </c>
      <c r="V2634" t="s">
        <v>7256</v>
      </c>
      <c r="W2634">
        <v>2</v>
      </c>
      <c r="X2634" t="s">
        <v>9890</v>
      </c>
      <c r="Y2634">
        <v>0.38558072561692291</v>
      </c>
      <c r="Z2634" t="str">
        <f>HYPERLINK("Melting_Curves/meltCurve_sp_Q9NR09_BIRC6_HUMAN_.pdf", "Melting_Curves/meltCurve_sp_Q9NR09_BIRC6_HUMAN_.pdf")</f>
        <v>Melting_Curves/meltCurve_sp_Q9NR09_BIRC6_HUMAN_.pdf</v>
      </c>
      <c r="AA2634" t="s">
        <v>13485</v>
      </c>
      <c r="AB2634" t="s">
        <v>17058</v>
      </c>
    </row>
    <row r="2635" spans="1:28" x14ac:dyDescent="0.25">
      <c r="A2635" t="s">
        <v>2639</v>
      </c>
      <c r="B2635">
        <v>0.98018197421672304</v>
      </c>
      <c r="C2635">
        <v>0.97979293985052496</v>
      </c>
      <c r="D2635">
        <v>0.94107913464799997</v>
      </c>
      <c r="E2635">
        <v>0.62704515550101503</v>
      </c>
      <c r="F2635">
        <v>0.228730705541693</v>
      </c>
      <c r="G2635">
        <v>0.13645829343426999</v>
      </c>
      <c r="H2635">
        <v>8.7810049898525394E-2</v>
      </c>
      <c r="I2635">
        <v>7.91520120597589E-2</v>
      </c>
      <c r="J2635">
        <v>7.8544449934432395E-2</v>
      </c>
      <c r="K2635">
        <v>5.0888203335967497E-2</v>
      </c>
      <c r="L2635">
        <v>1579.0126085730899</v>
      </c>
      <c r="M2635">
        <v>31.253500583258202</v>
      </c>
      <c r="N2635">
        <v>50.795871842272</v>
      </c>
      <c r="O2635">
        <v>50.317255152753198</v>
      </c>
      <c r="P2635">
        <v>-0.143272917230167</v>
      </c>
      <c r="Q2635">
        <v>7.73437610520607E-2</v>
      </c>
      <c r="R2635">
        <v>0.99769951274256896</v>
      </c>
      <c r="S2635" t="s">
        <v>6264</v>
      </c>
      <c r="T2635" t="s">
        <v>7256</v>
      </c>
      <c r="U2635" t="s">
        <v>7256</v>
      </c>
      <c r="V2635" t="s">
        <v>7256</v>
      </c>
      <c r="W2635">
        <v>14</v>
      </c>
      <c r="X2635" t="s">
        <v>9891</v>
      </c>
      <c r="Y2635">
        <v>0.4062732976265116</v>
      </c>
      <c r="Z2635" t="str">
        <f>HYPERLINK("Melting_Curves/meltCurve_sp_Q9NR19_ACSA_HUMAN_.pdf", "Melting_Curves/meltCurve_sp_Q9NR19_ACSA_HUMAN_.pdf")</f>
        <v>Melting_Curves/meltCurve_sp_Q9NR19_ACSA_HUMAN_.pdf</v>
      </c>
      <c r="AA2635" t="s">
        <v>13486</v>
      </c>
      <c r="AB2635" t="s">
        <v>17059</v>
      </c>
    </row>
    <row r="2636" spans="1:28" x14ac:dyDescent="0.25">
      <c r="A2636" t="s">
        <v>2640</v>
      </c>
      <c r="B2636">
        <v>0.98018197421672304</v>
      </c>
      <c r="C2636">
        <v>0.90810103498119099</v>
      </c>
      <c r="D2636">
        <v>0.91442984788537296</v>
      </c>
      <c r="E2636">
        <v>0.765335758188184</v>
      </c>
      <c r="F2636">
        <v>0.68206848127513098</v>
      </c>
      <c r="G2636">
        <v>0.54366270699745101</v>
      </c>
      <c r="H2636">
        <v>0.34852498498071299</v>
      </c>
      <c r="I2636">
        <v>0.24061786423952</v>
      </c>
      <c r="J2636">
        <v>0.159561606082743</v>
      </c>
      <c r="K2636">
        <v>6.6394455505112596E-2</v>
      </c>
      <c r="L2636">
        <v>579.57783263013698</v>
      </c>
      <c r="M2636">
        <v>10.1970828996379</v>
      </c>
      <c r="N2636">
        <v>56.837611602637899</v>
      </c>
      <c r="O2636">
        <v>54.781725547629698</v>
      </c>
      <c r="P2636">
        <v>-4.6556062313520302E-2</v>
      </c>
      <c r="Q2636">
        <v>0</v>
      </c>
      <c r="R2636">
        <v>0.98884283208768597</v>
      </c>
      <c r="S2636" t="s">
        <v>6265</v>
      </c>
      <c r="T2636" t="s">
        <v>7256</v>
      </c>
      <c r="U2636" t="s">
        <v>7256</v>
      </c>
      <c r="V2636" t="s">
        <v>7256</v>
      </c>
      <c r="W2636">
        <v>6</v>
      </c>
      <c r="X2636" t="s">
        <v>9892</v>
      </c>
      <c r="Y2636">
        <v>0.57812523291745943</v>
      </c>
      <c r="Z2636" t="str">
        <f>HYPERLINK("Melting_Curves/meltCurve_sp_Q9NR28_2_DBLOH_HUMAN_.pdf", "Melting_Curves/meltCurve_sp_Q9NR28_2_DBLOH_HUMAN_.pdf")</f>
        <v>Melting_Curves/meltCurve_sp_Q9NR28_2_DBLOH_HUMAN_.pdf</v>
      </c>
      <c r="AA2636" t="s">
        <v>13487</v>
      </c>
      <c r="AB2636" t="s">
        <v>17060</v>
      </c>
    </row>
    <row r="2637" spans="1:28" x14ac:dyDescent="0.25">
      <c r="A2637" t="s">
        <v>2641</v>
      </c>
      <c r="B2637">
        <v>0.98018197421672304</v>
      </c>
      <c r="C2637">
        <v>0.95463524620795903</v>
      </c>
      <c r="D2637">
        <v>0.85912287717744396</v>
      </c>
      <c r="E2637">
        <v>0.57977095920939903</v>
      </c>
      <c r="F2637">
        <v>0.32946863783207098</v>
      </c>
      <c r="G2637">
        <v>0.203808749657267</v>
      </c>
      <c r="H2637">
        <v>0.11392259611361399</v>
      </c>
      <c r="I2637">
        <v>5.6041375306617902E-2</v>
      </c>
      <c r="J2637">
        <v>6.8145164676801803E-2</v>
      </c>
      <c r="K2637">
        <v>5.3066897365082299E-2</v>
      </c>
      <c r="L2637">
        <v>845.70555996448195</v>
      </c>
      <c r="M2637">
        <v>16.702942955494599</v>
      </c>
      <c r="N2637">
        <v>50.945798337437303</v>
      </c>
      <c r="O2637">
        <v>49.9230732930382</v>
      </c>
      <c r="P2637">
        <v>-7.9561540422649304E-2</v>
      </c>
      <c r="Q2637">
        <v>4.88637815811446E-2</v>
      </c>
      <c r="R2637">
        <v>0.99837517808757703</v>
      </c>
      <c r="S2637" t="s">
        <v>6266</v>
      </c>
      <c r="T2637" t="s">
        <v>7256</v>
      </c>
      <c r="U2637" t="s">
        <v>7256</v>
      </c>
      <c r="V2637" t="s">
        <v>7256</v>
      </c>
      <c r="W2637">
        <v>4</v>
      </c>
      <c r="X2637" t="s">
        <v>9893</v>
      </c>
      <c r="Y2637">
        <v>0.4043824894556074</v>
      </c>
      <c r="Z2637" t="str">
        <f>HYPERLINK("Melting_Curves/meltCurve_sp_Q9NR31_SAR1A_HUMAN_.pdf", "Melting_Curves/meltCurve_sp_Q9NR31_SAR1A_HUMAN_.pdf")</f>
        <v>Melting_Curves/meltCurve_sp_Q9NR31_SAR1A_HUMAN_.pdf</v>
      </c>
      <c r="AA2637" t="s">
        <v>13488</v>
      </c>
      <c r="AB2637" t="s">
        <v>17061</v>
      </c>
    </row>
    <row r="2638" spans="1:28" x14ac:dyDescent="0.25">
      <c r="A2638" t="s">
        <v>2642</v>
      </c>
      <c r="B2638">
        <v>0.98018197421672304</v>
      </c>
      <c r="C2638">
        <v>0.863674148957156</v>
      </c>
      <c r="D2638">
        <v>0.862717718959503</v>
      </c>
      <c r="E2638">
        <v>0.86822403015448801</v>
      </c>
      <c r="F2638">
        <v>0.55785517553327102</v>
      </c>
      <c r="G2638">
        <v>0.35635120686766403</v>
      </c>
      <c r="H2638">
        <v>0.30115406504624498</v>
      </c>
      <c r="I2638">
        <v>0.22059882051924001</v>
      </c>
      <c r="J2638">
        <v>8.2841297765444397E-2</v>
      </c>
      <c r="K2638">
        <v>1.16599799880875E-2</v>
      </c>
      <c r="L2638">
        <v>622.73941525744999</v>
      </c>
      <c r="M2638">
        <v>11.323338928089001</v>
      </c>
      <c r="N2638">
        <v>54.996094269001802</v>
      </c>
      <c r="O2638">
        <v>53.364573809465</v>
      </c>
      <c r="P2638">
        <v>-5.3063084261834897E-2</v>
      </c>
      <c r="Q2638">
        <v>0</v>
      </c>
      <c r="R2638">
        <v>0.96676000572714804</v>
      </c>
      <c r="S2638" t="s">
        <v>6267</v>
      </c>
      <c r="T2638" t="s">
        <v>7256</v>
      </c>
      <c r="U2638" t="s">
        <v>7256</v>
      </c>
      <c r="V2638" t="s">
        <v>7256</v>
      </c>
      <c r="W2638">
        <v>1</v>
      </c>
      <c r="X2638" t="s">
        <v>9894</v>
      </c>
      <c r="Y2638">
        <v>0.52422351483268614</v>
      </c>
      <c r="Z2638" t="str">
        <f>HYPERLINK("Melting_Curves/meltCurve_sp_Q9NR33_DPOE4_HUMAN_.pdf", "Melting_Curves/meltCurve_sp_Q9NR33_DPOE4_HUMAN_.pdf")</f>
        <v>Melting_Curves/meltCurve_sp_Q9NR33_DPOE4_HUMAN_.pdf</v>
      </c>
      <c r="AA2638" t="s">
        <v>13489</v>
      </c>
      <c r="AB2638" t="s">
        <v>17062</v>
      </c>
    </row>
    <row r="2639" spans="1:28" x14ac:dyDescent="0.25">
      <c r="A2639" t="s">
        <v>2643</v>
      </c>
      <c r="B2639">
        <v>0.98018197421672304</v>
      </c>
      <c r="C2639">
        <v>1.00300361004352</v>
      </c>
      <c r="D2639">
        <v>0.98280474747575397</v>
      </c>
      <c r="E2639">
        <v>0.85971935074733097</v>
      </c>
      <c r="F2639">
        <v>0.686910272196536</v>
      </c>
      <c r="G2639">
        <v>0.197022786087721</v>
      </c>
      <c r="H2639">
        <v>9.3556772842646796E-2</v>
      </c>
      <c r="I2639">
        <v>4.8589487052945503E-2</v>
      </c>
      <c r="J2639">
        <v>5.4017285475923403E-2</v>
      </c>
      <c r="K2639">
        <v>3.0966703080836398E-2</v>
      </c>
      <c r="L2639">
        <v>1480.1818597904901</v>
      </c>
      <c r="M2639">
        <v>27.366402079203699</v>
      </c>
      <c r="N2639">
        <v>54.240393723256297</v>
      </c>
      <c r="O2639">
        <v>53.801231748559601</v>
      </c>
      <c r="P2639">
        <v>-0.122446698568257</v>
      </c>
      <c r="Q2639">
        <v>3.7108354914958799E-2</v>
      </c>
      <c r="R2639">
        <v>0.99689269484696197</v>
      </c>
      <c r="S2639" t="s">
        <v>6268</v>
      </c>
      <c r="T2639" t="s">
        <v>7256</v>
      </c>
      <c r="U2639" t="s">
        <v>7256</v>
      </c>
      <c r="V2639" t="s">
        <v>7256</v>
      </c>
      <c r="W2639">
        <v>17</v>
      </c>
      <c r="X2639" t="s">
        <v>9895</v>
      </c>
      <c r="Y2639">
        <v>0.49680883771164391</v>
      </c>
      <c r="Z2639" t="str">
        <f>HYPERLINK("Melting_Curves/meltCurve_sp_Q9NR45_SIAS_HUMAN_.pdf", "Melting_Curves/meltCurve_sp_Q9NR45_SIAS_HUMAN_.pdf")</f>
        <v>Melting_Curves/meltCurve_sp_Q9NR45_SIAS_HUMAN_.pdf</v>
      </c>
      <c r="AA2639" t="s">
        <v>13490</v>
      </c>
      <c r="AB2639" t="s">
        <v>17063</v>
      </c>
    </row>
    <row r="2640" spans="1:28" x14ac:dyDescent="0.25">
      <c r="A2640" t="s">
        <v>2644</v>
      </c>
      <c r="B2640">
        <v>0.98018197421672304</v>
      </c>
      <c r="C2640">
        <v>1.0113432123939501</v>
      </c>
      <c r="D2640">
        <v>0.91508432503278303</v>
      </c>
      <c r="E2640">
        <v>0.50589021757186903</v>
      </c>
      <c r="F2640">
        <v>8.3734407313337506E-2</v>
      </c>
      <c r="G2640">
        <v>7.2984294337343297E-2</v>
      </c>
      <c r="H2640">
        <v>4.0962613337743398E-2</v>
      </c>
      <c r="I2640">
        <v>3.9420357680155498E-2</v>
      </c>
      <c r="J2640">
        <v>8.0101969539615403E-2</v>
      </c>
      <c r="K2640">
        <v>5.8974534983049498E-2</v>
      </c>
      <c r="L2640">
        <v>2091.81514757175</v>
      </c>
      <c r="M2640">
        <v>41.9920883118753</v>
      </c>
      <c r="N2640">
        <v>49.944554940996497</v>
      </c>
      <c r="O2640">
        <v>49.701936139190899</v>
      </c>
      <c r="P2640">
        <v>-0.200281639188648</v>
      </c>
      <c r="Q2640">
        <v>5.1786406756881502E-2</v>
      </c>
      <c r="R2640">
        <v>0.99584996774364298</v>
      </c>
      <c r="S2640" t="s">
        <v>6269</v>
      </c>
      <c r="T2640" t="s">
        <v>7256</v>
      </c>
      <c r="U2640" t="s">
        <v>7256</v>
      </c>
      <c r="V2640" t="s">
        <v>7256</v>
      </c>
      <c r="W2640">
        <v>2</v>
      </c>
      <c r="X2640" t="s">
        <v>9896</v>
      </c>
      <c r="Y2640">
        <v>0.36495600873963918</v>
      </c>
      <c r="Z2640" t="str">
        <f>HYPERLINK("Melting_Curves/meltCurve_sp_Q9NR46_SHLB2_HUMAN_.pdf", "Melting_Curves/meltCurve_sp_Q9NR46_SHLB2_HUMAN_.pdf")</f>
        <v>Melting_Curves/meltCurve_sp_Q9NR46_SHLB2_HUMAN_.pdf</v>
      </c>
      <c r="AA2640" t="s">
        <v>13491</v>
      </c>
      <c r="AB2640" t="s">
        <v>17064</v>
      </c>
    </row>
    <row r="2641" spans="1:28" x14ac:dyDescent="0.25">
      <c r="A2641" t="s">
        <v>2645</v>
      </c>
      <c r="B2641">
        <v>0.98018197421672304</v>
      </c>
      <c r="C2641">
        <v>0.91713998260337304</v>
      </c>
      <c r="D2641">
        <v>0.81099253915524105</v>
      </c>
      <c r="E2641">
        <v>0.45660353370892498</v>
      </c>
      <c r="F2641">
        <v>0.213058728706049</v>
      </c>
      <c r="G2641">
        <v>0.13337303255798799</v>
      </c>
      <c r="H2641">
        <v>8.9306052400147606E-2</v>
      </c>
      <c r="I2641">
        <v>5.6820368699335003E-2</v>
      </c>
      <c r="J2641">
        <v>6.5996035355333396E-2</v>
      </c>
      <c r="K2641">
        <v>5.4161857697393102E-2</v>
      </c>
      <c r="L2641">
        <v>950.07544372924394</v>
      </c>
      <c r="M2641">
        <v>19.3531938937695</v>
      </c>
      <c r="N2641">
        <v>49.399723063973497</v>
      </c>
      <c r="O2641">
        <v>48.576274322843901</v>
      </c>
      <c r="P2641">
        <v>-9.3939237096720696E-2</v>
      </c>
      <c r="Q2641">
        <v>5.6889778103368302E-2</v>
      </c>
      <c r="R2641">
        <v>0.99819315570674205</v>
      </c>
      <c r="S2641" t="s">
        <v>6270</v>
      </c>
      <c r="T2641" t="s">
        <v>7256</v>
      </c>
      <c r="U2641" t="s">
        <v>7256</v>
      </c>
      <c r="V2641" t="s">
        <v>7256</v>
      </c>
      <c r="W2641">
        <v>8</v>
      </c>
      <c r="X2641" t="s">
        <v>9897</v>
      </c>
      <c r="Y2641">
        <v>0.3568026295313213</v>
      </c>
      <c r="Z2641" t="str">
        <f>HYPERLINK("Melting_Curves/meltCurve_sp_Q9NR50_EI2BG_HUMAN_.pdf", "Melting_Curves/meltCurve_sp_Q9NR50_EI2BG_HUMAN_.pdf")</f>
        <v>Melting_Curves/meltCurve_sp_Q9NR50_EI2BG_HUMAN_.pdf</v>
      </c>
      <c r="AA2641" t="s">
        <v>13492</v>
      </c>
      <c r="AB2641" t="s">
        <v>17065</v>
      </c>
    </row>
    <row r="2642" spans="1:28" x14ac:dyDescent="0.25">
      <c r="A2642" t="s">
        <v>2646</v>
      </c>
      <c r="B2642">
        <v>0.98018197421672304</v>
      </c>
      <c r="C2642">
        <v>0.94423497111490595</v>
      </c>
      <c r="D2642">
        <v>0.85838037217372998</v>
      </c>
      <c r="E2642">
        <v>0.71514258463106795</v>
      </c>
      <c r="F2642">
        <v>0.55719757165142103</v>
      </c>
      <c r="G2642">
        <v>0.36093783436954502</v>
      </c>
      <c r="H2642">
        <v>0.172637311675954</v>
      </c>
      <c r="I2642">
        <v>8.5458661614904396E-2</v>
      </c>
      <c r="J2642">
        <v>7.9869748596927206E-2</v>
      </c>
      <c r="K2642">
        <v>6.48360180275981E-2</v>
      </c>
      <c r="L2642">
        <v>655.59876501024303</v>
      </c>
      <c r="M2642">
        <v>12.1971677525811</v>
      </c>
      <c r="N2642">
        <v>53.750081313788698</v>
      </c>
      <c r="O2642">
        <v>52.366497227534197</v>
      </c>
      <c r="P2642">
        <v>-5.8243003125245801E-2</v>
      </c>
      <c r="Q2642">
        <v>0</v>
      </c>
      <c r="R2642">
        <v>0.99696758374548999</v>
      </c>
      <c r="S2642" t="s">
        <v>6271</v>
      </c>
      <c r="T2642" t="s">
        <v>7256</v>
      </c>
      <c r="U2642" t="s">
        <v>7256</v>
      </c>
      <c r="V2642" t="s">
        <v>7256</v>
      </c>
      <c r="W2642">
        <v>8</v>
      </c>
      <c r="X2642" t="s">
        <v>9898</v>
      </c>
      <c r="Y2642">
        <v>0.48464154300948309</v>
      </c>
      <c r="Z2642" t="str">
        <f>HYPERLINK("Melting_Curves/meltCurve_sp_Q9NRF8_PYRG2_HUMAN_.pdf", "Melting_Curves/meltCurve_sp_Q9NRF8_PYRG2_HUMAN_.pdf")</f>
        <v>Melting_Curves/meltCurve_sp_Q9NRF8_PYRG2_HUMAN_.pdf</v>
      </c>
      <c r="AA2642" t="s">
        <v>13493</v>
      </c>
      <c r="AB2642" t="s">
        <v>17066</v>
      </c>
    </row>
    <row r="2643" spans="1:28" x14ac:dyDescent="0.25">
      <c r="A2643" t="s">
        <v>2647</v>
      </c>
      <c r="B2643">
        <v>0.98018197421672304</v>
      </c>
      <c r="C2643">
        <v>0.93344197807177298</v>
      </c>
      <c r="D2643">
        <v>0.89281779672287798</v>
      </c>
      <c r="E2643">
        <v>0.78955720894001802</v>
      </c>
      <c r="F2643">
        <v>0.64809791383173698</v>
      </c>
      <c r="G2643">
        <v>0.36220714732380499</v>
      </c>
      <c r="H2643">
        <v>0.37193453490710499</v>
      </c>
      <c r="I2643">
        <v>0.383147558727986</v>
      </c>
      <c r="J2643">
        <v>0.35866987569581199</v>
      </c>
      <c r="K2643">
        <v>0.43362975469918802</v>
      </c>
      <c r="L2643">
        <v>1025.4198415741701</v>
      </c>
      <c r="M2643">
        <v>19.899672573413302</v>
      </c>
      <c r="N2643">
        <v>55.139692193495897</v>
      </c>
      <c r="O2643">
        <v>51.017574685033701</v>
      </c>
      <c r="P2643">
        <v>-6.20081804260771E-2</v>
      </c>
      <c r="Q2643">
        <v>0.364129841153425</v>
      </c>
      <c r="R2643">
        <v>0.965879072764385</v>
      </c>
      <c r="S2643" t="s">
        <v>6272</v>
      </c>
      <c r="T2643" t="s">
        <v>7256</v>
      </c>
      <c r="U2643" t="s">
        <v>7256</v>
      </c>
      <c r="V2643" t="s">
        <v>7256</v>
      </c>
      <c r="W2643">
        <v>1</v>
      </c>
      <c r="X2643" t="s">
        <v>9899</v>
      </c>
      <c r="Y2643">
        <v>0.61740077147578742</v>
      </c>
      <c r="Z2643" t="str">
        <f>HYPERLINK("Melting_Curves/meltCurve_sp_Q9NRF9_DPOE3_HUMAN_.pdf", "Melting_Curves/meltCurve_sp_Q9NRF9_DPOE3_HUMAN_.pdf")</f>
        <v>Melting_Curves/meltCurve_sp_Q9NRF9_DPOE3_HUMAN_.pdf</v>
      </c>
      <c r="AA2643" t="s">
        <v>13494</v>
      </c>
      <c r="AB2643" t="s">
        <v>17067</v>
      </c>
    </row>
    <row r="2644" spans="1:28" x14ac:dyDescent="0.25">
      <c r="A2644" t="s">
        <v>2648</v>
      </c>
      <c r="B2644">
        <v>0.98018197421672304</v>
      </c>
      <c r="C2644">
        <v>0.72578704000709704</v>
      </c>
      <c r="D2644">
        <v>0.53080282400822498</v>
      </c>
      <c r="E2644">
        <v>0.31231533718541399</v>
      </c>
      <c r="F2644">
        <v>0.16797930953463799</v>
      </c>
      <c r="G2644">
        <v>0.135269868041899</v>
      </c>
      <c r="H2644">
        <v>6.8337973403010899E-2</v>
      </c>
      <c r="I2644">
        <v>6.0855777752607997E-2</v>
      </c>
      <c r="J2644">
        <v>9.4869605021438999E-2</v>
      </c>
      <c r="K2644">
        <v>3.87151784606969E-2</v>
      </c>
      <c r="L2644">
        <v>679.03657622506501</v>
      </c>
      <c r="M2644">
        <v>14.713287428945801</v>
      </c>
      <c r="N2644">
        <v>46.5368393449954</v>
      </c>
      <c r="O2644">
        <v>45.323834127762403</v>
      </c>
      <c r="P2644">
        <v>-7.6507502936972199E-2</v>
      </c>
      <c r="Q2644">
        <v>5.7386095734836703E-2</v>
      </c>
      <c r="R2644">
        <v>0.98994584015210796</v>
      </c>
      <c r="S2644" t="s">
        <v>6273</v>
      </c>
      <c r="T2644" t="s">
        <v>7256</v>
      </c>
      <c r="U2644" t="s">
        <v>7256</v>
      </c>
      <c r="V2644" t="s">
        <v>7256</v>
      </c>
      <c r="W2644">
        <v>1</v>
      </c>
      <c r="X2644" t="s">
        <v>9900</v>
      </c>
      <c r="Y2644">
        <v>0.27897366149314751</v>
      </c>
      <c r="Z2644" t="str">
        <f>HYPERLINK("Melting_Curves/meltCurve_sp_Q9NRG7_2_D39U1_HUMAN_.pdf", "Melting_Curves/meltCurve_sp_Q9NRG7_2_D39U1_HUMAN_.pdf")</f>
        <v>Melting_Curves/meltCurve_sp_Q9NRG7_2_D39U1_HUMAN_.pdf</v>
      </c>
      <c r="AA2644" t="s">
        <v>13495</v>
      </c>
      <c r="AB2644" t="s">
        <v>17068</v>
      </c>
    </row>
    <row r="2645" spans="1:28" x14ac:dyDescent="0.25">
      <c r="A2645" t="s">
        <v>2649</v>
      </c>
      <c r="B2645">
        <v>0.98018197421672304</v>
      </c>
      <c r="C2645">
        <v>0.92381217223021905</v>
      </c>
      <c r="D2645">
        <v>0.97210547020987703</v>
      </c>
      <c r="E2645">
        <v>0.85948432950203102</v>
      </c>
      <c r="F2645">
        <v>0.71816186024960904</v>
      </c>
      <c r="G2645">
        <v>0.38472641389507001</v>
      </c>
      <c r="H2645">
        <v>0.26895893622834799</v>
      </c>
      <c r="I2645">
        <v>0.14061316658369699</v>
      </c>
      <c r="J2645">
        <v>0.12808664317243501</v>
      </c>
      <c r="K2645">
        <v>9.50809058784296E-2</v>
      </c>
      <c r="L2645">
        <v>918.80742762712202</v>
      </c>
      <c r="M2645">
        <v>16.630270661931501</v>
      </c>
      <c r="N2645">
        <v>55.777999248853099</v>
      </c>
      <c r="O2645">
        <v>54.468765336536201</v>
      </c>
      <c r="P2645">
        <v>-7.0766389054478004E-2</v>
      </c>
      <c r="Q2645">
        <v>7.2943977739720098E-2</v>
      </c>
      <c r="R2645">
        <v>0.99325235669106704</v>
      </c>
      <c r="S2645" t="s">
        <v>6274</v>
      </c>
      <c r="T2645" t="s">
        <v>7256</v>
      </c>
      <c r="U2645" t="s">
        <v>7256</v>
      </c>
      <c r="V2645" t="s">
        <v>7256</v>
      </c>
      <c r="W2645">
        <v>3</v>
      </c>
      <c r="X2645" t="s">
        <v>9901</v>
      </c>
      <c r="Y2645">
        <v>0.55983533608448122</v>
      </c>
      <c r="Z2645" t="str">
        <f>HYPERLINK("Melting_Curves/meltCurve_sp_Q9NRN7_ADPPT_HUMAN_.pdf", "Melting_Curves/meltCurve_sp_Q9NRN7_ADPPT_HUMAN_.pdf")</f>
        <v>Melting_Curves/meltCurve_sp_Q9NRN7_ADPPT_HUMAN_.pdf</v>
      </c>
      <c r="AA2645" t="s">
        <v>13496</v>
      </c>
      <c r="AB2645" t="s">
        <v>17069</v>
      </c>
    </row>
    <row r="2646" spans="1:28" x14ac:dyDescent="0.25">
      <c r="A2646" t="s">
        <v>2650</v>
      </c>
      <c r="B2646">
        <v>0.98018197421672304</v>
      </c>
      <c r="C2646">
        <v>0.86327437964291898</v>
      </c>
      <c r="D2646">
        <v>0.81995919780305204</v>
      </c>
      <c r="E2646">
        <v>0.75739848657293096</v>
      </c>
      <c r="F2646">
        <v>0.60843829611438205</v>
      </c>
      <c r="G2646">
        <v>0.37836375615689299</v>
      </c>
      <c r="H2646">
        <v>0.41731259745079402</v>
      </c>
      <c r="I2646">
        <v>0.43379868213885098</v>
      </c>
      <c r="J2646">
        <v>0.40924053020036799</v>
      </c>
      <c r="K2646">
        <v>0.49005044538118903</v>
      </c>
      <c r="L2646">
        <v>643.62156738342401</v>
      </c>
      <c r="M2646">
        <v>12.9941265725554</v>
      </c>
      <c r="N2646">
        <v>56.455904321120897</v>
      </c>
      <c r="O2646">
        <v>48.402641596936697</v>
      </c>
      <c r="P2646">
        <v>-4.0382479850923997E-2</v>
      </c>
      <c r="Q2646">
        <v>0.39841348322159298</v>
      </c>
      <c r="R2646">
        <v>0.92951835926243398</v>
      </c>
      <c r="S2646" t="s">
        <v>6275</v>
      </c>
      <c r="T2646" t="s">
        <v>7256</v>
      </c>
      <c r="U2646" t="s">
        <v>7256</v>
      </c>
      <c r="V2646" t="s">
        <v>7256</v>
      </c>
      <c r="W2646">
        <v>7</v>
      </c>
      <c r="X2646" t="s">
        <v>9902</v>
      </c>
      <c r="Y2646">
        <v>0.60831538636141314</v>
      </c>
      <c r="Z2646" t="str">
        <f>HYPERLINK("Melting_Curves/meltCurve_sp_Q9NRR5_UBQL4_HUMAN_.pdf", "Melting_Curves/meltCurve_sp_Q9NRR5_UBQL4_HUMAN_.pdf")</f>
        <v>Melting_Curves/meltCurve_sp_Q9NRR5_UBQL4_HUMAN_.pdf</v>
      </c>
      <c r="AA2646" t="s">
        <v>13497</v>
      </c>
      <c r="AB2646" t="s">
        <v>17070</v>
      </c>
    </row>
    <row r="2647" spans="1:28" x14ac:dyDescent="0.25">
      <c r="A2647" t="s">
        <v>2651</v>
      </c>
      <c r="B2647">
        <v>0.98018197421672304</v>
      </c>
      <c r="C2647">
        <v>1.1063283968711699</v>
      </c>
      <c r="D2647">
        <v>0.99311632878354295</v>
      </c>
      <c r="E2647">
        <v>0.80422418346061197</v>
      </c>
      <c r="F2647">
        <v>0.61256851769221199</v>
      </c>
      <c r="G2647">
        <v>0.26783512951258698</v>
      </c>
      <c r="H2647">
        <v>0.105022749453673</v>
      </c>
      <c r="I2647">
        <v>8.3364452254630003E-2</v>
      </c>
      <c r="J2647">
        <v>6.9710953821242996E-2</v>
      </c>
      <c r="K2647">
        <v>7.4705340356935906E-2</v>
      </c>
      <c r="L2647">
        <v>1155.12010225519</v>
      </c>
      <c r="M2647">
        <v>21.5177643007491</v>
      </c>
      <c r="N2647">
        <v>53.981289840746797</v>
      </c>
      <c r="O2647">
        <v>53.224967673967797</v>
      </c>
      <c r="P2647">
        <v>-9.5392020926999499E-2</v>
      </c>
      <c r="Q2647">
        <v>5.6200555820791497E-2</v>
      </c>
      <c r="R2647">
        <v>0.991144523113068</v>
      </c>
      <c r="S2647" t="s">
        <v>6276</v>
      </c>
      <c r="T2647" t="s">
        <v>7256</v>
      </c>
      <c r="U2647" t="s">
        <v>7256</v>
      </c>
      <c r="V2647" t="s">
        <v>7256</v>
      </c>
      <c r="W2647">
        <v>9</v>
      </c>
      <c r="X2647" t="s">
        <v>9903</v>
      </c>
      <c r="Y2647">
        <v>0.49803722225416069</v>
      </c>
      <c r="Z2647" t="str">
        <f>HYPERLINK("Melting_Curves/meltCurve_sp_Q9NRV9_HEBP1_HUMAN_.pdf", "Melting_Curves/meltCurve_sp_Q9NRV9_HEBP1_HUMAN_.pdf")</f>
        <v>Melting_Curves/meltCurve_sp_Q9NRV9_HEBP1_HUMAN_.pdf</v>
      </c>
      <c r="AA2647" t="s">
        <v>13498</v>
      </c>
      <c r="AB2647" t="s">
        <v>17071</v>
      </c>
    </row>
    <row r="2648" spans="1:28" x14ac:dyDescent="0.25">
      <c r="A2648" t="s">
        <v>2652</v>
      </c>
      <c r="B2648">
        <v>0.98018197421672304</v>
      </c>
      <c r="C2648">
        <v>0.96199199836338001</v>
      </c>
      <c r="D2648">
        <v>0.87752415828367902</v>
      </c>
      <c r="E2648">
        <v>0.85306494910847397</v>
      </c>
      <c r="F2648">
        <v>0.90254626202907295</v>
      </c>
      <c r="G2648">
        <v>0.77245492602783195</v>
      </c>
      <c r="H2648">
        <v>0.45073400040328598</v>
      </c>
      <c r="I2648">
        <v>0.39207754811849399</v>
      </c>
      <c r="J2648">
        <v>0.467134811893887</v>
      </c>
      <c r="K2648">
        <v>0.482508742023394</v>
      </c>
      <c r="S2648" t="s">
        <v>6277</v>
      </c>
      <c r="T2648" t="s">
        <v>7256</v>
      </c>
      <c r="U2648" t="s">
        <v>7257</v>
      </c>
      <c r="V2648" t="s">
        <v>7256</v>
      </c>
      <c r="W2648">
        <v>2</v>
      </c>
      <c r="X2648" t="s">
        <v>9904</v>
      </c>
      <c r="Z2648" t="str">
        <f>HYPERLINK("Melting_Curves/meltCurve_sp_Q9NRX4_PHP14_HUMAN_.pdf", "Melting_Curves/meltCurve_sp_Q9NRX4_PHP14_HUMAN_.pdf")</f>
        <v>Melting_Curves/meltCurve_sp_Q9NRX4_PHP14_HUMAN_.pdf</v>
      </c>
      <c r="AA2648" t="s">
        <v>13499</v>
      </c>
      <c r="AB2648" t="s">
        <v>17072</v>
      </c>
    </row>
    <row r="2649" spans="1:28" x14ac:dyDescent="0.25">
      <c r="A2649" t="s">
        <v>2653</v>
      </c>
      <c r="B2649">
        <v>0.98018197421672304</v>
      </c>
      <c r="C2649">
        <v>0.79028864698061496</v>
      </c>
      <c r="D2649">
        <v>0.65624183155270899</v>
      </c>
      <c r="E2649">
        <v>0.496928069990556</v>
      </c>
      <c r="F2649">
        <v>0.39418332153847402</v>
      </c>
      <c r="G2649">
        <v>0.253683841980064</v>
      </c>
      <c r="H2649">
        <v>0.24697170363683099</v>
      </c>
      <c r="I2649">
        <v>0.27270922484080801</v>
      </c>
      <c r="J2649">
        <v>0.37764873492443501</v>
      </c>
      <c r="K2649">
        <v>0.50857109446118598</v>
      </c>
      <c r="L2649">
        <v>789.93832300624797</v>
      </c>
      <c r="M2649">
        <v>17.305246370550101</v>
      </c>
      <c r="N2649">
        <v>48.733423682763302</v>
      </c>
      <c r="O2649">
        <v>45.050860837871497</v>
      </c>
      <c r="P2649">
        <v>-6.4068745706765795E-2</v>
      </c>
      <c r="Q2649">
        <v>0.33287610290217001</v>
      </c>
      <c r="R2649">
        <v>0.88883425620426504</v>
      </c>
      <c r="S2649" t="s">
        <v>6278</v>
      </c>
      <c r="T2649" t="s">
        <v>7256</v>
      </c>
      <c r="U2649" t="s">
        <v>7256</v>
      </c>
      <c r="V2649" t="s">
        <v>7256</v>
      </c>
      <c r="W2649">
        <v>2</v>
      </c>
      <c r="X2649" t="s">
        <v>9905</v>
      </c>
      <c r="Y2649">
        <v>0.47318663738551031</v>
      </c>
      <c r="Z2649" t="str">
        <f>HYPERLINK("Melting_Curves/meltCurve_sp_Q9NRY2_SOSSC_HUMAN_.pdf", "Melting_Curves/meltCurve_sp_Q9NRY2_SOSSC_HUMAN_.pdf")</f>
        <v>Melting_Curves/meltCurve_sp_Q9NRY2_SOSSC_HUMAN_.pdf</v>
      </c>
      <c r="AA2649" t="s">
        <v>13500</v>
      </c>
      <c r="AB2649" t="s">
        <v>17073</v>
      </c>
    </row>
    <row r="2650" spans="1:28" x14ac:dyDescent="0.25">
      <c r="A2650" t="s">
        <v>2654</v>
      </c>
      <c r="B2650">
        <v>0.98018197421672304</v>
      </c>
      <c r="C2650">
        <v>0.90295612857268304</v>
      </c>
      <c r="D2650">
        <v>0.82102744930756699</v>
      </c>
      <c r="E2650">
        <v>0.38978049369643297</v>
      </c>
      <c r="F2650">
        <v>0.194856063311689</v>
      </c>
      <c r="G2650">
        <v>0.11372302071703801</v>
      </c>
      <c r="H2650">
        <v>7.4930524903747894E-2</v>
      </c>
      <c r="I2650">
        <v>6.6099114369009906E-2</v>
      </c>
      <c r="J2650">
        <v>6.5050746507207602E-2</v>
      </c>
      <c r="K2650">
        <v>7.5927643413047405E-2</v>
      </c>
      <c r="L2650">
        <v>1061.11150999147</v>
      </c>
      <c r="M2650">
        <v>21.8138184790933</v>
      </c>
      <c r="N2650">
        <v>48.964439434134597</v>
      </c>
      <c r="O2650">
        <v>48.240744700770499</v>
      </c>
      <c r="P2650">
        <v>-0.105529648301292</v>
      </c>
      <c r="Q2650">
        <v>6.6516426994097697E-2</v>
      </c>
      <c r="R2650">
        <v>0.99718332735569604</v>
      </c>
      <c r="S2650" t="s">
        <v>6279</v>
      </c>
      <c r="T2650" t="s">
        <v>7256</v>
      </c>
      <c r="U2650" t="s">
        <v>7256</v>
      </c>
      <c r="V2650" t="s">
        <v>7256</v>
      </c>
      <c r="W2650">
        <v>8</v>
      </c>
      <c r="X2650" t="s">
        <v>9906</v>
      </c>
      <c r="Y2650">
        <v>0.34645022551697641</v>
      </c>
      <c r="Z2650" t="str">
        <f>HYPERLINK("Melting_Curves/meltCurve_sp_Q9NRY4_RHG35_HUMAN_.pdf", "Melting_Curves/meltCurve_sp_Q9NRY4_RHG35_HUMAN_.pdf")</f>
        <v>Melting_Curves/meltCurve_sp_Q9NRY4_RHG35_HUMAN_.pdf</v>
      </c>
      <c r="AA2650" t="s">
        <v>13501</v>
      </c>
      <c r="AB2650" t="s">
        <v>17074</v>
      </c>
    </row>
    <row r="2651" spans="1:28" x14ac:dyDescent="0.25">
      <c r="A2651" t="s">
        <v>2655</v>
      </c>
      <c r="B2651">
        <v>0.98018197421672304</v>
      </c>
      <c r="C2651">
        <v>0.88918219590570202</v>
      </c>
      <c r="D2651">
        <v>0.97105921995794997</v>
      </c>
      <c r="E2651">
        <v>0.83174937748872901</v>
      </c>
      <c r="F2651">
        <v>0.71121860898732403</v>
      </c>
      <c r="G2651">
        <v>0.48499889353433101</v>
      </c>
      <c r="H2651">
        <v>0.371342030242022</v>
      </c>
      <c r="I2651">
        <v>0.29940018361923798</v>
      </c>
      <c r="J2651">
        <v>0.40992028921103502</v>
      </c>
      <c r="K2651">
        <v>0.28059681736269199</v>
      </c>
      <c r="L2651">
        <v>869.00978082956499</v>
      </c>
      <c r="M2651">
        <v>16.1718765751937</v>
      </c>
      <c r="N2651">
        <v>56.8814655628628</v>
      </c>
      <c r="O2651">
        <v>52.9343485694748</v>
      </c>
      <c r="P2651">
        <v>-5.3807297111106399E-2</v>
      </c>
      <c r="Q2651">
        <v>0.29555731865618301</v>
      </c>
      <c r="R2651">
        <v>0.96975782958538204</v>
      </c>
      <c r="S2651" t="s">
        <v>6280</v>
      </c>
      <c r="T2651" t="s">
        <v>7256</v>
      </c>
      <c r="U2651" t="s">
        <v>7256</v>
      </c>
      <c r="V2651" t="s">
        <v>7256</v>
      </c>
      <c r="W2651">
        <v>7</v>
      </c>
      <c r="X2651" t="s">
        <v>9907</v>
      </c>
      <c r="Y2651">
        <v>0.63135159029266552</v>
      </c>
      <c r="Z2651" t="str">
        <f>HYPERLINK("Melting_Curves/meltCurve_sp_Q9NRY5_F1142_HUMAN_.pdf", "Melting_Curves/meltCurve_sp_Q9NRY5_F1142_HUMAN_.pdf")</f>
        <v>Melting_Curves/meltCurve_sp_Q9NRY5_F1142_HUMAN_.pdf</v>
      </c>
      <c r="AA2651" t="s">
        <v>13502</v>
      </c>
      <c r="AB2651" t="s">
        <v>17075</v>
      </c>
    </row>
    <row r="2652" spans="1:28" x14ac:dyDescent="0.25">
      <c r="A2652" t="s">
        <v>2656</v>
      </c>
      <c r="B2652">
        <v>0.98018197421672304</v>
      </c>
      <c r="C2652">
        <v>0.86482329081650799</v>
      </c>
      <c r="D2652">
        <v>0.73575901312436198</v>
      </c>
      <c r="E2652">
        <v>0.75727098954407601</v>
      </c>
      <c r="F2652">
        <v>0.71481361540074895</v>
      </c>
      <c r="G2652">
        <v>0.53724537571055897</v>
      </c>
      <c r="H2652">
        <v>0.48585101184173002</v>
      </c>
      <c r="I2652">
        <v>0.52941044921986802</v>
      </c>
      <c r="J2652">
        <v>0.31919564326531802</v>
      </c>
      <c r="K2652">
        <v>0.49470971283138898</v>
      </c>
      <c r="L2652">
        <v>354.248269137607</v>
      </c>
      <c r="M2652">
        <v>6.6778495697617899</v>
      </c>
      <c r="N2652">
        <v>61.618593787618799</v>
      </c>
      <c r="O2652">
        <v>48.897688897433</v>
      </c>
      <c r="P2652">
        <v>-2.3866911971438101E-2</v>
      </c>
      <c r="Q2652">
        <v>0.30248644637475403</v>
      </c>
      <c r="R2652">
        <v>0.88943109306797696</v>
      </c>
      <c r="S2652" t="s">
        <v>6281</v>
      </c>
      <c r="T2652" t="s">
        <v>7256</v>
      </c>
      <c r="U2652" t="s">
        <v>7256</v>
      </c>
      <c r="V2652" t="s">
        <v>7256</v>
      </c>
      <c r="W2652">
        <v>1</v>
      </c>
      <c r="X2652" t="s">
        <v>9908</v>
      </c>
      <c r="Y2652">
        <v>0.63715794743032006</v>
      </c>
      <c r="Z2652" t="str">
        <f>HYPERLINK("Melting_Curves/meltCurve_sp_Q9NS18_GLRX2_HUMAN_.pdf", "Melting_Curves/meltCurve_sp_Q9NS18_GLRX2_HUMAN_.pdf")</f>
        <v>Melting_Curves/meltCurve_sp_Q9NS18_GLRX2_HUMAN_.pdf</v>
      </c>
      <c r="AA2652" t="s">
        <v>13503</v>
      </c>
      <c r="AB2652" t="s">
        <v>17076</v>
      </c>
    </row>
    <row r="2653" spans="1:28" x14ac:dyDescent="0.25">
      <c r="A2653" t="s">
        <v>2657</v>
      </c>
      <c r="B2653">
        <v>0.98018197421672304</v>
      </c>
      <c r="C2653">
        <v>0.95768067177591698</v>
      </c>
      <c r="D2653">
        <v>0.91559834604079304</v>
      </c>
      <c r="E2653">
        <v>0.80652592083054298</v>
      </c>
      <c r="F2653">
        <v>0.75429449786872205</v>
      </c>
      <c r="G2653">
        <v>0.44232144805565299</v>
      </c>
      <c r="H2653">
        <v>0.14901424514313999</v>
      </c>
      <c r="I2653">
        <v>8.6697869516682596E-2</v>
      </c>
      <c r="J2653">
        <v>9.1679432216269494E-2</v>
      </c>
      <c r="K2653">
        <v>7.3664337813865693E-2</v>
      </c>
      <c r="L2653">
        <v>894.41924649238604</v>
      </c>
      <c r="M2653">
        <v>16.0501105425828</v>
      </c>
      <c r="N2653">
        <v>55.776761112493404</v>
      </c>
      <c r="O2653">
        <v>54.883130790400699</v>
      </c>
      <c r="P2653">
        <v>-7.2592941579221498E-2</v>
      </c>
      <c r="Q2653">
        <v>7.1549223052211298E-3</v>
      </c>
      <c r="R2653">
        <v>0.98795899354085104</v>
      </c>
      <c r="S2653" t="s">
        <v>6282</v>
      </c>
      <c r="T2653" t="s">
        <v>7256</v>
      </c>
      <c r="U2653" t="s">
        <v>7256</v>
      </c>
      <c r="V2653" t="s">
        <v>7256</v>
      </c>
      <c r="W2653">
        <v>5</v>
      </c>
      <c r="X2653" t="s">
        <v>9909</v>
      </c>
      <c r="Y2653">
        <v>0.54454194242282972</v>
      </c>
      <c r="Z2653" t="str">
        <f>HYPERLINK("Melting_Curves/meltCurve_sp_Q9NS86_LANC2_HUMAN_.pdf", "Melting_Curves/meltCurve_sp_Q9NS86_LANC2_HUMAN_.pdf")</f>
        <v>Melting_Curves/meltCurve_sp_Q9NS86_LANC2_HUMAN_.pdf</v>
      </c>
      <c r="AA2653" t="s">
        <v>13504</v>
      </c>
      <c r="AB2653" t="s">
        <v>17077</v>
      </c>
    </row>
    <row r="2654" spans="1:28" x14ac:dyDescent="0.25">
      <c r="A2654" t="s">
        <v>2658</v>
      </c>
      <c r="B2654">
        <v>0.98018197421672304</v>
      </c>
      <c r="C2654">
        <v>0.88296447793189603</v>
      </c>
      <c r="D2654">
        <v>0.93675179625761695</v>
      </c>
      <c r="E2654">
        <v>0.74738793170164197</v>
      </c>
      <c r="F2654">
        <v>0.39338411133336598</v>
      </c>
      <c r="G2654">
        <v>0.114458047586632</v>
      </c>
      <c r="H2654">
        <v>5.64015054950898E-2</v>
      </c>
      <c r="I2654">
        <v>4.2547177389016803E-2</v>
      </c>
      <c r="J2654">
        <v>4.4111639899963598E-2</v>
      </c>
      <c r="K2654">
        <v>3.69056689842754E-2</v>
      </c>
      <c r="L2654">
        <v>1284.2919788964</v>
      </c>
      <c r="M2654">
        <v>24.737663909423102</v>
      </c>
      <c r="N2654">
        <v>52.058483127834599</v>
      </c>
      <c r="O2654">
        <v>51.580751364166197</v>
      </c>
      <c r="P2654">
        <v>-0.115987069329859</v>
      </c>
      <c r="Q2654">
        <v>3.26301377062026E-2</v>
      </c>
      <c r="R2654">
        <v>0.99099017029445602</v>
      </c>
      <c r="S2654" t="s">
        <v>6283</v>
      </c>
      <c r="T2654" t="s">
        <v>7256</v>
      </c>
      <c r="U2654" t="s">
        <v>7256</v>
      </c>
      <c r="V2654" t="s">
        <v>7256</v>
      </c>
      <c r="W2654">
        <v>26</v>
      </c>
      <c r="X2654" t="s">
        <v>9910</v>
      </c>
      <c r="Y2654">
        <v>0.42588933895256209</v>
      </c>
      <c r="Z2654" t="str">
        <f>HYPERLINK("Melting_Curves/meltCurve_sp_Q9NSE4_SYIM_HUMAN_.pdf", "Melting_Curves/meltCurve_sp_Q9NSE4_SYIM_HUMAN_.pdf")</f>
        <v>Melting_Curves/meltCurve_sp_Q9NSE4_SYIM_HUMAN_.pdf</v>
      </c>
      <c r="AA2654" t="s">
        <v>13505</v>
      </c>
      <c r="AB2654" t="s">
        <v>17078</v>
      </c>
    </row>
    <row r="2655" spans="1:28" x14ac:dyDescent="0.25">
      <c r="A2655" t="s">
        <v>2659</v>
      </c>
      <c r="B2655">
        <v>0.98018197421672304</v>
      </c>
      <c r="C2655">
        <v>0.98481789731468905</v>
      </c>
      <c r="D2655">
        <v>0.76949589295727205</v>
      </c>
      <c r="E2655">
        <v>0.45691398002560402</v>
      </c>
      <c r="F2655">
        <v>0.242811387884175</v>
      </c>
      <c r="G2655">
        <v>0.135839949084956</v>
      </c>
      <c r="H2655">
        <v>9.9560689712636499E-2</v>
      </c>
      <c r="I2655">
        <v>7.3793553795025904E-2</v>
      </c>
      <c r="J2655">
        <v>8.8303526396235704E-2</v>
      </c>
      <c r="K2655">
        <v>0.108038374179465</v>
      </c>
      <c r="L2655">
        <v>969.81892086364803</v>
      </c>
      <c r="M2655">
        <v>19.8358965156058</v>
      </c>
      <c r="N2655">
        <v>49.353676405944803</v>
      </c>
      <c r="O2655">
        <v>48.403331648056799</v>
      </c>
      <c r="P2655">
        <v>-9.3780861063937404E-2</v>
      </c>
      <c r="Q2655">
        <v>8.46587887835938E-2</v>
      </c>
      <c r="R2655">
        <v>0.99745455877542699</v>
      </c>
      <c r="S2655" t="s">
        <v>6284</v>
      </c>
      <c r="T2655" t="s">
        <v>7256</v>
      </c>
      <c r="U2655" t="s">
        <v>7256</v>
      </c>
      <c r="V2655" t="s">
        <v>7256</v>
      </c>
      <c r="W2655">
        <v>14</v>
      </c>
      <c r="X2655" t="s">
        <v>9911</v>
      </c>
      <c r="Y2655">
        <v>0.36902245287071112</v>
      </c>
      <c r="Z2655" t="str">
        <f>HYPERLINK("Melting_Curves/meltCurve_sp_Q9NSK0_KLC4_HUMAN_.pdf", "Melting_Curves/meltCurve_sp_Q9NSK0_KLC4_HUMAN_.pdf")</f>
        <v>Melting_Curves/meltCurve_sp_Q9NSK0_KLC4_HUMAN_.pdf</v>
      </c>
      <c r="AA2655" t="s">
        <v>13506</v>
      </c>
      <c r="AB2655" t="s">
        <v>17079</v>
      </c>
    </row>
    <row r="2656" spans="1:28" x14ac:dyDescent="0.25">
      <c r="A2656" t="s">
        <v>2660</v>
      </c>
      <c r="B2656">
        <v>0.98018197421672304</v>
      </c>
      <c r="C2656">
        <v>0.94620481663282896</v>
      </c>
      <c r="D2656">
        <v>0.71517253786630997</v>
      </c>
      <c r="E2656">
        <v>0.42264008583060497</v>
      </c>
      <c r="F2656">
        <v>0.24116238048902</v>
      </c>
      <c r="G2656">
        <v>0.13919651728318999</v>
      </c>
      <c r="H2656">
        <v>0.123594212662351</v>
      </c>
      <c r="I2656">
        <v>7.6674286683743501E-2</v>
      </c>
      <c r="J2656">
        <v>0.15273476175453299</v>
      </c>
      <c r="K2656">
        <v>5.2410089036464803E-2</v>
      </c>
      <c r="L2656">
        <v>876.43715838008995</v>
      </c>
      <c r="M2656">
        <v>18.140572186897899</v>
      </c>
      <c r="N2656">
        <v>48.852200007389897</v>
      </c>
      <c r="O2656">
        <v>47.738014212698999</v>
      </c>
      <c r="P2656">
        <v>-8.6395036155851701E-2</v>
      </c>
      <c r="Q2656">
        <v>9.0628437267324405E-2</v>
      </c>
      <c r="R2656">
        <v>0.99384084362497105</v>
      </c>
      <c r="S2656" t="s">
        <v>6285</v>
      </c>
      <c r="T2656" t="s">
        <v>7256</v>
      </c>
      <c r="U2656" t="s">
        <v>7256</v>
      </c>
      <c r="V2656" t="s">
        <v>7256</v>
      </c>
      <c r="W2656">
        <v>3</v>
      </c>
      <c r="X2656" t="s">
        <v>9912</v>
      </c>
      <c r="Y2656">
        <v>0.3583733609275393</v>
      </c>
      <c r="Z2656" t="str">
        <f>HYPERLINK("Melting_Curves/meltCurve_sp_Q9NSY0_NRBP2_HUMAN_.pdf", "Melting_Curves/meltCurve_sp_Q9NSY0_NRBP2_HUMAN_.pdf")</f>
        <v>Melting_Curves/meltCurve_sp_Q9NSY0_NRBP2_HUMAN_.pdf</v>
      </c>
      <c r="AA2656" t="s">
        <v>13507</v>
      </c>
      <c r="AB2656" t="s">
        <v>17080</v>
      </c>
    </row>
    <row r="2657" spans="1:28" x14ac:dyDescent="0.25">
      <c r="A2657" t="s">
        <v>2661</v>
      </c>
      <c r="B2657">
        <v>0.98018197421672304</v>
      </c>
      <c r="C2657">
        <v>0.98151504963730196</v>
      </c>
      <c r="D2657">
        <v>0.95629234927148699</v>
      </c>
      <c r="E2657">
        <v>0.51632675697326202</v>
      </c>
      <c r="F2657">
        <v>0.227709645162119</v>
      </c>
      <c r="G2657">
        <v>0.13471452035780401</v>
      </c>
      <c r="H2657">
        <v>0.100649597979191</v>
      </c>
      <c r="I2657">
        <v>7.1589422117053603E-2</v>
      </c>
      <c r="J2657">
        <v>2.6639324829502101E-2</v>
      </c>
      <c r="K2657">
        <v>3.36595287287417E-2</v>
      </c>
      <c r="L2657">
        <v>1387.9619316902799</v>
      </c>
      <c r="M2657">
        <v>27.757470273484699</v>
      </c>
      <c r="N2657">
        <v>50.2531387369851</v>
      </c>
      <c r="O2657">
        <v>49.745813440873199</v>
      </c>
      <c r="P2657">
        <v>-0.13050326398581799</v>
      </c>
      <c r="Q2657">
        <v>6.4477654812703206E-2</v>
      </c>
      <c r="R2657">
        <v>0.99566219601013595</v>
      </c>
      <c r="S2657" t="s">
        <v>6286</v>
      </c>
      <c r="T2657" t="s">
        <v>7256</v>
      </c>
      <c r="U2657" t="s">
        <v>7256</v>
      </c>
      <c r="V2657" t="s">
        <v>7256</v>
      </c>
      <c r="W2657">
        <v>2</v>
      </c>
      <c r="X2657" t="s">
        <v>9913</v>
      </c>
      <c r="Y2657">
        <v>0.38318899750797919</v>
      </c>
      <c r="Z2657" t="str">
        <f>HYPERLINK("Melting_Curves/meltCurve_sp_Q9NSY1_2_BMP2K_HUMAN_.pdf", "Melting_Curves/meltCurve_sp_Q9NSY1_2_BMP2K_HUMAN_.pdf")</f>
        <v>Melting_Curves/meltCurve_sp_Q9NSY1_2_BMP2K_HUMAN_.pdf</v>
      </c>
      <c r="AA2657" t="s">
        <v>13508</v>
      </c>
      <c r="AB2657" t="s">
        <v>17081</v>
      </c>
    </row>
    <row r="2658" spans="1:28" x14ac:dyDescent="0.25">
      <c r="A2658" t="s">
        <v>2662</v>
      </c>
      <c r="B2658">
        <v>0.98018197421672304</v>
      </c>
      <c r="C2658">
        <v>1.0527294608352999</v>
      </c>
      <c r="D2658">
        <v>0.87997528104287703</v>
      </c>
      <c r="E2658">
        <v>0.47332522893416801</v>
      </c>
      <c r="F2658">
        <v>0.15313357660670099</v>
      </c>
      <c r="G2658">
        <v>0.12102417850998801</v>
      </c>
      <c r="H2658">
        <v>8.3133580963438994E-2</v>
      </c>
      <c r="I2658">
        <v>4.9250883540156901E-2</v>
      </c>
      <c r="J2658">
        <v>7.3845563359261304E-2</v>
      </c>
      <c r="K2658">
        <v>9.90142121871639E-2</v>
      </c>
      <c r="L2658">
        <v>1481.50740123282</v>
      </c>
      <c r="M2658">
        <v>29.998454123411101</v>
      </c>
      <c r="N2658">
        <v>49.664675360300201</v>
      </c>
      <c r="O2658">
        <v>49.1682207930928</v>
      </c>
      <c r="P2658">
        <v>-0.140720924603738</v>
      </c>
      <c r="Q2658">
        <v>7.7425472440212306E-2</v>
      </c>
      <c r="R2658">
        <v>0.99460494916308795</v>
      </c>
      <c r="S2658" t="s">
        <v>6287</v>
      </c>
      <c r="T2658" t="s">
        <v>7256</v>
      </c>
      <c r="U2658" t="s">
        <v>7256</v>
      </c>
      <c r="V2658" t="s">
        <v>7256</v>
      </c>
      <c r="W2658">
        <v>3</v>
      </c>
      <c r="X2658" t="s">
        <v>9914</v>
      </c>
      <c r="Y2658">
        <v>0.37172394074588527</v>
      </c>
      <c r="Z2658" t="str">
        <f>HYPERLINK("Melting_Curves/meltCurve_sp_Q9NSY2_STAR5_HUMAN_.pdf", "Melting_Curves/meltCurve_sp_Q9NSY2_STAR5_HUMAN_.pdf")</f>
        <v>Melting_Curves/meltCurve_sp_Q9NSY2_STAR5_HUMAN_.pdf</v>
      </c>
      <c r="AA2658" t="s">
        <v>13509</v>
      </c>
      <c r="AB2658" t="s">
        <v>17082</v>
      </c>
    </row>
    <row r="2659" spans="1:28" x14ac:dyDescent="0.25">
      <c r="A2659" t="s">
        <v>2663</v>
      </c>
      <c r="B2659">
        <v>0.98018197421672304</v>
      </c>
      <c r="C2659">
        <v>0.99446182555639395</v>
      </c>
      <c r="D2659">
        <v>0.93136000656925799</v>
      </c>
      <c r="E2659">
        <v>0.81724150767228199</v>
      </c>
      <c r="F2659">
        <v>0.63854390271931605</v>
      </c>
      <c r="G2659">
        <v>0.38505631476965801</v>
      </c>
      <c r="H2659">
        <v>0.23103401661947101</v>
      </c>
      <c r="I2659">
        <v>0.12537799384066001</v>
      </c>
      <c r="J2659">
        <v>9.3992746002891495E-2</v>
      </c>
      <c r="K2659">
        <v>7.1592910620678005E-2</v>
      </c>
      <c r="L2659">
        <v>783.51145124653203</v>
      </c>
      <c r="M2659">
        <v>14.2490882132417</v>
      </c>
      <c r="N2659">
        <v>55.1746098253209</v>
      </c>
      <c r="O2659">
        <v>53.9377869616496</v>
      </c>
      <c r="P2659">
        <v>-6.4488464496368594E-2</v>
      </c>
      <c r="Q2659">
        <v>2.3675322190857499E-2</v>
      </c>
      <c r="R2659">
        <v>0.99923152667000803</v>
      </c>
      <c r="S2659" t="s">
        <v>6288</v>
      </c>
      <c r="T2659" t="s">
        <v>7256</v>
      </c>
      <c r="U2659" t="s">
        <v>7256</v>
      </c>
      <c r="V2659" t="s">
        <v>7256</v>
      </c>
      <c r="W2659">
        <v>5</v>
      </c>
      <c r="X2659" t="s">
        <v>9915</v>
      </c>
      <c r="Y2659">
        <v>0.53126794178544479</v>
      </c>
      <c r="Z2659" t="str">
        <f>HYPERLINK("Melting_Curves/meltCurve_sp_Q9NT62_ATG3_HUMAN_.pdf", "Melting_Curves/meltCurve_sp_Q9NT62_ATG3_HUMAN_.pdf")</f>
        <v>Melting_Curves/meltCurve_sp_Q9NT62_ATG3_HUMAN_.pdf</v>
      </c>
      <c r="AA2659" t="s">
        <v>13510</v>
      </c>
      <c r="AB2659" t="s">
        <v>17083</v>
      </c>
    </row>
    <row r="2660" spans="1:28" x14ac:dyDescent="0.25">
      <c r="A2660" t="s">
        <v>2664</v>
      </c>
      <c r="B2660">
        <v>0.98018197421672304</v>
      </c>
      <c r="C2660">
        <v>0.96357524842381503</v>
      </c>
      <c r="D2660">
        <v>0.88456618024956402</v>
      </c>
      <c r="E2660">
        <v>0.68139778834251297</v>
      </c>
      <c r="F2660">
        <v>0.325706269410378</v>
      </c>
      <c r="G2660">
        <v>0.16919059833971301</v>
      </c>
      <c r="H2660">
        <v>6.7039572194104599E-2</v>
      </c>
      <c r="I2660">
        <v>4.7707457028247802E-2</v>
      </c>
      <c r="J2660">
        <v>6.1440225010292199E-2</v>
      </c>
      <c r="K2660">
        <v>3.23924820461714E-2</v>
      </c>
      <c r="L2660">
        <v>1039.24559369846</v>
      </c>
      <c r="M2660">
        <v>20.269449599327299</v>
      </c>
      <c r="N2660">
        <v>51.4671024409054</v>
      </c>
      <c r="O2660">
        <v>50.780298845971302</v>
      </c>
      <c r="P2660">
        <v>-9.6094048559678097E-2</v>
      </c>
      <c r="Q2660">
        <v>3.7066272168914997E-2</v>
      </c>
      <c r="R2660">
        <v>0.99628048751078502</v>
      </c>
      <c r="S2660" t="s">
        <v>6289</v>
      </c>
      <c r="T2660" t="s">
        <v>7256</v>
      </c>
      <c r="U2660" t="s">
        <v>7256</v>
      </c>
      <c r="V2660" t="s">
        <v>7256</v>
      </c>
      <c r="W2660">
        <v>4</v>
      </c>
      <c r="X2660" t="s">
        <v>9916</v>
      </c>
      <c r="Y2660">
        <v>0.41188769097447592</v>
      </c>
      <c r="Z2660" t="str">
        <f>HYPERLINK("Melting_Curves/meltCurve_sp_Q9NTG7_SIR3_HUMAN_.pdf", "Melting_Curves/meltCurve_sp_Q9NTG7_SIR3_HUMAN_.pdf")</f>
        <v>Melting_Curves/meltCurve_sp_Q9NTG7_SIR3_HUMAN_.pdf</v>
      </c>
      <c r="AA2660" t="s">
        <v>13511</v>
      </c>
      <c r="AB2660" t="s">
        <v>17084</v>
      </c>
    </row>
    <row r="2661" spans="1:28" x14ac:dyDescent="0.25">
      <c r="A2661" t="s">
        <v>2665</v>
      </c>
      <c r="B2661">
        <v>0.98018197421672304</v>
      </c>
      <c r="C2661">
        <v>1.0088319252778699</v>
      </c>
      <c r="D2661">
        <v>0.84126352525432802</v>
      </c>
      <c r="E2661">
        <v>0.77723480848835402</v>
      </c>
      <c r="F2661">
        <v>0.60766524418061196</v>
      </c>
      <c r="G2661">
        <v>0.331526528775203</v>
      </c>
      <c r="H2661">
        <v>0.104190121268025</v>
      </c>
      <c r="I2661">
        <v>6.7275106032196802E-2</v>
      </c>
      <c r="J2661">
        <v>9.4418160746206695E-2</v>
      </c>
      <c r="K2661">
        <v>4.6890879184908203E-2</v>
      </c>
      <c r="L2661">
        <v>792.60255309498598</v>
      </c>
      <c r="M2661">
        <v>14.656963565743601</v>
      </c>
      <c r="N2661">
        <v>54.076859404833598</v>
      </c>
      <c r="O2661">
        <v>53.100125995886003</v>
      </c>
      <c r="P2661">
        <v>-6.9013875079745698E-2</v>
      </c>
      <c r="Q2661">
        <v>0</v>
      </c>
      <c r="R2661">
        <v>0.98915663716157298</v>
      </c>
      <c r="S2661" t="s">
        <v>6290</v>
      </c>
      <c r="T2661" t="s">
        <v>7256</v>
      </c>
      <c r="U2661" t="s">
        <v>7256</v>
      </c>
      <c r="V2661" t="s">
        <v>7256</v>
      </c>
      <c r="W2661">
        <v>11</v>
      </c>
      <c r="X2661" t="s">
        <v>9917</v>
      </c>
      <c r="Y2661">
        <v>0.49024075860550448</v>
      </c>
      <c r="Z2661" t="str">
        <f>HYPERLINK("Melting_Curves/meltCurve_sp_Q9NTJ4_3_MA2C1_HUMAN_.pdf", "Melting_Curves/meltCurve_sp_Q9NTJ4_3_MA2C1_HUMAN_.pdf")</f>
        <v>Melting_Curves/meltCurve_sp_Q9NTJ4_3_MA2C1_HUMAN_.pdf</v>
      </c>
      <c r="AA2661" t="s">
        <v>13512</v>
      </c>
      <c r="AB2661" t="s">
        <v>17085</v>
      </c>
    </row>
    <row r="2662" spans="1:28" x14ac:dyDescent="0.25">
      <c r="A2662" t="s">
        <v>2666</v>
      </c>
      <c r="B2662">
        <v>0.98018197421672304</v>
      </c>
      <c r="C2662">
        <v>1.0152677390246501</v>
      </c>
      <c r="D2662">
        <v>1.04197528045633</v>
      </c>
      <c r="E2662">
        <v>0.90011545053509701</v>
      </c>
      <c r="F2662">
        <v>1.00272670991044</v>
      </c>
      <c r="G2662">
        <v>0.76897199605163702</v>
      </c>
      <c r="H2662">
        <v>0.57945825720724398</v>
      </c>
      <c r="I2662">
        <v>0.64483345919357804</v>
      </c>
      <c r="J2662">
        <v>0.71371794404447297</v>
      </c>
      <c r="K2662">
        <v>1.13929273313107</v>
      </c>
      <c r="L2662">
        <v>13430.0005001013</v>
      </c>
      <c r="M2662">
        <v>243.48480309265</v>
      </c>
      <c r="O2662">
        <v>55.153727452928798</v>
      </c>
      <c r="P2662">
        <v>-0.25468459338549798</v>
      </c>
      <c r="Q2662">
        <v>0.76923726738029696</v>
      </c>
      <c r="R2662">
        <v>0.36848666631114901</v>
      </c>
      <c r="S2662" t="s">
        <v>6291</v>
      </c>
      <c r="T2662" t="s">
        <v>7256</v>
      </c>
      <c r="U2662" t="s">
        <v>7256</v>
      </c>
      <c r="V2662" t="s">
        <v>7256</v>
      </c>
      <c r="W2662">
        <v>8</v>
      </c>
      <c r="X2662" t="s">
        <v>9918</v>
      </c>
      <c r="Y2662">
        <v>0.88585329196276774</v>
      </c>
      <c r="Z2662" t="str">
        <f>HYPERLINK("Melting_Curves/meltCurve_sp_Q9NTK5_2_OLA1_HUMAN_.pdf", "Melting_Curves/meltCurve_sp_Q9NTK5_2_OLA1_HUMAN_.pdf")</f>
        <v>Melting_Curves/meltCurve_sp_Q9NTK5_2_OLA1_HUMAN_.pdf</v>
      </c>
      <c r="AA2662" t="s">
        <v>13513</v>
      </c>
      <c r="AB2662" t="s">
        <v>17086</v>
      </c>
    </row>
    <row r="2663" spans="1:28" x14ac:dyDescent="0.25">
      <c r="A2663" t="s">
        <v>2667</v>
      </c>
      <c r="B2663">
        <v>0.98018197421672304</v>
      </c>
      <c r="C2663">
        <v>0.85455450689590196</v>
      </c>
      <c r="D2663">
        <v>0.88483888060377802</v>
      </c>
      <c r="E2663">
        <v>0.34014233152899798</v>
      </c>
      <c r="F2663">
        <v>0.101152732687925</v>
      </c>
      <c r="G2663">
        <v>6.9369858296058101E-2</v>
      </c>
      <c r="H2663">
        <v>3.7512963488777598E-2</v>
      </c>
      <c r="I2663">
        <v>3.07849105997678E-2</v>
      </c>
      <c r="J2663">
        <v>2.6044333992809799E-2</v>
      </c>
      <c r="K2663">
        <v>2.16089880611618E-2</v>
      </c>
      <c r="L2663">
        <v>1401.45595576761</v>
      </c>
      <c r="M2663">
        <v>28.7620666989088</v>
      </c>
      <c r="N2663">
        <v>48.831488511429797</v>
      </c>
      <c r="O2663">
        <v>48.492122517858697</v>
      </c>
      <c r="P2663">
        <v>-0.14381041489594301</v>
      </c>
      <c r="Q2663">
        <v>3.01644739223964E-2</v>
      </c>
      <c r="R2663">
        <v>0.987617209268704</v>
      </c>
      <c r="S2663" t="s">
        <v>6292</v>
      </c>
      <c r="T2663" t="s">
        <v>7256</v>
      </c>
      <c r="U2663" t="s">
        <v>7256</v>
      </c>
      <c r="V2663" t="s">
        <v>7256</v>
      </c>
      <c r="W2663">
        <v>9</v>
      </c>
      <c r="X2663" t="s">
        <v>9919</v>
      </c>
      <c r="Y2663">
        <v>0.31867104300029198</v>
      </c>
      <c r="Z2663" t="str">
        <f>HYPERLINK("Melting_Curves/meltCurve_sp_Q9NTK5_OLA1_HUMAN_.pdf", "Melting_Curves/meltCurve_sp_Q9NTK5_OLA1_HUMAN_.pdf")</f>
        <v>Melting_Curves/meltCurve_sp_Q9NTK5_OLA1_HUMAN_.pdf</v>
      </c>
      <c r="AA2663" t="s">
        <v>13513</v>
      </c>
      <c r="AB2663" t="s">
        <v>17087</v>
      </c>
    </row>
    <row r="2664" spans="1:28" x14ac:dyDescent="0.25">
      <c r="A2664" t="s">
        <v>2668</v>
      </c>
      <c r="B2664">
        <v>0.98018197421672304</v>
      </c>
      <c r="C2664">
        <v>0.95834137352263105</v>
      </c>
      <c r="D2664">
        <v>0.90623902380817301</v>
      </c>
      <c r="E2664">
        <v>0.83922675178138895</v>
      </c>
      <c r="F2664">
        <v>0.71135356513648296</v>
      </c>
      <c r="G2664">
        <v>0.54121507149230996</v>
      </c>
      <c r="H2664">
        <v>0.50684713385319202</v>
      </c>
      <c r="I2664">
        <v>0.50349051046541304</v>
      </c>
      <c r="J2664">
        <v>0.46121789532454599</v>
      </c>
      <c r="K2664">
        <v>0.34877042529372898</v>
      </c>
      <c r="L2664">
        <v>573.646451944467</v>
      </c>
      <c r="M2664">
        <v>10.593062517210001</v>
      </c>
      <c r="N2664">
        <v>61.094895726055697</v>
      </c>
      <c r="O2664">
        <v>52.330034983372002</v>
      </c>
      <c r="P2664">
        <v>-3.2909984273119801E-2</v>
      </c>
      <c r="Q2664">
        <v>0.34994844322457702</v>
      </c>
      <c r="R2664">
        <v>0.97919903213835402</v>
      </c>
      <c r="S2664" t="s">
        <v>6293</v>
      </c>
      <c r="T2664" t="s">
        <v>7256</v>
      </c>
      <c r="U2664" t="s">
        <v>7256</v>
      </c>
      <c r="V2664" t="s">
        <v>7256</v>
      </c>
      <c r="W2664">
        <v>12</v>
      </c>
      <c r="X2664" t="s">
        <v>9920</v>
      </c>
      <c r="Y2664">
        <v>0.67510946924150339</v>
      </c>
      <c r="Z2664" t="str">
        <f>HYPERLINK("Melting_Curves/meltCurve_sp_Q9NTX5_6_ECHD1_HUMAN_.pdf", "Melting_Curves/meltCurve_sp_Q9NTX5_6_ECHD1_HUMAN_.pdf")</f>
        <v>Melting_Curves/meltCurve_sp_Q9NTX5_6_ECHD1_HUMAN_.pdf</v>
      </c>
      <c r="AA2664" t="s">
        <v>13514</v>
      </c>
      <c r="AB2664" t="s">
        <v>17088</v>
      </c>
    </row>
    <row r="2665" spans="1:28" x14ac:dyDescent="0.25">
      <c r="A2665" t="s">
        <v>2669</v>
      </c>
      <c r="B2665">
        <v>0.98018197421672304</v>
      </c>
      <c r="C2665">
        <v>0.99940362115283599</v>
      </c>
      <c r="D2665">
        <v>0.92395638049833295</v>
      </c>
      <c r="E2665">
        <v>0.77266403409515205</v>
      </c>
      <c r="F2665">
        <v>0.44045620543153802</v>
      </c>
      <c r="G2665">
        <v>0.16988236034982401</v>
      </c>
      <c r="H2665">
        <v>0.11061712550682</v>
      </c>
      <c r="I2665">
        <v>8.5106892007382404E-2</v>
      </c>
      <c r="J2665">
        <v>0.110379525444382</v>
      </c>
      <c r="K2665">
        <v>7.6514332217223799E-2</v>
      </c>
      <c r="L2665">
        <v>1292.7926182125</v>
      </c>
      <c r="M2665">
        <v>24.833341735915401</v>
      </c>
      <c r="N2665">
        <v>52.448942529610697</v>
      </c>
      <c r="O2665">
        <v>51.724667866016702</v>
      </c>
      <c r="P2665">
        <v>-0.109904848047777</v>
      </c>
      <c r="Q2665">
        <v>8.4341440743420898E-2</v>
      </c>
      <c r="R2665">
        <v>0.99786252213568405</v>
      </c>
      <c r="S2665" t="s">
        <v>6294</v>
      </c>
      <c r="T2665" t="s">
        <v>7256</v>
      </c>
      <c r="U2665" t="s">
        <v>7256</v>
      </c>
      <c r="V2665" t="s">
        <v>7256</v>
      </c>
      <c r="W2665">
        <v>9</v>
      </c>
      <c r="X2665" t="s">
        <v>9921</v>
      </c>
      <c r="Y2665">
        <v>0.46086985355272242</v>
      </c>
      <c r="Z2665" t="str">
        <f>HYPERLINK("Melting_Curves/meltCurve_sp_Q9NTZ6_RBM12_HUMAN_.pdf", "Melting_Curves/meltCurve_sp_Q9NTZ6_RBM12_HUMAN_.pdf")</f>
        <v>Melting_Curves/meltCurve_sp_Q9NTZ6_RBM12_HUMAN_.pdf</v>
      </c>
      <c r="AA2665" t="s">
        <v>13515</v>
      </c>
      <c r="AB2665" t="s">
        <v>17089</v>
      </c>
    </row>
    <row r="2666" spans="1:28" x14ac:dyDescent="0.25">
      <c r="A2666" t="s">
        <v>2670</v>
      </c>
      <c r="B2666">
        <v>0.98018197421672304</v>
      </c>
      <c r="C2666">
        <v>0.91740014837626205</v>
      </c>
      <c r="D2666">
        <v>0.91417101365449804</v>
      </c>
      <c r="E2666">
        <v>0.78776557834626904</v>
      </c>
      <c r="F2666">
        <v>0.79310297334496105</v>
      </c>
      <c r="G2666">
        <v>0.47603447019449802</v>
      </c>
      <c r="H2666">
        <v>0.219334389491944</v>
      </c>
      <c r="I2666">
        <v>9.8578877732298398E-2</v>
      </c>
      <c r="J2666">
        <v>8.6977211738463595E-2</v>
      </c>
      <c r="K2666">
        <v>5.9781990963241598E-2</v>
      </c>
      <c r="L2666">
        <v>838.36238551059398</v>
      </c>
      <c r="M2666">
        <v>14.8879984964409</v>
      </c>
      <c r="N2666">
        <v>56.311281169124399</v>
      </c>
      <c r="O2666">
        <v>55.324623849371498</v>
      </c>
      <c r="P2666">
        <v>-6.7282641954704403E-2</v>
      </c>
      <c r="Q2666">
        <v>0</v>
      </c>
      <c r="R2666">
        <v>0.98248798370410095</v>
      </c>
      <c r="S2666" t="s">
        <v>6295</v>
      </c>
      <c r="T2666" t="s">
        <v>7256</v>
      </c>
      <c r="U2666" t="s">
        <v>7256</v>
      </c>
      <c r="V2666" t="s">
        <v>7256</v>
      </c>
      <c r="W2666">
        <v>3</v>
      </c>
      <c r="X2666" t="s">
        <v>9922</v>
      </c>
      <c r="Y2666">
        <v>0.560996543338113</v>
      </c>
      <c r="Z2666" t="str">
        <f>HYPERLINK("Melting_Curves/meltCurve_sp_Q9NU23_LYRM2_HUMAN_.pdf", "Melting_Curves/meltCurve_sp_Q9NU23_LYRM2_HUMAN_.pdf")</f>
        <v>Melting_Curves/meltCurve_sp_Q9NU23_LYRM2_HUMAN_.pdf</v>
      </c>
      <c r="AA2666" t="s">
        <v>13516</v>
      </c>
      <c r="AB2666" t="s">
        <v>17090</v>
      </c>
    </row>
    <row r="2667" spans="1:28" x14ac:dyDescent="0.25">
      <c r="A2667" t="s">
        <v>2671</v>
      </c>
      <c r="B2667">
        <v>0.98018197421672304</v>
      </c>
      <c r="C2667">
        <v>0.92292289118066395</v>
      </c>
      <c r="D2667">
        <v>0.88981359636700097</v>
      </c>
      <c r="E2667">
        <v>0.74165587645715503</v>
      </c>
      <c r="F2667">
        <v>0.55153813767177196</v>
      </c>
      <c r="G2667">
        <v>0.31544393706896301</v>
      </c>
      <c r="H2667">
        <v>0.16661055813275999</v>
      </c>
      <c r="I2667">
        <v>8.4778631548559802E-2</v>
      </c>
      <c r="J2667">
        <v>0.149061063024052</v>
      </c>
      <c r="K2667">
        <v>9.3635280100754503E-2</v>
      </c>
      <c r="L2667">
        <v>754.381717073103</v>
      </c>
      <c r="M2667">
        <v>14.1905092086481</v>
      </c>
      <c r="N2667">
        <v>53.595324263592701</v>
      </c>
      <c r="O2667">
        <v>52.1387131083575</v>
      </c>
      <c r="P2667">
        <v>-6.4354461869138901E-2</v>
      </c>
      <c r="Q2667">
        <v>5.4315318502361903E-2</v>
      </c>
      <c r="R2667">
        <v>0.99353037648680598</v>
      </c>
      <c r="S2667" t="s">
        <v>6296</v>
      </c>
      <c r="T2667" t="s">
        <v>7256</v>
      </c>
      <c r="U2667" t="s">
        <v>7256</v>
      </c>
      <c r="V2667" t="s">
        <v>7256</v>
      </c>
      <c r="W2667">
        <v>2</v>
      </c>
      <c r="X2667" t="s">
        <v>9923</v>
      </c>
      <c r="Y2667">
        <v>0.49094939642203911</v>
      </c>
      <c r="Z2667" t="str">
        <f>HYPERLINK("Melting_Curves/meltCurve_sp_Q9NUB1_3_ACS2L_HUMAN_.pdf", "Melting_Curves/meltCurve_sp_Q9NUB1_3_ACS2L_HUMAN_.pdf")</f>
        <v>Melting_Curves/meltCurve_sp_Q9NUB1_3_ACS2L_HUMAN_.pdf</v>
      </c>
      <c r="AA2667" t="s">
        <v>13517</v>
      </c>
      <c r="AB2667" t="s">
        <v>17091</v>
      </c>
    </row>
    <row r="2668" spans="1:28" x14ac:dyDescent="0.25">
      <c r="A2668" t="s">
        <v>2672</v>
      </c>
      <c r="B2668">
        <v>0.98018197421672304</v>
      </c>
      <c r="C2668">
        <v>0.88815819384942096</v>
      </c>
      <c r="D2668">
        <v>0.85677066406847802</v>
      </c>
      <c r="E2668">
        <v>0.71137477395884097</v>
      </c>
      <c r="F2668">
        <v>0.51656218482906802</v>
      </c>
      <c r="G2668">
        <v>0.32475962144090098</v>
      </c>
      <c r="H2668">
        <v>0.27305089995801901</v>
      </c>
      <c r="I2668">
        <v>0.287014252031845</v>
      </c>
      <c r="J2668">
        <v>0.227657752024891</v>
      </c>
      <c r="K2668">
        <v>0.203448966909655</v>
      </c>
      <c r="L2668">
        <v>663.79286879370397</v>
      </c>
      <c r="M2668">
        <v>12.893448734966499</v>
      </c>
      <c r="N2668">
        <v>53.416743219019601</v>
      </c>
      <c r="O2668">
        <v>50.291692388538898</v>
      </c>
      <c r="P2668">
        <v>-5.2150253863519097E-2</v>
      </c>
      <c r="Q2668">
        <v>0.18648726370093499</v>
      </c>
      <c r="R2668">
        <v>0.99003879990214105</v>
      </c>
      <c r="S2668" t="s">
        <v>6297</v>
      </c>
      <c r="T2668" t="s">
        <v>7256</v>
      </c>
      <c r="U2668" t="s">
        <v>7256</v>
      </c>
      <c r="V2668" t="s">
        <v>7256</v>
      </c>
      <c r="W2668">
        <v>20</v>
      </c>
      <c r="X2668" t="s">
        <v>9924</v>
      </c>
      <c r="Y2668">
        <v>0.52115690763151512</v>
      </c>
      <c r="Z2668" t="str">
        <f>HYPERLINK("Melting_Curves/meltCurve_sp_Q9NUI1_DECR2_HUMAN_.pdf", "Melting_Curves/meltCurve_sp_Q9NUI1_DECR2_HUMAN_.pdf")</f>
        <v>Melting_Curves/meltCurve_sp_Q9NUI1_DECR2_HUMAN_.pdf</v>
      </c>
      <c r="AA2668" t="s">
        <v>13518</v>
      </c>
      <c r="AB2668" t="s">
        <v>17092</v>
      </c>
    </row>
    <row r="2669" spans="1:28" x14ac:dyDescent="0.25">
      <c r="A2669" t="s">
        <v>2673</v>
      </c>
      <c r="B2669">
        <v>0.98018197421672304</v>
      </c>
      <c r="C2669">
        <v>0.96164179853627096</v>
      </c>
      <c r="D2669">
        <v>0.94482050068337997</v>
      </c>
      <c r="E2669">
        <v>0.81044766206581798</v>
      </c>
      <c r="F2669">
        <v>0.77044665267336299</v>
      </c>
      <c r="G2669">
        <v>0.63091960319283902</v>
      </c>
      <c r="H2669">
        <v>0.43640237816182198</v>
      </c>
      <c r="I2669">
        <v>0.28148357455784401</v>
      </c>
      <c r="J2669">
        <v>6.4515951042389594E-2</v>
      </c>
      <c r="K2669">
        <v>4.5190647906690098E-2</v>
      </c>
      <c r="L2669">
        <v>745.09091372978799</v>
      </c>
      <c r="M2669">
        <v>12.7373285226946</v>
      </c>
      <c r="N2669">
        <v>58.496639458208698</v>
      </c>
      <c r="O2669">
        <v>57.111003086843098</v>
      </c>
      <c r="P2669">
        <v>-5.5767557857383403E-2</v>
      </c>
      <c r="Q2669">
        <v>0</v>
      </c>
      <c r="R2669">
        <v>0.973660046481023</v>
      </c>
      <c r="S2669" t="s">
        <v>6298</v>
      </c>
      <c r="T2669" t="s">
        <v>7256</v>
      </c>
      <c r="U2669" t="s">
        <v>7256</v>
      </c>
      <c r="V2669" t="s">
        <v>7256</v>
      </c>
      <c r="W2669">
        <v>11</v>
      </c>
      <c r="X2669" t="s">
        <v>9925</v>
      </c>
      <c r="Y2669">
        <v>0.62769182203001572</v>
      </c>
      <c r="Z2669" t="str">
        <f>HYPERLINK("Melting_Curves/meltCurve_sp_Q9NUJ1_ABHDA_HUMAN_.pdf", "Melting_Curves/meltCurve_sp_Q9NUJ1_ABHDA_HUMAN_.pdf")</f>
        <v>Melting_Curves/meltCurve_sp_Q9NUJ1_ABHDA_HUMAN_.pdf</v>
      </c>
      <c r="AA2669" t="s">
        <v>13519</v>
      </c>
      <c r="AB2669" t="s">
        <v>17093</v>
      </c>
    </row>
    <row r="2670" spans="1:28" x14ac:dyDescent="0.25">
      <c r="A2670" t="s">
        <v>2674</v>
      </c>
      <c r="B2670">
        <v>0.98018197421672304</v>
      </c>
      <c r="C2670">
        <v>0.96438576141181398</v>
      </c>
      <c r="D2670">
        <v>0.86800655779042601</v>
      </c>
      <c r="E2670">
        <v>0.82812314133238596</v>
      </c>
      <c r="F2670">
        <v>0.73574195028203004</v>
      </c>
      <c r="G2670">
        <v>0.57132744705495697</v>
      </c>
      <c r="H2670">
        <v>0.438872297448195</v>
      </c>
      <c r="I2670">
        <v>0.56979586502330004</v>
      </c>
      <c r="J2670">
        <v>0.59917423342786202</v>
      </c>
      <c r="K2670">
        <v>0.69643790662336402</v>
      </c>
      <c r="L2670">
        <v>864.92799684375905</v>
      </c>
      <c r="M2670">
        <v>17.2441123909209</v>
      </c>
      <c r="O2670">
        <v>49.497906902068202</v>
      </c>
      <c r="P2670">
        <v>-3.7632260215316501E-2</v>
      </c>
      <c r="Q2670">
        <v>0.56794311662061103</v>
      </c>
      <c r="R2670">
        <v>0.84134831178145697</v>
      </c>
      <c r="S2670" t="s">
        <v>6299</v>
      </c>
      <c r="T2670" t="s">
        <v>7256</v>
      </c>
      <c r="U2670" t="s">
        <v>7256</v>
      </c>
      <c r="V2670" t="s">
        <v>7256</v>
      </c>
      <c r="W2670">
        <v>2</v>
      </c>
      <c r="X2670" t="s">
        <v>9926</v>
      </c>
      <c r="Y2670">
        <v>0.72220342104435953</v>
      </c>
      <c r="Z2670" t="str">
        <f>HYPERLINK("Melting_Curves/meltCurve_sp_Q9NUL5_4_CS066_HUMAN_.pdf", "Melting_Curves/meltCurve_sp_Q9NUL5_4_CS066_HUMAN_.pdf")</f>
        <v>Melting_Curves/meltCurve_sp_Q9NUL5_4_CS066_HUMAN_.pdf</v>
      </c>
      <c r="AA2670" t="s">
        <v>13520</v>
      </c>
      <c r="AB2670" t="s">
        <v>17094</v>
      </c>
    </row>
    <row r="2671" spans="1:28" x14ac:dyDescent="0.25">
      <c r="A2671" t="s">
        <v>2675</v>
      </c>
      <c r="B2671">
        <v>0.98018197421672304</v>
      </c>
      <c r="C2671">
        <v>1.11784758958777</v>
      </c>
      <c r="D2671">
        <v>0.87584233175595305</v>
      </c>
      <c r="E2671">
        <v>0.77162602923261503</v>
      </c>
      <c r="F2671">
        <v>0.69262695977247302</v>
      </c>
      <c r="G2671">
        <v>0.35301158980063202</v>
      </c>
      <c r="H2671">
        <v>0.22026384798659701</v>
      </c>
      <c r="I2671">
        <v>0.229405962746284</v>
      </c>
      <c r="J2671">
        <v>0.28516271629024298</v>
      </c>
      <c r="K2671">
        <v>0.26845060243533603</v>
      </c>
      <c r="L2671">
        <v>1028.7742672853301</v>
      </c>
      <c r="M2671">
        <v>19.4107924471658</v>
      </c>
      <c r="N2671">
        <v>54.700192939081496</v>
      </c>
      <c r="O2671">
        <v>52.447208427350297</v>
      </c>
      <c r="P2671">
        <v>-7.1571539041931406E-2</v>
      </c>
      <c r="Q2671">
        <v>0.22649424488856901</v>
      </c>
      <c r="R2671">
        <v>0.96226360367074304</v>
      </c>
      <c r="S2671" t="s">
        <v>6300</v>
      </c>
      <c r="T2671" t="s">
        <v>7256</v>
      </c>
      <c r="U2671" t="s">
        <v>7256</v>
      </c>
      <c r="V2671" t="s">
        <v>7256</v>
      </c>
      <c r="W2671">
        <v>1</v>
      </c>
      <c r="X2671" t="s">
        <v>9927</v>
      </c>
      <c r="Y2671">
        <v>0.57287402608546067</v>
      </c>
      <c r="Z2671" t="str">
        <f>HYPERLINK("Melting_Curves/meltCurve_sp_Q9NUP1_BL1S4_HUMAN_.pdf", "Melting_Curves/meltCurve_sp_Q9NUP1_BL1S4_HUMAN_.pdf")</f>
        <v>Melting_Curves/meltCurve_sp_Q9NUP1_BL1S4_HUMAN_.pdf</v>
      </c>
      <c r="AA2671" t="s">
        <v>13521</v>
      </c>
      <c r="AB2671" t="s">
        <v>17095</v>
      </c>
    </row>
    <row r="2672" spans="1:28" x14ac:dyDescent="0.25">
      <c r="A2672" t="s">
        <v>2676</v>
      </c>
      <c r="B2672">
        <v>0.98018197421672304</v>
      </c>
      <c r="C2672">
        <v>1.0417291924371399</v>
      </c>
      <c r="D2672">
        <v>0.90362883704530605</v>
      </c>
      <c r="E2672">
        <v>0.75310473336161499</v>
      </c>
      <c r="F2672">
        <v>0.39983564128897198</v>
      </c>
      <c r="G2672">
        <v>0.15984668529599499</v>
      </c>
      <c r="H2672">
        <v>0.112513799134453</v>
      </c>
      <c r="I2672">
        <v>5.06422898473637E-2</v>
      </c>
      <c r="J2672">
        <v>0.20003009030648</v>
      </c>
      <c r="K2672">
        <v>5.6235261190897202E-2</v>
      </c>
      <c r="L2672">
        <v>1352.68520465148</v>
      </c>
      <c r="M2672">
        <v>26.179941799748299</v>
      </c>
      <c r="N2672">
        <v>52.096137142209699</v>
      </c>
      <c r="O2672">
        <v>51.370120514546599</v>
      </c>
      <c r="P2672">
        <v>-0.115097450130759</v>
      </c>
      <c r="Q2672">
        <v>9.6636102877713903E-2</v>
      </c>
      <c r="R2672">
        <v>0.985767589986138</v>
      </c>
      <c r="S2672" t="s">
        <v>6301</v>
      </c>
      <c r="T2672" t="s">
        <v>7256</v>
      </c>
      <c r="U2672" t="s">
        <v>7256</v>
      </c>
      <c r="V2672" t="s">
        <v>7256</v>
      </c>
      <c r="W2672">
        <v>1</v>
      </c>
      <c r="X2672" t="s">
        <v>9928</v>
      </c>
      <c r="Y2672">
        <v>0.45552073412431421</v>
      </c>
      <c r="Z2672" t="str">
        <f>HYPERLINK("Melting_Curves/meltCurve_sp_Q9NUQ3_2_TXLNG_HUMAN_.pdf", "Melting_Curves/meltCurve_sp_Q9NUQ3_2_TXLNG_HUMAN_.pdf")</f>
        <v>Melting_Curves/meltCurve_sp_Q9NUQ3_2_TXLNG_HUMAN_.pdf</v>
      </c>
      <c r="AA2672" t="s">
        <v>13522</v>
      </c>
      <c r="AB2672" t="s">
        <v>17096</v>
      </c>
    </row>
    <row r="2673" spans="1:28" x14ac:dyDescent="0.25">
      <c r="A2673" t="s">
        <v>2677</v>
      </c>
      <c r="B2673">
        <v>0.98018197421672304</v>
      </c>
      <c r="C2673">
        <v>0.96519721813664305</v>
      </c>
      <c r="D2673">
        <v>0.82177843308381804</v>
      </c>
      <c r="E2673">
        <v>0.54047470326091496</v>
      </c>
      <c r="F2673">
        <v>0.446877858122046</v>
      </c>
      <c r="G2673">
        <v>0.34799510470480399</v>
      </c>
      <c r="H2673">
        <v>0.25641453452096502</v>
      </c>
      <c r="I2673">
        <v>0.27584661643722203</v>
      </c>
      <c r="J2673">
        <v>0.34745951803521902</v>
      </c>
      <c r="K2673">
        <v>0.288629351262568</v>
      </c>
      <c r="L2673">
        <v>910.60728940971899</v>
      </c>
      <c r="M2673">
        <v>18.697657000908102</v>
      </c>
      <c r="N2673">
        <v>51.081570879121401</v>
      </c>
      <c r="O2673">
        <v>48.154849780960603</v>
      </c>
      <c r="P2673">
        <v>-6.8849214751235593E-2</v>
      </c>
      <c r="Q2673">
        <v>0.29075968631093302</v>
      </c>
      <c r="R2673">
        <v>0.98982695432853296</v>
      </c>
      <c r="S2673" t="s">
        <v>6302</v>
      </c>
      <c r="T2673" t="s">
        <v>7256</v>
      </c>
      <c r="U2673" t="s">
        <v>7256</v>
      </c>
      <c r="V2673" t="s">
        <v>7256</v>
      </c>
      <c r="W2673">
        <v>5</v>
      </c>
      <c r="X2673" t="s">
        <v>9929</v>
      </c>
      <c r="Y2673">
        <v>0.50791967026024265</v>
      </c>
      <c r="Z2673" t="str">
        <f>HYPERLINK("Melting_Curves/meltCurve_sp_Q9NUQ6_SPS2L_HUMAN_.pdf", "Melting_Curves/meltCurve_sp_Q9NUQ6_SPS2L_HUMAN_.pdf")</f>
        <v>Melting_Curves/meltCurve_sp_Q9NUQ6_SPS2L_HUMAN_.pdf</v>
      </c>
      <c r="AA2673" t="s">
        <v>13523</v>
      </c>
      <c r="AB2673" t="s">
        <v>17097</v>
      </c>
    </row>
    <row r="2674" spans="1:28" x14ac:dyDescent="0.25">
      <c r="A2674" t="s">
        <v>2678</v>
      </c>
      <c r="B2674">
        <v>0.98018197421672304</v>
      </c>
      <c r="C2674">
        <v>0.77643310447330105</v>
      </c>
      <c r="D2674">
        <v>0.49689043344445899</v>
      </c>
      <c r="E2674">
        <v>0.35160346001693399</v>
      </c>
      <c r="F2674">
        <v>0.28623031848723701</v>
      </c>
      <c r="G2674">
        <v>0.18709063423914099</v>
      </c>
      <c r="H2674">
        <v>0.19229273084897899</v>
      </c>
      <c r="I2674">
        <v>0.19951152543425599</v>
      </c>
      <c r="J2674">
        <v>0.26660787947755699</v>
      </c>
      <c r="K2674">
        <v>0.27079861600210398</v>
      </c>
      <c r="L2674">
        <v>929.052541352047</v>
      </c>
      <c r="M2674">
        <v>20.710808084253799</v>
      </c>
      <c r="N2674">
        <v>46.2328842833032</v>
      </c>
      <c r="O2674">
        <v>44.446412205730503</v>
      </c>
      <c r="P2674">
        <v>-8.9716067150861903E-2</v>
      </c>
      <c r="Q2674">
        <v>0.22988150593052001</v>
      </c>
      <c r="R2674">
        <v>0.981221962807035</v>
      </c>
      <c r="S2674" t="s">
        <v>6303</v>
      </c>
      <c r="T2674" t="s">
        <v>7256</v>
      </c>
      <c r="U2674" t="s">
        <v>7256</v>
      </c>
      <c r="V2674" t="s">
        <v>7256</v>
      </c>
      <c r="W2674">
        <v>3</v>
      </c>
      <c r="X2674" t="s">
        <v>9930</v>
      </c>
      <c r="Y2674">
        <v>0.36681144976837221</v>
      </c>
      <c r="Z2674" t="str">
        <f>HYPERLINK("Melting_Curves/meltCurve_sp_Q9NUQ8_2_ABCF3_HUMAN_.pdf", "Melting_Curves/meltCurve_sp_Q9NUQ8_2_ABCF3_HUMAN_.pdf")</f>
        <v>Melting_Curves/meltCurve_sp_Q9NUQ8_2_ABCF3_HUMAN_.pdf</v>
      </c>
      <c r="AA2674" t="s">
        <v>13524</v>
      </c>
      <c r="AB2674" t="s">
        <v>17098</v>
      </c>
    </row>
    <row r="2675" spans="1:28" x14ac:dyDescent="0.25">
      <c r="A2675" t="s">
        <v>2679</v>
      </c>
      <c r="B2675">
        <v>0.98018197421672304</v>
      </c>
      <c r="C2675">
        <v>0.86954914491874402</v>
      </c>
      <c r="D2675">
        <v>0.90451765663449002</v>
      </c>
      <c r="E2675">
        <v>0.72243117159832804</v>
      </c>
      <c r="F2675">
        <v>0.61898962761078002</v>
      </c>
      <c r="G2675">
        <v>0.42167217062506801</v>
      </c>
      <c r="H2675">
        <v>0.106685995441777</v>
      </c>
      <c r="I2675">
        <v>5.4852908196431398E-2</v>
      </c>
      <c r="J2675">
        <v>5.4148224852226402E-2</v>
      </c>
      <c r="K2675">
        <v>4.9908849293095602E-2</v>
      </c>
      <c r="L2675">
        <v>739.69295208140602</v>
      </c>
      <c r="M2675">
        <v>13.638591052331201</v>
      </c>
      <c r="N2675">
        <v>54.235291023554097</v>
      </c>
      <c r="O2675">
        <v>53.109157657356</v>
      </c>
      <c r="P2675">
        <v>-6.4210159761175195E-2</v>
      </c>
      <c r="Q2675">
        <v>0</v>
      </c>
      <c r="R2675">
        <v>0.97798302967058703</v>
      </c>
      <c r="S2675" t="s">
        <v>6304</v>
      </c>
      <c r="T2675" t="s">
        <v>7256</v>
      </c>
      <c r="U2675" t="s">
        <v>7256</v>
      </c>
      <c r="V2675" t="s">
        <v>7256</v>
      </c>
      <c r="W2675">
        <v>3</v>
      </c>
      <c r="X2675" t="s">
        <v>9931</v>
      </c>
      <c r="Y2675">
        <v>0.49706107372121427</v>
      </c>
      <c r="Z2675" t="str">
        <f>HYPERLINK("Melting_Curves/meltCurve_sp_Q9NUQ9_FA49B_HUMAN_.pdf", "Melting_Curves/meltCurve_sp_Q9NUQ9_FA49B_HUMAN_.pdf")</f>
        <v>Melting_Curves/meltCurve_sp_Q9NUQ9_FA49B_HUMAN_.pdf</v>
      </c>
      <c r="AA2675" t="s">
        <v>13525</v>
      </c>
      <c r="AB2675" t="s">
        <v>17099</v>
      </c>
    </row>
    <row r="2676" spans="1:28" x14ac:dyDescent="0.25">
      <c r="A2676" t="s">
        <v>2680</v>
      </c>
      <c r="B2676">
        <v>0.98018197421672304</v>
      </c>
      <c r="C2676">
        <v>0.87149327997971704</v>
      </c>
      <c r="D2676">
        <v>0.77464744092287596</v>
      </c>
      <c r="E2676">
        <v>0.58832614122698301</v>
      </c>
      <c r="F2676">
        <v>0.29528437598975998</v>
      </c>
      <c r="G2676">
        <v>0.14166353656377001</v>
      </c>
      <c r="H2676">
        <v>9.6720402509307996E-2</v>
      </c>
      <c r="I2676">
        <v>6.5238168920688497E-2</v>
      </c>
      <c r="J2676">
        <v>9.6216410777810499E-2</v>
      </c>
      <c r="K2676">
        <v>9.96394938347262E-2</v>
      </c>
      <c r="L2676">
        <v>755.26732481080796</v>
      </c>
      <c r="M2676">
        <v>15.1493289433709</v>
      </c>
      <c r="N2676">
        <v>50.230868291129497</v>
      </c>
      <c r="O2676">
        <v>49.010322009218903</v>
      </c>
      <c r="P2676">
        <v>-7.3140735814198804E-2</v>
      </c>
      <c r="Q2676">
        <v>5.3607173625608302E-2</v>
      </c>
      <c r="R2676">
        <v>0.98920529641399801</v>
      </c>
      <c r="S2676" t="s">
        <v>6305</v>
      </c>
      <c r="T2676" t="s">
        <v>7256</v>
      </c>
      <c r="U2676" t="s">
        <v>7256</v>
      </c>
      <c r="V2676" t="s">
        <v>7256</v>
      </c>
      <c r="W2676">
        <v>4</v>
      </c>
      <c r="X2676" t="s">
        <v>9932</v>
      </c>
      <c r="Y2676">
        <v>0.38676778963952702</v>
      </c>
      <c r="Z2676" t="str">
        <f>HYPERLINK("Melting_Curves/meltCurve_sp_Q9NUV9_GIMA4_HUMAN_.pdf", "Melting_Curves/meltCurve_sp_Q9NUV9_GIMA4_HUMAN_.pdf")</f>
        <v>Melting_Curves/meltCurve_sp_Q9NUV9_GIMA4_HUMAN_.pdf</v>
      </c>
      <c r="AA2676" t="s">
        <v>13526</v>
      </c>
      <c r="AB2676" t="s">
        <v>17100</v>
      </c>
    </row>
    <row r="2677" spans="1:28" x14ac:dyDescent="0.25">
      <c r="A2677" t="s">
        <v>2681</v>
      </c>
      <c r="B2677">
        <v>0.98018197421672304</v>
      </c>
      <c r="C2677">
        <v>0.88154707642658003</v>
      </c>
      <c r="D2677">
        <v>0.78724427737493297</v>
      </c>
      <c r="E2677">
        <v>0.70716175720949204</v>
      </c>
      <c r="F2677">
        <v>0.41570104149181603</v>
      </c>
      <c r="G2677">
        <v>0.120232658850761</v>
      </c>
      <c r="H2677">
        <v>3.2769395612020698E-2</v>
      </c>
      <c r="I2677">
        <v>2.2422549123873699E-2</v>
      </c>
      <c r="J2677">
        <v>1.37179623732997E-2</v>
      </c>
      <c r="K2677">
        <v>1.58488656522634E-2</v>
      </c>
      <c r="L2677">
        <v>845.35448329067299</v>
      </c>
      <c r="M2677">
        <v>16.386116892266099</v>
      </c>
      <c r="N2677">
        <v>51.589677360316102</v>
      </c>
      <c r="O2677">
        <v>50.8397067514721</v>
      </c>
      <c r="P2677">
        <v>-8.0583150741491305E-2</v>
      </c>
      <c r="Q2677">
        <v>0</v>
      </c>
      <c r="R2677">
        <v>0.98117235526572699</v>
      </c>
      <c r="S2677" t="s">
        <v>6306</v>
      </c>
      <c r="T2677" t="s">
        <v>7256</v>
      </c>
      <c r="U2677" t="s">
        <v>7256</v>
      </c>
      <c r="V2677" t="s">
        <v>7256</v>
      </c>
      <c r="W2677">
        <v>1</v>
      </c>
      <c r="X2677" t="s">
        <v>9933</v>
      </c>
      <c r="Y2677">
        <v>0.40596228486425351</v>
      </c>
      <c r="Z2677" t="str">
        <f>HYPERLINK("Melting_Curves/meltCurve_sp_Q9NUY8_2_TBC23_HUMAN_.pdf", "Melting_Curves/meltCurve_sp_Q9NUY8_2_TBC23_HUMAN_.pdf")</f>
        <v>Melting_Curves/meltCurve_sp_Q9NUY8_2_TBC23_HUMAN_.pdf</v>
      </c>
      <c r="AA2677" t="s">
        <v>13527</v>
      </c>
      <c r="AB2677" t="s">
        <v>17101</v>
      </c>
    </row>
    <row r="2678" spans="1:28" x14ac:dyDescent="0.25">
      <c r="A2678" t="s">
        <v>2682</v>
      </c>
      <c r="B2678">
        <v>0.98018197421672304</v>
      </c>
      <c r="C2678">
        <v>0.93021946188483395</v>
      </c>
      <c r="D2678">
        <v>0.80922850255051304</v>
      </c>
      <c r="E2678">
        <v>0.36011336194330101</v>
      </c>
      <c r="F2678">
        <v>0.13876587559391701</v>
      </c>
      <c r="G2678">
        <v>9.0352187096450098E-2</v>
      </c>
      <c r="H2678">
        <v>5.7369460242467203E-2</v>
      </c>
      <c r="I2678">
        <v>4.5229361792428903E-2</v>
      </c>
      <c r="J2678">
        <v>5.9223189148385702E-2</v>
      </c>
      <c r="K2678">
        <v>4.6495007900381698E-2</v>
      </c>
      <c r="L2678">
        <v>1176.89161476974</v>
      </c>
      <c r="M2678">
        <v>24.2781088793643</v>
      </c>
      <c r="N2678">
        <v>48.687336797032401</v>
      </c>
      <c r="O2678">
        <v>48.1501322355697</v>
      </c>
      <c r="P2678">
        <v>-0.11973570361748199</v>
      </c>
      <c r="Q2678">
        <v>5.0139755350371303E-2</v>
      </c>
      <c r="R2678">
        <v>0.99858335776770302</v>
      </c>
      <c r="S2678" t="s">
        <v>6307</v>
      </c>
      <c r="T2678" t="s">
        <v>7256</v>
      </c>
      <c r="U2678" t="s">
        <v>7256</v>
      </c>
      <c r="V2678" t="s">
        <v>7256</v>
      </c>
      <c r="W2678">
        <v>6</v>
      </c>
      <c r="X2678" t="s">
        <v>9934</v>
      </c>
      <c r="Y2678">
        <v>0.327416232673161</v>
      </c>
      <c r="Z2678" t="str">
        <f>HYPERLINK("Melting_Curves/meltCurve_sp_Q9NV70_2_EXOC1_HUMAN_.pdf", "Melting_Curves/meltCurve_sp_Q9NV70_2_EXOC1_HUMAN_.pdf")</f>
        <v>Melting_Curves/meltCurve_sp_Q9NV70_2_EXOC1_HUMAN_.pdf</v>
      </c>
      <c r="AA2678" t="s">
        <v>13528</v>
      </c>
      <c r="AB2678" t="s">
        <v>17102</v>
      </c>
    </row>
    <row r="2679" spans="1:28" x14ac:dyDescent="0.25">
      <c r="A2679" t="s">
        <v>2683</v>
      </c>
      <c r="B2679">
        <v>0.98018197421672304</v>
      </c>
      <c r="C2679">
        <v>0.91502002684464001</v>
      </c>
      <c r="D2679">
        <v>0.80521992039206702</v>
      </c>
      <c r="E2679">
        <v>0.60786985160692997</v>
      </c>
      <c r="F2679">
        <v>0.29401845543973598</v>
      </c>
      <c r="G2679">
        <v>0.125760292568943</v>
      </c>
      <c r="H2679">
        <v>7.3575117837955797E-2</v>
      </c>
      <c r="I2679">
        <v>5.1507325815800101E-2</v>
      </c>
      <c r="J2679">
        <v>4.27393152984522E-2</v>
      </c>
      <c r="K2679">
        <v>4.4892602188045402E-2</v>
      </c>
      <c r="L2679">
        <v>829.12508144281901</v>
      </c>
      <c r="M2679">
        <v>16.4332150151997</v>
      </c>
      <c r="N2679">
        <v>50.582320245661499</v>
      </c>
      <c r="O2679">
        <v>49.724843851853798</v>
      </c>
      <c r="P2679">
        <v>-8.0942540649679706E-2</v>
      </c>
      <c r="Q2679">
        <v>2.0381578166875299E-2</v>
      </c>
      <c r="R2679">
        <v>0.99447719265716195</v>
      </c>
      <c r="S2679" t="s">
        <v>6308</v>
      </c>
      <c r="T2679" t="s">
        <v>7256</v>
      </c>
      <c r="U2679" t="s">
        <v>7256</v>
      </c>
      <c r="V2679" t="s">
        <v>7256</v>
      </c>
      <c r="W2679">
        <v>8</v>
      </c>
      <c r="X2679" t="s">
        <v>9935</v>
      </c>
      <c r="Y2679">
        <v>0.38136860346388901</v>
      </c>
      <c r="Z2679" t="str">
        <f>HYPERLINK("Melting_Curves/meltCurve_sp_Q9NVD7_PARVA_HUMAN_.pdf", "Melting_Curves/meltCurve_sp_Q9NVD7_PARVA_HUMAN_.pdf")</f>
        <v>Melting_Curves/meltCurve_sp_Q9NVD7_PARVA_HUMAN_.pdf</v>
      </c>
      <c r="AA2679" t="s">
        <v>13529</v>
      </c>
      <c r="AB2679" t="s">
        <v>17103</v>
      </c>
    </row>
    <row r="2680" spans="1:28" x14ac:dyDescent="0.25">
      <c r="A2680" t="s">
        <v>2684</v>
      </c>
      <c r="B2680">
        <v>0.98018197421672304</v>
      </c>
      <c r="C2680">
        <v>0.90073951029499599</v>
      </c>
      <c r="D2680">
        <v>0.59977258931490396</v>
      </c>
      <c r="E2680">
        <v>0.17504015843496901</v>
      </c>
      <c r="F2680">
        <v>9.17991702323641E-2</v>
      </c>
      <c r="G2680">
        <v>5.8406061495263499E-2</v>
      </c>
      <c r="H2680">
        <v>4.0241144178494899E-2</v>
      </c>
      <c r="I2680">
        <v>3.5614453589667902E-2</v>
      </c>
      <c r="J2680">
        <v>3.6692502356965397E-2</v>
      </c>
      <c r="K2680">
        <v>1.8957811804372698E-2</v>
      </c>
      <c r="L2680">
        <v>1167.8587640291501</v>
      </c>
      <c r="M2680">
        <v>25.057780138562901</v>
      </c>
      <c r="N2680">
        <v>46.745391635162697</v>
      </c>
      <c r="O2680">
        <v>46.312839289427401</v>
      </c>
      <c r="P2680">
        <v>-0.13041742899417899</v>
      </c>
      <c r="Q2680">
        <v>3.5841023116693897E-2</v>
      </c>
      <c r="R2680">
        <v>0.99946234855296801</v>
      </c>
      <c r="S2680" t="s">
        <v>6309</v>
      </c>
      <c r="T2680" t="s">
        <v>7256</v>
      </c>
      <c r="U2680" t="s">
        <v>7256</v>
      </c>
      <c r="V2680" t="s">
        <v>7256</v>
      </c>
      <c r="W2680">
        <v>8</v>
      </c>
      <c r="X2680" t="s">
        <v>9936</v>
      </c>
      <c r="Y2680">
        <v>0.25681673529790849</v>
      </c>
      <c r="Z2680" t="str">
        <f>HYPERLINK("Melting_Curves/meltCurve_sp_Q9NVE7_PANK4_HUMAN_.pdf", "Melting_Curves/meltCurve_sp_Q9NVE7_PANK4_HUMAN_.pdf")</f>
        <v>Melting_Curves/meltCurve_sp_Q9NVE7_PANK4_HUMAN_.pdf</v>
      </c>
      <c r="AA2680" t="s">
        <v>13530</v>
      </c>
      <c r="AB2680" t="s">
        <v>17104</v>
      </c>
    </row>
    <row r="2681" spans="1:28" x14ac:dyDescent="0.25">
      <c r="A2681" t="s">
        <v>2685</v>
      </c>
      <c r="B2681">
        <v>0.98018197421672304</v>
      </c>
      <c r="C2681">
        <v>0.88853090727462603</v>
      </c>
      <c r="D2681">
        <v>0.68133127196742804</v>
      </c>
      <c r="E2681">
        <v>0.45762351530866502</v>
      </c>
      <c r="F2681">
        <v>0.48367306359357698</v>
      </c>
      <c r="G2681">
        <v>0.473145912702164</v>
      </c>
      <c r="H2681">
        <v>0.129574427006825</v>
      </c>
      <c r="I2681">
        <v>4.6054054380591201E-2</v>
      </c>
      <c r="J2681">
        <v>0.66572261109911801</v>
      </c>
      <c r="K2681">
        <v>1.1115179962230199</v>
      </c>
      <c r="L2681">
        <v>1360.61699810358</v>
      </c>
      <c r="M2681">
        <v>30.209286802230402</v>
      </c>
      <c r="N2681">
        <v>50.270827795102598</v>
      </c>
      <c r="O2681">
        <v>44.843712277401202</v>
      </c>
      <c r="P2681">
        <v>-8.7839487492332599E-2</v>
      </c>
      <c r="Q2681">
        <v>0.47843540804425799</v>
      </c>
      <c r="R2681">
        <v>0.30628623348043499</v>
      </c>
      <c r="S2681" t="s">
        <v>6310</v>
      </c>
      <c r="T2681" t="s">
        <v>7256</v>
      </c>
      <c r="U2681" t="s">
        <v>7256</v>
      </c>
      <c r="V2681" t="s">
        <v>7256</v>
      </c>
      <c r="W2681">
        <v>3</v>
      </c>
      <c r="X2681" t="s">
        <v>9937</v>
      </c>
      <c r="Y2681">
        <v>0.56934364867646481</v>
      </c>
      <c r="Z2681" t="str">
        <f>HYPERLINK("Melting_Curves/meltCurve_sp_Q9NVF9_EKI2_HUMAN_.pdf", "Melting_Curves/meltCurve_sp_Q9NVF9_EKI2_HUMAN_.pdf")</f>
        <v>Melting_Curves/meltCurve_sp_Q9NVF9_EKI2_HUMAN_.pdf</v>
      </c>
      <c r="AA2681" t="s">
        <v>13531</v>
      </c>
      <c r="AB2681" t="s">
        <v>17105</v>
      </c>
    </row>
    <row r="2682" spans="1:28" x14ac:dyDescent="0.25">
      <c r="A2682" t="s">
        <v>2686</v>
      </c>
      <c r="B2682">
        <v>0.98018197421672304</v>
      </c>
      <c r="C2682">
        <v>0.97006565283948099</v>
      </c>
      <c r="D2682">
        <v>0.91020314228375998</v>
      </c>
      <c r="E2682">
        <v>0.802269553978876</v>
      </c>
      <c r="F2682">
        <v>0.62875673546308597</v>
      </c>
      <c r="G2682">
        <v>0.326391112133251</v>
      </c>
      <c r="H2682">
        <v>0.10077369426850299</v>
      </c>
      <c r="I2682">
        <v>6.4636999177557497E-2</v>
      </c>
      <c r="J2682">
        <v>5.0306444842893497E-2</v>
      </c>
      <c r="K2682">
        <v>3.5243678814115498E-2</v>
      </c>
      <c r="L2682">
        <v>906.23282940609397</v>
      </c>
      <c r="M2682">
        <v>16.673893877261399</v>
      </c>
      <c r="N2682">
        <v>54.350401732600098</v>
      </c>
      <c r="O2682">
        <v>53.586683641887397</v>
      </c>
      <c r="P2682">
        <v>-7.7794543716199205E-2</v>
      </c>
      <c r="Q2682">
        <v>0</v>
      </c>
      <c r="R2682">
        <v>0.996623295912614</v>
      </c>
      <c r="S2682" t="s">
        <v>6311</v>
      </c>
      <c r="T2682" t="s">
        <v>7256</v>
      </c>
      <c r="U2682" t="s">
        <v>7256</v>
      </c>
      <c r="V2682" t="s">
        <v>7256</v>
      </c>
      <c r="W2682">
        <v>6</v>
      </c>
      <c r="X2682" t="s">
        <v>9938</v>
      </c>
      <c r="Y2682">
        <v>0.49595477697552037</v>
      </c>
      <c r="Z2682" t="str">
        <f>HYPERLINK("Melting_Curves/meltCurve_sp_Q9NVG8_TBC13_HUMAN_.pdf", "Melting_Curves/meltCurve_sp_Q9NVG8_TBC13_HUMAN_.pdf")</f>
        <v>Melting_Curves/meltCurve_sp_Q9NVG8_TBC13_HUMAN_.pdf</v>
      </c>
      <c r="AA2682" t="s">
        <v>13532</v>
      </c>
      <c r="AB2682" t="s">
        <v>17106</v>
      </c>
    </row>
    <row r="2683" spans="1:28" x14ac:dyDescent="0.25">
      <c r="A2683" t="s">
        <v>2687</v>
      </c>
      <c r="B2683">
        <v>0.98018197421672304</v>
      </c>
      <c r="C2683">
        <v>0.929985970293282</v>
      </c>
      <c r="D2683">
        <v>0.85934859841384803</v>
      </c>
      <c r="E2683">
        <v>0.713638648387934</v>
      </c>
      <c r="F2683">
        <v>0.64602463660304599</v>
      </c>
      <c r="G2683">
        <v>0.53294741145452795</v>
      </c>
      <c r="H2683">
        <v>0.32418924525598197</v>
      </c>
      <c r="I2683">
        <v>0.170270289013426</v>
      </c>
      <c r="J2683">
        <v>0.109095789561484</v>
      </c>
      <c r="K2683">
        <v>7.7980987559227694E-2</v>
      </c>
      <c r="L2683">
        <v>561.58651741571998</v>
      </c>
      <c r="M2683">
        <v>10.0666669033431</v>
      </c>
      <c r="N2683">
        <v>55.7867388281269</v>
      </c>
      <c r="O2683">
        <v>53.719433262165602</v>
      </c>
      <c r="P2683">
        <v>-4.6870563906928099E-2</v>
      </c>
      <c r="Q2683">
        <v>0</v>
      </c>
      <c r="R2683">
        <v>0.98293826802753403</v>
      </c>
      <c r="S2683" t="s">
        <v>6312</v>
      </c>
      <c r="T2683" t="s">
        <v>7256</v>
      </c>
      <c r="U2683" t="s">
        <v>7256</v>
      </c>
      <c r="V2683" t="s">
        <v>7256</v>
      </c>
      <c r="W2683">
        <v>10</v>
      </c>
      <c r="X2683" t="s">
        <v>9939</v>
      </c>
      <c r="Y2683">
        <v>0.54836844052557443</v>
      </c>
      <c r="Z2683" t="str">
        <f>HYPERLINK("Melting_Curves/meltCurve_sp_Q9NVH6_TMLH_HUMAN_.pdf", "Melting_Curves/meltCurve_sp_Q9NVH6_TMLH_HUMAN_.pdf")</f>
        <v>Melting_Curves/meltCurve_sp_Q9NVH6_TMLH_HUMAN_.pdf</v>
      </c>
      <c r="AA2683" t="s">
        <v>13533</v>
      </c>
      <c r="AB2683" t="s">
        <v>17107</v>
      </c>
    </row>
    <row r="2684" spans="1:28" x14ac:dyDescent="0.25">
      <c r="A2684" t="s">
        <v>2688</v>
      </c>
      <c r="B2684">
        <v>0.98018197421672304</v>
      </c>
      <c r="C2684">
        <v>1.31374811317417</v>
      </c>
      <c r="D2684">
        <v>0.90867096088701704</v>
      </c>
      <c r="E2684">
        <v>0.74521533824525799</v>
      </c>
      <c r="F2684">
        <v>0.49785416565959101</v>
      </c>
      <c r="G2684">
        <v>0.30966878957101601</v>
      </c>
      <c r="H2684">
        <v>0.19909316502612701</v>
      </c>
      <c r="I2684">
        <v>0.17628120937818301</v>
      </c>
      <c r="J2684">
        <v>0.187341121042674</v>
      </c>
      <c r="K2684">
        <v>0.14471487017963799</v>
      </c>
      <c r="L2684">
        <v>1122.95148757422</v>
      </c>
      <c r="M2684">
        <v>21.5705470304095</v>
      </c>
      <c r="N2684">
        <v>53.061293061520097</v>
      </c>
      <c r="O2684">
        <v>51.618268130508</v>
      </c>
      <c r="P2684">
        <v>-8.6999329032018E-2</v>
      </c>
      <c r="Q2684">
        <v>0.16726373549531301</v>
      </c>
      <c r="R2684">
        <v>0.930416715934412</v>
      </c>
      <c r="S2684" t="s">
        <v>6313</v>
      </c>
      <c r="T2684" t="s">
        <v>7256</v>
      </c>
      <c r="U2684" t="s">
        <v>7256</v>
      </c>
      <c r="V2684" t="s">
        <v>7256</v>
      </c>
      <c r="W2684">
        <v>13</v>
      </c>
      <c r="X2684" t="s">
        <v>9940</v>
      </c>
      <c r="Y2684">
        <v>0.51205348781660753</v>
      </c>
      <c r="Z2684" t="str">
        <f>HYPERLINK("Melting_Curves/meltCurve_sp_Q9NVS9_PNPO_HUMAN_.pdf", "Melting_Curves/meltCurve_sp_Q9NVS9_PNPO_HUMAN_.pdf")</f>
        <v>Melting_Curves/meltCurve_sp_Q9NVS9_PNPO_HUMAN_.pdf</v>
      </c>
      <c r="AA2684" t="s">
        <v>13534</v>
      </c>
      <c r="AB2684" t="s">
        <v>17108</v>
      </c>
    </row>
    <row r="2685" spans="1:28" x14ac:dyDescent="0.25">
      <c r="A2685" t="s">
        <v>2689</v>
      </c>
      <c r="B2685">
        <v>0.98018197421672304</v>
      </c>
      <c r="C2685">
        <v>0.84292399295485398</v>
      </c>
      <c r="D2685">
        <v>0.95544553018797296</v>
      </c>
      <c r="E2685">
        <v>0.706939166082309</v>
      </c>
      <c r="F2685">
        <v>0.49870484661863901</v>
      </c>
      <c r="G2685">
        <v>0.25672771853835002</v>
      </c>
      <c r="H2685">
        <v>0.160590614255189</v>
      </c>
      <c r="I2685">
        <v>0.12513259223579301</v>
      </c>
      <c r="J2685">
        <v>0.11291410451719</v>
      </c>
      <c r="K2685">
        <v>8.1281529468840999E-2</v>
      </c>
      <c r="L2685">
        <v>816.13450386983004</v>
      </c>
      <c r="M2685">
        <v>15.570475986444199</v>
      </c>
      <c r="N2685">
        <v>52.918421019792603</v>
      </c>
      <c r="O2685">
        <v>51.573765180867802</v>
      </c>
      <c r="P2685">
        <v>-7.0292116271667801E-2</v>
      </c>
      <c r="Q2685">
        <v>6.8772787934890403E-2</v>
      </c>
      <c r="R2685">
        <v>0.98383252707591096</v>
      </c>
      <c r="S2685" t="s">
        <v>6314</v>
      </c>
      <c r="T2685" t="s">
        <v>7256</v>
      </c>
      <c r="U2685" t="s">
        <v>7256</v>
      </c>
      <c r="V2685" t="s">
        <v>7256</v>
      </c>
      <c r="W2685">
        <v>4</v>
      </c>
      <c r="X2685" t="s">
        <v>9941</v>
      </c>
      <c r="Y2685">
        <v>0.47355851304419688</v>
      </c>
      <c r="Z2685" t="str">
        <f>HYPERLINK("Melting_Curves/meltCurve_sp_Q9NVT9_ARMC1_HUMAN_.pdf", "Melting_Curves/meltCurve_sp_Q9NVT9_ARMC1_HUMAN_.pdf")</f>
        <v>Melting_Curves/meltCurve_sp_Q9NVT9_ARMC1_HUMAN_.pdf</v>
      </c>
      <c r="AA2685" t="s">
        <v>13535</v>
      </c>
      <c r="AB2685" t="s">
        <v>17109</v>
      </c>
    </row>
    <row r="2686" spans="1:28" x14ac:dyDescent="0.25">
      <c r="A2686" t="s">
        <v>2690</v>
      </c>
      <c r="B2686">
        <v>0.98018197421672304</v>
      </c>
      <c r="C2686">
        <v>0.90339228754418899</v>
      </c>
      <c r="D2686">
        <v>0.96327282223075394</v>
      </c>
      <c r="E2686">
        <v>0.60131510078218098</v>
      </c>
      <c r="F2686">
        <v>0.65555085544021696</v>
      </c>
      <c r="G2686">
        <v>0.45943712523879099</v>
      </c>
      <c r="H2686">
        <v>0.38109257258347901</v>
      </c>
      <c r="I2686">
        <v>0.334991382823566</v>
      </c>
      <c r="J2686">
        <v>0.35858796216247801</v>
      </c>
      <c r="K2686">
        <v>0.20052605339887999</v>
      </c>
      <c r="L2686">
        <v>531.02597067361103</v>
      </c>
      <c r="M2686">
        <v>10.008426978231901</v>
      </c>
      <c r="N2686">
        <v>56.006557259198402</v>
      </c>
      <c r="O2686">
        <v>51.070168559787597</v>
      </c>
      <c r="P2686">
        <v>-3.8978902865112998E-2</v>
      </c>
      <c r="Q2686">
        <v>0.20479246371554999</v>
      </c>
      <c r="R2686">
        <v>0.94777472006732599</v>
      </c>
      <c r="S2686" t="s">
        <v>6315</v>
      </c>
      <c r="T2686" t="s">
        <v>7256</v>
      </c>
      <c r="U2686" t="s">
        <v>7256</v>
      </c>
      <c r="V2686" t="s">
        <v>7256</v>
      </c>
      <c r="W2686">
        <v>2</v>
      </c>
      <c r="X2686" t="s">
        <v>9942</v>
      </c>
      <c r="Y2686">
        <v>0.57792213867320197</v>
      </c>
      <c r="Z2686" t="str">
        <f>HYPERLINK("Melting_Curves/meltCurve_sp_Q9NVX2_NLE1_HUMAN_.pdf", "Melting_Curves/meltCurve_sp_Q9NVX2_NLE1_HUMAN_.pdf")</f>
        <v>Melting_Curves/meltCurve_sp_Q9NVX2_NLE1_HUMAN_.pdf</v>
      </c>
      <c r="AA2686" t="s">
        <v>13536</v>
      </c>
      <c r="AB2686" t="s">
        <v>17110</v>
      </c>
    </row>
    <row r="2687" spans="1:28" x14ac:dyDescent="0.25">
      <c r="A2687" t="s">
        <v>2691</v>
      </c>
      <c r="B2687">
        <v>0.98018197421672304</v>
      </c>
      <c r="C2687">
        <v>1.0559570772076099</v>
      </c>
      <c r="D2687">
        <v>0.84545695249361696</v>
      </c>
      <c r="E2687">
        <v>0.75994401925711497</v>
      </c>
      <c r="F2687">
        <v>0.55813794459138</v>
      </c>
      <c r="G2687">
        <v>0.34999515702522299</v>
      </c>
      <c r="H2687">
        <v>0.24448325317991099</v>
      </c>
      <c r="I2687">
        <v>0.17657343662830699</v>
      </c>
      <c r="J2687">
        <v>0.137721688660008</v>
      </c>
      <c r="K2687">
        <v>7.1423589415105695E-2</v>
      </c>
      <c r="L2687">
        <v>683.26466035777798</v>
      </c>
      <c r="M2687">
        <v>12.7048505989231</v>
      </c>
      <c r="N2687">
        <v>54.262095461189901</v>
      </c>
      <c r="O2687">
        <v>52.499653784719399</v>
      </c>
      <c r="P2687">
        <v>-5.7280849214650001E-2</v>
      </c>
      <c r="Q2687">
        <v>5.3387072625648999E-2</v>
      </c>
      <c r="R2687">
        <v>0.98860009248715497</v>
      </c>
      <c r="S2687" t="s">
        <v>6316</v>
      </c>
      <c r="T2687" t="s">
        <v>7256</v>
      </c>
      <c r="U2687" t="s">
        <v>7256</v>
      </c>
      <c r="V2687" t="s">
        <v>7256</v>
      </c>
      <c r="W2687">
        <v>2</v>
      </c>
      <c r="X2687" t="s">
        <v>9943</v>
      </c>
      <c r="Y2687">
        <v>0.5120180759729327</v>
      </c>
      <c r="Z2687" t="str">
        <f>HYPERLINK("Melting_Curves/meltCurve_sp_Q9NVZ3_NECP2_HUMAN_.pdf", "Melting_Curves/meltCurve_sp_Q9NVZ3_NECP2_HUMAN_.pdf")</f>
        <v>Melting_Curves/meltCurve_sp_Q9NVZ3_NECP2_HUMAN_.pdf</v>
      </c>
      <c r="AA2687" t="s">
        <v>13537</v>
      </c>
      <c r="AB2687" t="s">
        <v>17111</v>
      </c>
    </row>
    <row r="2688" spans="1:28" x14ac:dyDescent="0.25">
      <c r="A2688" t="s">
        <v>2692</v>
      </c>
      <c r="B2688">
        <v>0.98018197421672304</v>
      </c>
      <c r="C2688">
        <v>0.98728467769810402</v>
      </c>
      <c r="D2688">
        <v>0.95999762413954104</v>
      </c>
      <c r="E2688">
        <v>0.69037004924024903</v>
      </c>
      <c r="F2688">
        <v>0.59668536406040595</v>
      </c>
      <c r="G2688">
        <v>0.31032592980429202</v>
      </c>
      <c r="H2688">
        <v>0.26349948981723198</v>
      </c>
      <c r="I2688">
        <v>0.15340049534948899</v>
      </c>
      <c r="J2688">
        <v>0.139246082936478</v>
      </c>
      <c r="K2688">
        <v>0.105118233709024</v>
      </c>
      <c r="L2688">
        <v>767.72777195135905</v>
      </c>
      <c r="M2688">
        <v>14.4229640465763</v>
      </c>
      <c r="N2688">
        <v>53.9908176828771</v>
      </c>
      <c r="O2688">
        <v>52.237641933097798</v>
      </c>
      <c r="P2688">
        <v>-6.2682058429184007E-2</v>
      </c>
      <c r="Q2688">
        <v>9.2009868436610798E-2</v>
      </c>
      <c r="R2688">
        <v>0.99157045292697699</v>
      </c>
      <c r="S2688" t="s">
        <v>6317</v>
      </c>
      <c r="T2688" t="s">
        <v>7256</v>
      </c>
      <c r="U2688" t="s">
        <v>7256</v>
      </c>
      <c r="V2688" t="s">
        <v>7256</v>
      </c>
      <c r="W2688">
        <v>2</v>
      </c>
      <c r="X2688" t="s">
        <v>9944</v>
      </c>
      <c r="Y2688">
        <v>0.51280448443878823</v>
      </c>
      <c r="Z2688" t="str">
        <f>HYPERLINK("Melting_Curves/meltCurve_sp_Q9NW64_RBM22_HUMAN_.pdf", "Melting_Curves/meltCurve_sp_Q9NW64_RBM22_HUMAN_.pdf")</f>
        <v>Melting_Curves/meltCurve_sp_Q9NW64_RBM22_HUMAN_.pdf</v>
      </c>
      <c r="AA2688" t="s">
        <v>13538</v>
      </c>
      <c r="AB2688" t="s">
        <v>17112</v>
      </c>
    </row>
    <row r="2689" spans="1:28" x14ac:dyDescent="0.25">
      <c r="A2689" t="s">
        <v>2693</v>
      </c>
      <c r="B2689">
        <v>0.98018197421672304</v>
      </c>
      <c r="C2689">
        <v>0.99761440044997096</v>
      </c>
      <c r="D2689">
        <v>0.97082719535287898</v>
      </c>
      <c r="E2689">
        <v>0.80229378023850895</v>
      </c>
      <c r="F2689">
        <v>0.7978845044924</v>
      </c>
      <c r="G2689">
        <v>0.61420709660363604</v>
      </c>
      <c r="H2689">
        <v>0.56540579030532101</v>
      </c>
      <c r="I2689">
        <v>0.61458090495880402</v>
      </c>
      <c r="J2689">
        <v>0.66818578969568299</v>
      </c>
      <c r="K2689">
        <v>0.93857055751129403</v>
      </c>
      <c r="L2689">
        <v>1347.1387127722601</v>
      </c>
      <c r="M2689">
        <v>27.184375416961799</v>
      </c>
      <c r="O2689">
        <v>49.289778806650901</v>
      </c>
      <c r="P2689">
        <v>-4.3132648713471E-2</v>
      </c>
      <c r="Q2689">
        <v>0.68717640463409302</v>
      </c>
      <c r="R2689">
        <v>0.63217107395852601</v>
      </c>
      <c r="S2689" t="s">
        <v>6318</v>
      </c>
      <c r="T2689" t="s">
        <v>7256</v>
      </c>
      <c r="U2689" t="s">
        <v>7256</v>
      </c>
      <c r="V2689" t="s">
        <v>7256</v>
      </c>
      <c r="W2689">
        <v>7</v>
      </c>
      <c r="X2689" t="s">
        <v>9945</v>
      </c>
      <c r="Y2689">
        <v>0.78916515900400086</v>
      </c>
      <c r="Z2689" t="str">
        <f>HYPERLINK("Melting_Curves/meltCurve_sp_Q9NW68_4_BSDC1_HUMAN_.pdf", "Melting_Curves/meltCurve_sp_Q9NW68_4_BSDC1_HUMAN_.pdf")</f>
        <v>Melting_Curves/meltCurve_sp_Q9NW68_4_BSDC1_HUMAN_.pdf</v>
      </c>
      <c r="AA2689" t="s">
        <v>13539</v>
      </c>
      <c r="AB2689" t="s">
        <v>17113</v>
      </c>
    </row>
    <row r="2690" spans="1:28" x14ac:dyDescent="0.25">
      <c r="A2690" t="s">
        <v>2694</v>
      </c>
      <c r="B2690">
        <v>0.98018197421672304</v>
      </c>
      <c r="C2690">
        <v>0.845394335667362</v>
      </c>
      <c r="D2690">
        <v>0.733331554972945</v>
      </c>
      <c r="E2690">
        <v>0.67106077509860196</v>
      </c>
      <c r="F2690">
        <v>0.47240168230483298</v>
      </c>
      <c r="G2690">
        <v>0.21174687920289201</v>
      </c>
      <c r="H2690">
        <v>0.141718948400191</v>
      </c>
      <c r="I2690">
        <v>0.105655426374932</v>
      </c>
      <c r="J2690">
        <v>0.15898095805308601</v>
      </c>
      <c r="K2690">
        <v>0.13148534412441601</v>
      </c>
      <c r="L2690">
        <v>567.74896203065498</v>
      </c>
      <c r="M2690">
        <v>11.0945703773244</v>
      </c>
      <c r="N2690">
        <v>51.6483589582025</v>
      </c>
      <c r="O2690">
        <v>49.5954182316231</v>
      </c>
      <c r="P2690">
        <v>-5.3231563544810998E-2</v>
      </c>
      <c r="Q2690">
        <v>4.8478726647376298E-2</v>
      </c>
      <c r="R2690">
        <v>0.97421041295312905</v>
      </c>
      <c r="S2690" t="s">
        <v>6319</v>
      </c>
      <c r="T2690" t="s">
        <v>7256</v>
      </c>
      <c r="U2690" t="s">
        <v>7256</v>
      </c>
      <c r="V2690" t="s">
        <v>7256</v>
      </c>
      <c r="W2690">
        <v>3</v>
      </c>
      <c r="X2690" t="s">
        <v>9946</v>
      </c>
      <c r="Y2690">
        <v>0.43705029282011443</v>
      </c>
      <c r="Z2690" t="str">
        <f>HYPERLINK("Melting_Curves/meltCurve_sp_Q9NW82_WDR70_HUMAN_.pdf", "Melting_Curves/meltCurve_sp_Q9NW82_WDR70_HUMAN_.pdf")</f>
        <v>Melting_Curves/meltCurve_sp_Q9NW82_WDR70_HUMAN_.pdf</v>
      </c>
      <c r="AA2690" t="s">
        <v>13540</v>
      </c>
      <c r="AB2690" t="s">
        <v>17114</v>
      </c>
    </row>
    <row r="2691" spans="1:28" x14ac:dyDescent="0.25">
      <c r="A2691" t="s">
        <v>2695</v>
      </c>
      <c r="B2691">
        <v>0.98018197421672304</v>
      </c>
      <c r="C2691">
        <v>0.76252754689302804</v>
      </c>
      <c r="D2691">
        <v>0.83503593249348596</v>
      </c>
      <c r="E2691">
        <v>0.73829048928853502</v>
      </c>
      <c r="F2691">
        <v>0.715628623963522</v>
      </c>
      <c r="G2691">
        <v>0.49139109159651401</v>
      </c>
      <c r="H2691">
        <v>0.55625792142054997</v>
      </c>
      <c r="I2691">
        <v>0.50388376368505405</v>
      </c>
      <c r="J2691">
        <v>0.674311284974909</v>
      </c>
      <c r="K2691">
        <v>0.656150986020542</v>
      </c>
      <c r="L2691">
        <v>507.45589529563898</v>
      </c>
      <c r="M2691">
        <v>11.0248577830685</v>
      </c>
      <c r="O2691">
        <v>44.591781973091102</v>
      </c>
      <c r="P2691">
        <v>-2.6443112683158399E-2</v>
      </c>
      <c r="Q2691">
        <v>0.57232985387796698</v>
      </c>
      <c r="R2691">
        <v>0.709648642657837</v>
      </c>
      <c r="S2691" t="s">
        <v>6320</v>
      </c>
      <c r="T2691" t="s">
        <v>7256</v>
      </c>
      <c r="U2691" t="s">
        <v>7256</v>
      </c>
      <c r="V2691" t="s">
        <v>7256</v>
      </c>
      <c r="W2691">
        <v>2</v>
      </c>
      <c r="X2691" t="s">
        <v>9947</v>
      </c>
      <c r="Y2691">
        <v>0.68089601790539023</v>
      </c>
      <c r="Z2691" t="str">
        <f>HYPERLINK("Melting_Curves/meltCurve_sp_Q9NWB6_2_ARGL1_HUMAN_.pdf", "Melting_Curves/meltCurve_sp_Q9NWB6_2_ARGL1_HUMAN_.pdf")</f>
        <v>Melting_Curves/meltCurve_sp_Q9NWB6_2_ARGL1_HUMAN_.pdf</v>
      </c>
      <c r="AA2691" t="s">
        <v>13541</v>
      </c>
      <c r="AB2691" t="s">
        <v>17115</v>
      </c>
    </row>
    <row r="2692" spans="1:28" x14ac:dyDescent="0.25">
      <c r="A2692" t="s">
        <v>2696</v>
      </c>
      <c r="B2692">
        <v>0.98018197421672304</v>
      </c>
      <c r="C2692">
        <v>0.97960493442811503</v>
      </c>
      <c r="D2692">
        <v>0.89815353905805295</v>
      </c>
      <c r="E2692">
        <v>0.75577301806456998</v>
      </c>
      <c r="F2692">
        <v>0.74716468312114404</v>
      </c>
      <c r="G2692">
        <v>0.611576053587637</v>
      </c>
      <c r="H2692">
        <v>0.52113566036914705</v>
      </c>
      <c r="I2692">
        <v>0.52466067910784298</v>
      </c>
      <c r="J2692">
        <v>0.59235453633007895</v>
      </c>
      <c r="K2692">
        <v>0.78333218329881404</v>
      </c>
      <c r="L2692">
        <v>892.96552162442504</v>
      </c>
      <c r="M2692">
        <v>18.1940091161865</v>
      </c>
      <c r="O2692">
        <v>48.498796277455703</v>
      </c>
      <c r="P2692">
        <v>-3.7049052020899198E-2</v>
      </c>
      <c r="Q2692">
        <v>0.60497999887445697</v>
      </c>
      <c r="R2692">
        <v>0.80877857886273796</v>
      </c>
      <c r="S2692" t="s">
        <v>6321</v>
      </c>
      <c r="T2692" t="s">
        <v>7256</v>
      </c>
      <c r="U2692" t="s">
        <v>7256</v>
      </c>
      <c r="V2692" t="s">
        <v>7256</v>
      </c>
      <c r="W2692">
        <v>3</v>
      </c>
      <c r="X2692" t="s">
        <v>9948</v>
      </c>
      <c r="Y2692">
        <v>0.73122974422216602</v>
      </c>
      <c r="Z2692" t="str">
        <f>HYPERLINK("Melting_Curves/meltCurve_sp_Q9NWH9_SLTM_HUMAN_.pdf", "Melting_Curves/meltCurve_sp_Q9NWH9_SLTM_HUMAN_.pdf")</f>
        <v>Melting_Curves/meltCurve_sp_Q9NWH9_SLTM_HUMAN_.pdf</v>
      </c>
      <c r="AA2692" t="s">
        <v>13542</v>
      </c>
      <c r="AB2692" t="s">
        <v>17116</v>
      </c>
    </row>
    <row r="2693" spans="1:28" x14ac:dyDescent="0.25">
      <c r="A2693" t="s">
        <v>2697</v>
      </c>
      <c r="B2693">
        <v>0.98018197421672304</v>
      </c>
      <c r="C2693">
        <v>1.0124412675389201</v>
      </c>
      <c r="D2693">
        <v>1.01885636419412</v>
      </c>
      <c r="E2693">
        <v>0.83245434244436201</v>
      </c>
      <c r="F2693">
        <v>0.63595403999573696</v>
      </c>
      <c r="G2693">
        <v>0.294614846241262</v>
      </c>
      <c r="H2693">
        <v>0.28507756970383502</v>
      </c>
      <c r="I2693">
        <v>0.29588024472649999</v>
      </c>
      <c r="J2693">
        <v>0.27772987665364302</v>
      </c>
      <c r="K2693">
        <v>0.32098752273942599</v>
      </c>
      <c r="L2693">
        <v>1580.7634303987099</v>
      </c>
      <c r="M2693">
        <v>30.078358814689501</v>
      </c>
      <c r="N2693">
        <v>54.056316604461401</v>
      </c>
      <c r="O2693">
        <v>52.324162143954702</v>
      </c>
      <c r="P2693">
        <v>-0.10301826163945201</v>
      </c>
      <c r="Q2693">
        <v>0.28316418091321899</v>
      </c>
      <c r="R2693">
        <v>0.99127578408619299</v>
      </c>
      <c r="S2693" t="s">
        <v>6322</v>
      </c>
      <c r="T2693" t="s">
        <v>7256</v>
      </c>
      <c r="U2693" t="s">
        <v>7256</v>
      </c>
      <c r="V2693" t="s">
        <v>7256</v>
      </c>
      <c r="W2693">
        <v>2</v>
      </c>
      <c r="X2693" t="s">
        <v>9949</v>
      </c>
      <c r="Y2693">
        <v>0.58775149521895642</v>
      </c>
      <c r="Z2693" t="str">
        <f>HYPERLINK("Melting_Curves/meltCurve_sp_Q9NWT8_AKIP_HUMAN_.pdf", "Melting_Curves/meltCurve_sp_Q9NWT8_AKIP_HUMAN_.pdf")</f>
        <v>Melting_Curves/meltCurve_sp_Q9NWT8_AKIP_HUMAN_.pdf</v>
      </c>
      <c r="AA2693" t="s">
        <v>13543</v>
      </c>
      <c r="AB2693" t="s">
        <v>17117</v>
      </c>
    </row>
    <row r="2694" spans="1:28" x14ac:dyDescent="0.25">
      <c r="A2694" t="s">
        <v>2698</v>
      </c>
      <c r="B2694">
        <v>0.98018197421672304</v>
      </c>
      <c r="C2694">
        <v>0.98446067166946505</v>
      </c>
      <c r="D2694">
        <v>0.94106760663491895</v>
      </c>
      <c r="E2694">
        <v>0.84994414548177</v>
      </c>
      <c r="F2694">
        <v>0.79970891925280796</v>
      </c>
      <c r="G2694">
        <v>0.73604380723584795</v>
      </c>
      <c r="H2694">
        <v>0.59526783761913205</v>
      </c>
      <c r="I2694">
        <v>0.645824593416783</v>
      </c>
      <c r="J2694">
        <v>0.61040960969463598</v>
      </c>
      <c r="K2694">
        <v>0.42472945616843599</v>
      </c>
      <c r="L2694">
        <v>353.03052408460599</v>
      </c>
      <c r="M2694">
        <v>5.2803412928503297</v>
      </c>
      <c r="N2694">
        <v>69.163923266067002</v>
      </c>
      <c r="O2694">
        <v>59.070313394411798</v>
      </c>
      <c r="P2694">
        <v>-2.0647966786151401E-2</v>
      </c>
      <c r="Q2694">
        <v>8.0725836608828497E-2</v>
      </c>
      <c r="R2694">
        <v>0.946254562028637</v>
      </c>
      <c r="S2694" t="s">
        <v>6323</v>
      </c>
      <c r="T2694" t="s">
        <v>7256</v>
      </c>
      <c r="U2694" t="s">
        <v>7256</v>
      </c>
      <c r="V2694" t="s">
        <v>7256</v>
      </c>
      <c r="W2694">
        <v>11</v>
      </c>
      <c r="X2694" t="s">
        <v>9950</v>
      </c>
      <c r="Y2694">
        <v>0.76055641880586777</v>
      </c>
      <c r="Z2694" t="str">
        <f>HYPERLINK("Melting_Curves/meltCurve_sp_Q9NWU1_OXSM_HUMAN_.pdf", "Melting_Curves/meltCurve_sp_Q9NWU1_OXSM_HUMAN_.pdf")</f>
        <v>Melting_Curves/meltCurve_sp_Q9NWU1_OXSM_HUMAN_.pdf</v>
      </c>
      <c r="AA2694" t="s">
        <v>13544</v>
      </c>
      <c r="AB2694" t="s">
        <v>17118</v>
      </c>
    </row>
    <row r="2695" spans="1:28" x14ac:dyDescent="0.25">
      <c r="A2695" t="s">
        <v>2699</v>
      </c>
      <c r="B2695">
        <v>0.98018197421672304</v>
      </c>
      <c r="C2695">
        <v>1.0419418499245101</v>
      </c>
      <c r="D2695">
        <v>0.95616291719019697</v>
      </c>
      <c r="E2695">
        <v>0.782494305213014</v>
      </c>
      <c r="F2695">
        <v>0.82599574585503199</v>
      </c>
      <c r="G2695">
        <v>0.63776579552798496</v>
      </c>
      <c r="H2695">
        <v>0.395099354401314</v>
      </c>
      <c r="I2695">
        <v>0.379467334784716</v>
      </c>
      <c r="J2695">
        <v>0.51693394183096197</v>
      </c>
      <c r="K2695">
        <v>0.53423626292246396</v>
      </c>
      <c r="L2695">
        <v>920.81157669992103</v>
      </c>
      <c r="M2695">
        <v>17.182793824649799</v>
      </c>
      <c r="N2695">
        <v>61.298875760511898</v>
      </c>
      <c r="O2695">
        <v>52.879122333275497</v>
      </c>
      <c r="P2695">
        <v>-4.5299811782166001E-2</v>
      </c>
      <c r="Q2695">
        <v>0.44240211700533</v>
      </c>
      <c r="R2695">
        <v>0.906769884262693</v>
      </c>
      <c r="S2695" t="s">
        <v>6324</v>
      </c>
      <c r="T2695" t="s">
        <v>7256</v>
      </c>
      <c r="U2695" t="s">
        <v>7256</v>
      </c>
      <c r="V2695" t="s">
        <v>7256</v>
      </c>
      <c r="W2695">
        <v>7</v>
      </c>
      <c r="X2695" t="s">
        <v>9951</v>
      </c>
      <c r="Y2695">
        <v>0.70464819792103583</v>
      </c>
      <c r="Z2695" t="str">
        <f>HYPERLINK("Melting_Curves/meltCurve_sp_Q9NWV4_CA123_HUMAN_.pdf", "Melting_Curves/meltCurve_sp_Q9NWV4_CA123_HUMAN_.pdf")</f>
        <v>Melting_Curves/meltCurve_sp_Q9NWV4_CA123_HUMAN_.pdf</v>
      </c>
      <c r="AA2695" t="s">
        <v>13545</v>
      </c>
      <c r="AB2695" t="s">
        <v>17119</v>
      </c>
    </row>
    <row r="2696" spans="1:28" x14ac:dyDescent="0.25">
      <c r="A2696" t="s">
        <v>2700</v>
      </c>
      <c r="B2696">
        <v>0.98018197421672304</v>
      </c>
      <c r="C2696">
        <v>1.0508966897936101</v>
      </c>
      <c r="D2696">
        <v>1.0386066999363599</v>
      </c>
      <c r="E2696">
        <v>0.54392697085765296</v>
      </c>
      <c r="F2696">
        <v>0.24680061267634501</v>
      </c>
      <c r="G2696">
        <v>0.139062670378755</v>
      </c>
      <c r="H2696">
        <v>8.0190141467509898E-2</v>
      </c>
      <c r="I2696">
        <v>6.5550912565056796E-2</v>
      </c>
      <c r="J2696">
        <v>7.9841177491786097E-2</v>
      </c>
      <c r="K2696">
        <v>1.7500606939593401E-2</v>
      </c>
      <c r="L2696">
        <v>1658.3979953002199</v>
      </c>
      <c r="M2696">
        <v>32.9927766517823</v>
      </c>
      <c r="N2696">
        <v>50.512426676700002</v>
      </c>
      <c r="O2696">
        <v>50.081899955015103</v>
      </c>
      <c r="P2696">
        <v>-0.15242874914643101</v>
      </c>
      <c r="Q2696">
        <v>7.4477741126413505E-2</v>
      </c>
      <c r="R2696">
        <v>0.99006589249434196</v>
      </c>
      <c r="S2696" t="s">
        <v>6325</v>
      </c>
      <c r="T2696" t="s">
        <v>7256</v>
      </c>
      <c r="U2696" t="s">
        <v>7256</v>
      </c>
      <c r="V2696" t="s">
        <v>7256</v>
      </c>
      <c r="W2696">
        <v>2</v>
      </c>
      <c r="X2696" t="s">
        <v>9952</v>
      </c>
      <c r="Y2696">
        <v>0.39592057839086592</v>
      </c>
      <c r="Z2696" t="str">
        <f>HYPERLINK("Melting_Curves/meltCurve_sp_Q9NWW6_NRK1_HUMAN_.pdf", "Melting_Curves/meltCurve_sp_Q9NWW6_NRK1_HUMAN_.pdf")</f>
        <v>Melting_Curves/meltCurve_sp_Q9NWW6_NRK1_HUMAN_.pdf</v>
      </c>
      <c r="AA2696" t="s">
        <v>13546</v>
      </c>
      <c r="AB2696" t="s">
        <v>17120</v>
      </c>
    </row>
    <row r="2697" spans="1:28" x14ac:dyDescent="0.25">
      <c r="A2697" t="s">
        <v>2701</v>
      </c>
      <c r="B2697">
        <v>0.98018197421672304</v>
      </c>
      <c r="C2697">
        <v>0.85567367094841096</v>
      </c>
      <c r="D2697">
        <v>0.78650120975606197</v>
      </c>
      <c r="E2697">
        <v>0.59098282046081596</v>
      </c>
      <c r="F2697">
        <v>0.2327473410018</v>
      </c>
      <c r="G2697">
        <v>0.36040787982731498</v>
      </c>
      <c r="H2697">
        <v>8.74092889675014E-2</v>
      </c>
      <c r="I2697">
        <v>9.1061926211535998E-2</v>
      </c>
      <c r="J2697">
        <v>0.138656475785498</v>
      </c>
      <c r="K2697">
        <v>0.21020114905015999</v>
      </c>
      <c r="L2697">
        <v>724.68316578913095</v>
      </c>
      <c r="M2697">
        <v>14.689074383241801</v>
      </c>
      <c r="N2697">
        <v>50.291820698146303</v>
      </c>
      <c r="O2697">
        <v>48.4475436440026</v>
      </c>
      <c r="P2697">
        <v>-6.6564511423055403E-2</v>
      </c>
      <c r="Q2697">
        <v>0.121923291344628</v>
      </c>
      <c r="R2697">
        <v>0.94479821803106701</v>
      </c>
      <c r="S2697" t="s">
        <v>6326</v>
      </c>
      <c r="T2697" t="s">
        <v>7256</v>
      </c>
      <c r="U2697" t="s">
        <v>7256</v>
      </c>
      <c r="V2697" t="s">
        <v>7256</v>
      </c>
      <c r="W2697">
        <v>1</v>
      </c>
      <c r="X2697" t="s">
        <v>9953</v>
      </c>
      <c r="Y2697">
        <v>0.41739748695585799</v>
      </c>
      <c r="Z2697" t="str">
        <f>HYPERLINK("Melting_Curves/meltCurve_sp_Q9NWY4_CD027_HUMAN_.pdf", "Melting_Curves/meltCurve_sp_Q9NWY4_CD027_HUMAN_.pdf")</f>
        <v>Melting_Curves/meltCurve_sp_Q9NWY4_CD027_HUMAN_.pdf</v>
      </c>
      <c r="AA2697" t="s">
        <v>13547</v>
      </c>
      <c r="AB2697" t="s">
        <v>17121</v>
      </c>
    </row>
    <row r="2698" spans="1:28" x14ac:dyDescent="0.25">
      <c r="A2698" t="s">
        <v>2702</v>
      </c>
      <c r="B2698">
        <v>0.98018197421672304</v>
      </c>
      <c r="C2698">
        <v>1.22446748526708</v>
      </c>
      <c r="D2698">
        <v>0.80055692317523497</v>
      </c>
      <c r="E2698">
        <v>0.334212208844614</v>
      </c>
      <c r="F2698">
        <v>0.17212394252573801</v>
      </c>
      <c r="G2698">
        <v>8.8502039703918997E-2</v>
      </c>
      <c r="H2698">
        <v>6.0048259038194503E-2</v>
      </c>
      <c r="I2698">
        <v>4.5918657356956702E-2</v>
      </c>
      <c r="J2698">
        <v>5.1203032963245403E-2</v>
      </c>
      <c r="K2698">
        <v>2.4564861412590299E-2</v>
      </c>
      <c r="L2698">
        <v>1438.5227051582201</v>
      </c>
      <c r="M2698">
        <v>29.6154753371307</v>
      </c>
      <c r="N2698">
        <v>48.773366640136999</v>
      </c>
      <c r="O2698">
        <v>48.353469247617198</v>
      </c>
      <c r="P2698">
        <v>-0.144364589384297</v>
      </c>
      <c r="Q2698">
        <v>5.7184280572655101E-2</v>
      </c>
      <c r="R2698">
        <v>0.96441811866791405</v>
      </c>
      <c r="S2698" t="s">
        <v>6327</v>
      </c>
      <c r="T2698" t="s">
        <v>7256</v>
      </c>
      <c r="U2698" t="s">
        <v>7256</v>
      </c>
      <c r="V2698" t="s">
        <v>7256</v>
      </c>
      <c r="W2698">
        <v>1</v>
      </c>
      <c r="X2698" t="s">
        <v>9954</v>
      </c>
      <c r="Y2698">
        <v>0.33248419532528178</v>
      </c>
      <c r="Z2698" t="str">
        <f>HYPERLINK("Melting_Curves/meltCurve_sp_Q9NWZ3_IRAK4_HUMAN_.pdf", "Melting_Curves/meltCurve_sp_Q9NWZ3_IRAK4_HUMAN_.pdf")</f>
        <v>Melting_Curves/meltCurve_sp_Q9NWZ3_IRAK4_HUMAN_.pdf</v>
      </c>
      <c r="AA2698" t="s">
        <v>13548</v>
      </c>
      <c r="AB2698" t="s">
        <v>17122</v>
      </c>
    </row>
    <row r="2699" spans="1:28" x14ac:dyDescent="0.25">
      <c r="A2699" t="s">
        <v>2703</v>
      </c>
      <c r="B2699">
        <v>0.98018197421672304</v>
      </c>
      <c r="C2699">
        <v>0.86881791257237995</v>
      </c>
      <c r="D2699">
        <v>0.86418576181060702</v>
      </c>
      <c r="E2699">
        <v>0.68851414090403296</v>
      </c>
      <c r="F2699">
        <v>0.47692594989981302</v>
      </c>
      <c r="G2699">
        <v>0.14539501050967599</v>
      </c>
      <c r="H2699">
        <v>8.7417572633241805E-2</v>
      </c>
      <c r="I2699">
        <v>2.0384316066196999E-2</v>
      </c>
      <c r="J2699">
        <v>7.40039410667961E-2</v>
      </c>
      <c r="K2699">
        <v>5.8832397166051799E-2</v>
      </c>
      <c r="L2699">
        <v>827.41560733516906</v>
      </c>
      <c r="M2699">
        <v>15.900325310765901</v>
      </c>
      <c r="N2699">
        <v>52.103752939823501</v>
      </c>
      <c r="O2699">
        <v>51.235409763964199</v>
      </c>
      <c r="P2699">
        <v>-7.6815945967302499E-2</v>
      </c>
      <c r="Q2699">
        <v>9.9875159282052893E-3</v>
      </c>
      <c r="R2699">
        <v>0.98473647660858599</v>
      </c>
      <c r="S2699" t="s">
        <v>6328</v>
      </c>
      <c r="T2699" t="s">
        <v>7256</v>
      </c>
      <c r="U2699" t="s">
        <v>7256</v>
      </c>
      <c r="V2699" t="s">
        <v>7256</v>
      </c>
      <c r="W2699">
        <v>2</v>
      </c>
      <c r="X2699" t="s">
        <v>9955</v>
      </c>
      <c r="Y2699">
        <v>0.42742551914907861</v>
      </c>
      <c r="Z2699" t="str">
        <f>HYPERLINK("Melting_Curves/meltCurve_sp_Q9NX38_F206A_HUMAN_.pdf", "Melting_Curves/meltCurve_sp_Q9NX38_F206A_HUMAN_.pdf")</f>
        <v>Melting_Curves/meltCurve_sp_Q9NX38_F206A_HUMAN_.pdf</v>
      </c>
      <c r="AA2699" t="s">
        <v>13549</v>
      </c>
      <c r="AB2699" t="s">
        <v>17123</v>
      </c>
    </row>
    <row r="2700" spans="1:28" x14ac:dyDescent="0.25">
      <c r="A2700" t="s">
        <v>2704</v>
      </c>
      <c r="B2700">
        <v>0.98018197421672304</v>
      </c>
      <c r="C2700">
        <v>0.86840468788189196</v>
      </c>
      <c r="D2700">
        <v>0.74403932473027701</v>
      </c>
      <c r="E2700">
        <v>0.36103349425230502</v>
      </c>
      <c r="F2700">
        <v>0.22941787991221399</v>
      </c>
      <c r="G2700">
        <v>0.16545100235746099</v>
      </c>
      <c r="H2700">
        <v>0.119243417049261</v>
      </c>
      <c r="I2700">
        <v>7.4574777895056704E-2</v>
      </c>
      <c r="J2700">
        <v>6.9585182355534694E-2</v>
      </c>
      <c r="K2700">
        <v>0.114180311873237</v>
      </c>
      <c r="L2700">
        <v>857.62733777546896</v>
      </c>
      <c r="M2700">
        <v>17.878677477322199</v>
      </c>
      <c r="N2700">
        <v>48.4978435965646</v>
      </c>
      <c r="O2700">
        <v>47.381231193786903</v>
      </c>
      <c r="P2700">
        <v>-8.5987723360874097E-2</v>
      </c>
      <c r="Q2700">
        <v>8.8523687188615099E-2</v>
      </c>
      <c r="R2700">
        <v>0.99524466427729197</v>
      </c>
      <c r="S2700" t="s">
        <v>6329</v>
      </c>
      <c r="T2700" t="s">
        <v>7256</v>
      </c>
      <c r="U2700" t="s">
        <v>7256</v>
      </c>
      <c r="V2700" t="s">
        <v>7256</v>
      </c>
      <c r="W2700">
        <v>2</v>
      </c>
      <c r="X2700" t="s">
        <v>9956</v>
      </c>
      <c r="Y2700">
        <v>0.34706828918737281</v>
      </c>
      <c r="Z2700" t="str">
        <f>HYPERLINK("Melting_Curves/meltCurve_sp_Q9NX46_ARHL2_HUMAN_.pdf", "Melting_Curves/meltCurve_sp_Q9NX46_ARHL2_HUMAN_.pdf")</f>
        <v>Melting_Curves/meltCurve_sp_Q9NX46_ARHL2_HUMAN_.pdf</v>
      </c>
      <c r="AA2700" t="s">
        <v>13550</v>
      </c>
      <c r="AB2700" t="s">
        <v>17124</v>
      </c>
    </row>
    <row r="2701" spans="1:28" x14ac:dyDescent="0.25">
      <c r="A2701" t="s">
        <v>2705</v>
      </c>
      <c r="B2701">
        <v>0.98018197421672304</v>
      </c>
      <c r="C2701">
        <v>0.95755698285092805</v>
      </c>
      <c r="D2701">
        <v>0.88148957180194398</v>
      </c>
      <c r="E2701">
        <v>0.79155951808439895</v>
      </c>
      <c r="F2701">
        <v>0.59154301725914704</v>
      </c>
      <c r="G2701">
        <v>0.41204787608686699</v>
      </c>
      <c r="H2701">
        <v>0.34049142041077501</v>
      </c>
      <c r="I2701">
        <v>0.37078012548984302</v>
      </c>
      <c r="J2701">
        <v>0.339507967403268</v>
      </c>
      <c r="K2701">
        <v>0.45249375874946501</v>
      </c>
      <c r="L2701">
        <v>995.02916853263696</v>
      </c>
      <c r="M2701">
        <v>19.414395491385001</v>
      </c>
      <c r="N2701">
        <v>54.868577920579597</v>
      </c>
      <c r="O2701">
        <v>50.717653608109998</v>
      </c>
      <c r="P2701">
        <v>-6.1160326485383998E-2</v>
      </c>
      <c r="Q2701">
        <v>0.36092890369049802</v>
      </c>
      <c r="R2701">
        <v>0.972877222620114</v>
      </c>
      <c r="S2701" t="s">
        <v>6330</v>
      </c>
      <c r="T2701" t="s">
        <v>7256</v>
      </c>
      <c r="U2701" t="s">
        <v>7256</v>
      </c>
      <c r="V2701" t="s">
        <v>7256</v>
      </c>
      <c r="W2701">
        <v>3</v>
      </c>
      <c r="X2701" t="s">
        <v>9957</v>
      </c>
      <c r="Y2701">
        <v>0.60999062353645206</v>
      </c>
      <c r="Z2701" t="str">
        <f>HYPERLINK("Melting_Curves/meltCurve_sp_Q9NX55_HYPK_HUMAN_.pdf", "Melting_Curves/meltCurve_sp_Q9NX55_HYPK_HUMAN_.pdf")</f>
        <v>Melting_Curves/meltCurve_sp_Q9NX55_HYPK_HUMAN_.pdf</v>
      </c>
      <c r="AA2701" t="s">
        <v>13551</v>
      </c>
      <c r="AB2701" t="s">
        <v>17125</v>
      </c>
    </row>
    <row r="2702" spans="1:28" x14ac:dyDescent="0.25">
      <c r="A2702" t="s">
        <v>2706</v>
      </c>
      <c r="B2702">
        <v>0.98018197421672304</v>
      </c>
      <c r="C2702">
        <v>0.96290782328819202</v>
      </c>
      <c r="D2702">
        <v>0.93609265723406798</v>
      </c>
      <c r="E2702">
        <v>0.72067793817299997</v>
      </c>
      <c r="F2702">
        <v>0.45876779665440198</v>
      </c>
      <c r="G2702">
        <v>0.149421593891194</v>
      </c>
      <c r="H2702">
        <v>8.8167845571761203E-2</v>
      </c>
      <c r="I2702">
        <v>6.5358385425349094E-2</v>
      </c>
      <c r="J2702">
        <v>7.8326105483160005E-2</v>
      </c>
      <c r="K2702">
        <v>5.03630667835143E-2</v>
      </c>
      <c r="L2702">
        <v>1119.9937013834799</v>
      </c>
      <c r="M2702">
        <v>21.502722794116899</v>
      </c>
      <c r="N2702">
        <v>52.341464084759302</v>
      </c>
      <c r="O2702">
        <v>51.641923841256201</v>
      </c>
      <c r="P2702">
        <v>-9.8914817368669097E-2</v>
      </c>
      <c r="Q2702">
        <v>4.97898549627332E-2</v>
      </c>
      <c r="R2702">
        <v>0.99803867100635701</v>
      </c>
      <c r="S2702" t="s">
        <v>6331</v>
      </c>
      <c r="T2702" t="s">
        <v>7256</v>
      </c>
      <c r="U2702" t="s">
        <v>7256</v>
      </c>
      <c r="V2702" t="s">
        <v>7256</v>
      </c>
      <c r="W2702">
        <v>9</v>
      </c>
      <c r="X2702" t="s">
        <v>9958</v>
      </c>
      <c r="Y2702">
        <v>0.444130128323039</v>
      </c>
      <c r="Z2702" t="str">
        <f>HYPERLINK("Melting_Curves/meltCurve_sp_Q9NXA8_SIR5_HUMAN_.pdf", "Melting_Curves/meltCurve_sp_Q9NXA8_SIR5_HUMAN_.pdf")</f>
        <v>Melting_Curves/meltCurve_sp_Q9NXA8_SIR5_HUMAN_.pdf</v>
      </c>
      <c r="AA2702" t="s">
        <v>13552</v>
      </c>
      <c r="AB2702" t="s">
        <v>17126</v>
      </c>
    </row>
    <row r="2703" spans="1:28" x14ac:dyDescent="0.25">
      <c r="A2703" t="s">
        <v>2707</v>
      </c>
      <c r="B2703">
        <v>0.98018197421672304</v>
      </c>
      <c r="C2703">
        <v>0.93220082558260897</v>
      </c>
      <c r="D2703">
        <v>0.813215229350705</v>
      </c>
      <c r="E2703">
        <v>0.55057741413459904</v>
      </c>
      <c r="F2703">
        <v>0.22926241172168499</v>
      </c>
      <c r="G2703">
        <v>0.10535038788997</v>
      </c>
      <c r="H2703">
        <v>6.0260315664068698E-2</v>
      </c>
      <c r="I2703">
        <v>3.86021880445074E-2</v>
      </c>
      <c r="J2703">
        <v>3.0486179311256301E-2</v>
      </c>
      <c r="K2703">
        <v>2.7243190711842901E-2</v>
      </c>
      <c r="L2703">
        <v>921.29451249503904</v>
      </c>
      <c r="M2703">
        <v>18.449311626449699</v>
      </c>
      <c r="N2703">
        <v>50.043031767017098</v>
      </c>
      <c r="O2703">
        <v>49.360924029842998</v>
      </c>
      <c r="P2703">
        <v>-9.1646345264350101E-2</v>
      </c>
      <c r="Q2703">
        <v>1.9248797977962001E-2</v>
      </c>
      <c r="R2703">
        <v>0.99658255534755802</v>
      </c>
      <c r="S2703" t="s">
        <v>6332</v>
      </c>
      <c r="T2703" t="s">
        <v>7256</v>
      </c>
      <c r="U2703" t="s">
        <v>7256</v>
      </c>
      <c r="V2703" t="s">
        <v>7256</v>
      </c>
      <c r="W2703">
        <v>3</v>
      </c>
      <c r="X2703" t="s">
        <v>9959</v>
      </c>
      <c r="Y2703">
        <v>0.36005940197975489</v>
      </c>
      <c r="Z2703" t="str">
        <f>HYPERLINK("Melting_Curves/meltCurve_sp_Q9NXD2_MTMRA_HUMAN_.pdf", "Melting_Curves/meltCurve_sp_Q9NXD2_MTMRA_HUMAN_.pdf")</f>
        <v>Melting_Curves/meltCurve_sp_Q9NXD2_MTMRA_HUMAN_.pdf</v>
      </c>
      <c r="AA2703" t="s">
        <v>13553</v>
      </c>
      <c r="AB2703" t="s">
        <v>17127</v>
      </c>
    </row>
    <row r="2704" spans="1:28" x14ac:dyDescent="0.25">
      <c r="A2704" t="s">
        <v>2708</v>
      </c>
      <c r="B2704">
        <v>0.98018197421672304</v>
      </c>
      <c r="C2704">
        <v>0.99944494451449895</v>
      </c>
      <c r="D2704">
        <v>0.86891431033687005</v>
      </c>
      <c r="E2704">
        <v>0.76478241999925201</v>
      </c>
      <c r="F2704">
        <v>0.77485488204953201</v>
      </c>
      <c r="G2704">
        <v>0.618226074454026</v>
      </c>
      <c r="H2704">
        <v>0.42030956476390702</v>
      </c>
      <c r="I2704">
        <v>0.24792356408194199</v>
      </c>
      <c r="J2704">
        <v>8.5358409388488002E-2</v>
      </c>
      <c r="K2704">
        <v>8.4526777304945594E-2</v>
      </c>
      <c r="L2704">
        <v>665.65448697197996</v>
      </c>
      <c r="M2704">
        <v>11.4693095802127</v>
      </c>
      <c r="N2704">
        <v>58.037870968394898</v>
      </c>
      <c r="O2704">
        <v>56.357604420674399</v>
      </c>
      <c r="P2704">
        <v>-5.0891992775280302E-2</v>
      </c>
      <c r="Q2704">
        <v>0</v>
      </c>
      <c r="R2704">
        <v>0.96828817168049097</v>
      </c>
      <c r="S2704" t="s">
        <v>6333</v>
      </c>
      <c r="T2704" t="s">
        <v>7256</v>
      </c>
      <c r="U2704" t="s">
        <v>7256</v>
      </c>
      <c r="V2704" t="s">
        <v>7256</v>
      </c>
      <c r="W2704">
        <v>11</v>
      </c>
      <c r="X2704" t="s">
        <v>9960</v>
      </c>
      <c r="Y2704">
        <v>0.61328728998425719</v>
      </c>
      <c r="Z2704" t="str">
        <f>HYPERLINK("Melting_Curves/meltCurve_sp_Q9NXG2_THUM1_HUMAN_.pdf", "Melting_Curves/meltCurve_sp_Q9NXG2_THUM1_HUMAN_.pdf")</f>
        <v>Melting_Curves/meltCurve_sp_Q9NXG2_THUM1_HUMAN_.pdf</v>
      </c>
      <c r="AA2704" t="s">
        <v>13554</v>
      </c>
      <c r="AB2704" t="s">
        <v>17128</v>
      </c>
    </row>
    <row r="2705" spans="1:28" x14ac:dyDescent="0.25">
      <c r="A2705" t="s">
        <v>2709</v>
      </c>
      <c r="B2705">
        <v>0.98018197421672304</v>
      </c>
      <c r="C2705">
        <v>0.878981831557201</v>
      </c>
      <c r="D2705">
        <v>0.73654151481027996</v>
      </c>
      <c r="E2705">
        <v>0.53385960690268597</v>
      </c>
      <c r="F2705">
        <v>0.37026244333393399</v>
      </c>
      <c r="G2705">
        <v>0.28874639651391198</v>
      </c>
      <c r="H2705">
        <v>0.123880235654489</v>
      </c>
      <c r="I2705">
        <v>8.7004335856135706E-2</v>
      </c>
      <c r="J2705">
        <v>0.19196489279429299</v>
      </c>
      <c r="K2705">
        <v>0.153507160911449</v>
      </c>
      <c r="L2705">
        <v>631.71935220713601</v>
      </c>
      <c r="M2705">
        <v>12.779179146937601</v>
      </c>
      <c r="N2705">
        <v>50.386330784657403</v>
      </c>
      <c r="O2705">
        <v>48.269883926675703</v>
      </c>
      <c r="P2705">
        <v>-5.9092806560157703E-2</v>
      </c>
      <c r="Q2705">
        <v>0.1073402217418</v>
      </c>
      <c r="R2705">
        <v>0.98564849437107205</v>
      </c>
      <c r="S2705" t="s">
        <v>6334</v>
      </c>
      <c r="T2705" t="s">
        <v>7256</v>
      </c>
      <c r="U2705" t="s">
        <v>7256</v>
      </c>
      <c r="V2705" t="s">
        <v>7256</v>
      </c>
      <c r="W2705">
        <v>6</v>
      </c>
      <c r="X2705" t="s">
        <v>9961</v>
      </c>
      <c r="Y2705">
        <v>0.41682092984222752</v>
      </c>
      <c r="Z2705" t="str">
        <f>HYPERLINK("Melting_Curves/meltCurve_sp_Q9NXH9_2_TRM1_HUMAN_.pdf", "Melting_Curves/meltCurve_sp_Q9NXH9_2_TRM1_HUMAN_.pdf")</f>
        <v>Melting_Curves/meltCurve_sp_Q9NXH9_2_TRM1_HUMAN_.pdf</v>
      </c>
      <c r="AA2705" t="s">
        <v>13555</v>
      </c>
      <c r="AB2705" t="s">
        <v>17129</v>
      </c>
    </row>
    <row r="2706" spans="1:28" x14ac:dyDescent="0.25">
      <c r="A2706" t="s">
        <v>2710</v>
      </c>
      <c r="B2706">
        <v>0.98018197421672304</v>
      </c>
      <c r="C2706">
        <v>1.00471007607679</v>
      </c>
      <c r="D2706">
        <v>0.90867417973706599</v>
      </c>
      <c r="E2706">
        <v>0.80756151152217803</v>
      </c>
      <c r="F2706">
        <v>0.68117096876505201</v>
      </c>
      <c r="G2706">
        <v>0.49534766573660499</v>
      </c>
      <c r="H2706">
        <v>0.316465449268028</v>
      </c>
      <c r="I2706">
        <v>0.16969074727611999</v>
      </c>
      <c r="J2706">
        <v>0.10600562746504399</v>
      </c>
      <c r="K2706">
        <v>6.02289603928816E-2</v>
      </c>
      <c r="L2706">
        <v>684.65119608363204</v>
      </c>
      <c r="M2706">
        <v>12.1373600907651</v>
      </c>
      <c r="N2706">
        <v>56.408575747105097</v>
      </c>
      <c r="O2706">
        <v>54.942829008063903</v>
      </c>
      <c r="P2706">
        <v>-5.5239967740202602E-2</v>
      </c>
      <c r="Q2706">
        <v>0</v>
      </c>
      <c r="R2706">
        <v>0.99561450415099395</v>
      </c>
      <c r="S2706" t="s">
        <v>6335</v>
      </c>
      <c r="T2706" t="s">
        <v>7256</v>
      </c>
      <c r="U2706" t="s">
        <v>7256</v>
      </c>
      <c r="V2706" t="s">
        <v>7256</v>
      </c>
      <c r="W2706">
        <v>4</v>
      </c>
      <c r="X2706" t="s">
        <v>9962</v>
      </c>
      <c r="Y2706">
        <v>0.56589501633818184</v>
      </c>
      <c r="Z2706" t="str">
        <f>HYPERLINK("Melting_Curves/meltCurve_sp_Q9NXR7_4_BRE_HUMAN_.pdf", "Melting_Curves/meltCurve_sp_Q9NXR7_4_BRE_HUMAN_.pdf")</f>
        <v>Melting_Curves/meltCurve_sp_Q9NXR7_4_BRE_HUMAN_.pdf</v>
      </c>
      <c r="AA2706" t="s">
        <v>13556</v>
      </c>
      <c r="AB2706" t="s">
        <v>17130</v>
      </c>
    </row>
    <row r="2707" spans="1:28" x14ac:dyDescent="0.25">
      <c r="A2707" t="s">
        <v>2711</v>
      </c>
      <c r="B2707">
        <v>0.98018197421672304</v>
      </c>
      <c r="C2707">
        <v>0.84060185564186596</v>
      </c>
      <c r="D2707">
        <v>0.72199850633833396</v>
      </c>
      <c r="E2707">
        <v>0.73315327432356103</v>
      </c>
      <c r="F2707">
        <v>0.53019988878485502</v>
      </c>
      <c r="G2707">
        <v>0.27135802947722998</v>
      </c>
      <c r="H2707">
        <v>0.21885507145525901</v>
      </c>
      <c r="I2707">
        <v>0.120052465658918</v>
      </c>
      <c r="J2707">
        <v>0.21689314997604001</v>
      </c>
      <c r="K2707">
        <v>5.2317797210827098E-2</v>
      </c>
      <c r="L2707">
        <v>487.28687460473498</v>
      </c>
      <c r="M2707">
        <v>9.2151720584109693</v>
      </c>
      <c r="N2707">
        <v>52.878758884697298</v>
      </c>
      <c r="O2707">
        <v>50.567399113593197</v>
      </c>
      <c r="P2707">
        <v>-4.55891141429281E-2</v>
      </c>
      <c r="Q2707">
        <v>0</v>
      </c>
      <c r="R2707">
        <v>0.96107683715504699</v>
      </c>
      <c r="S2707" t="s">
        <v>6336</v>
      </c>
      <c r="T2707" t="s">
        <v>7256</v>
      </c>
      <c r="U2707" t="s">
        <v>7256</v>
      </c>
      <c r="V2707" t="s">
        <v>7256</v>
      </c>
      <c r="W2707">
        <v>2</v>
      </c>
      <c r="X2707" t="s">
        <v>9963</v>
      </c>
      <c r="Y2707">
        <v>0.46655176980604002</v>
      </c>
      <c r="Z2707" t="str">
        <f>HYPERLINK("Melting_Curves/meltCurve_sp_Q9NXU5_ARL15_HUMAN_.pdf", "Melting_Curves/meltCurve_sp_Q9NXU5_ARL15_HUMAN_.pdf")</f>
        <v>Melting_Curves/meltCurve_sp_Q9NXU5_ARL15_HUMAN_.pdf</v>
      </c>
      <c r="AA2707" t="s">
        <v>13557</v>
      </c>
      <c r="AB2707" t="s">
        <v>17131</v>
      </c>
    </row>
    <row r="2708" spans="1:28" x14ac:dyDescent="0.25">
      <c r="A2708" t="s">
        <v>2712</v>
      </c>
      <c r="B2708">
        <v>0.98018197421672304</v>
      </c>
      <c r="C2708">
        <v>0.991800948792954</v>
      </c>
      <c r="D2708">
        <v>0.93165628077089302</v>
      </c>
      <c r="E2708">
        <v>0.61218747100406801</v>
      </c>
      <c r="F2708">
        <v>0.51775942556786303</v>
      </c>
      <c r="G2708">
        <v>0.30556321268578701</v>
      </c>
      <c r="H2708">
        <v>0.22487909016051399</v>
      </c>
      <c r="I2708">
        <v>0.212953063710317</v>
      </c>
      <c r="J2708">
        <v>0.22620186959713701</v>
      </c>
      <c r="K2708">
        <v>0.25594484102451398</v>
      </c>
      <c r="L2708">
        <v>941.88959816975898</v>
      </c>
      <c r="M2708">
        <v>18.5400206564433</v>
      </c>
      <c r="N2708">
        <v>52.418551750843797</v>
      </c>
      <c r="O2708">
        <v>50.2230547235134</v>
      </c>
      <c r="P2708">
        <v>-7.2206815165571495E-2</v>
      </c>
      <c r="Q2708">
        <v>0.21763001737026699</v>
      </c>
      <c r="R2708">
        <v>0.99054842890676897</v>
      </c>
      <c r="S2708" t="s">
        <v>6337</v>
      </c>
      <c r="T2708" t="s">
        <v>7256</v>
      </c>
      <c r="U2708" t="s">
        <v>7256</v>
      </c>
      <c r="V2708" t="s">
        <v>7256</v>
      </c>
      <c r="W2708">
        <v>11</v>
      </c>
      <c r="X2708" t="s">
        <v>9964</v>
      </c>
      <c r="Y2708">
        <v>0.51187880856642165</v>
      </c>
      <c r="Z2708" t="str">
        <f>HYPERLINK("Melting_Curves/meltCurve_sp_Q9NXV6_CARF_HUMAN_.pdf", "Melting_Curves/meltCurve_sp_Q9NXV6_CARF_HUMAN_.pdf")</f>
        <v>Melting_Curves/meltCurve_sp_Q9NXV6_CARF_HUMAN_.pdf</v>
      </c>
      <c r="AA2708" t="s">
        <v>13558</v>
      </c>
      <c r="AB2708" t="s">
        <v>17132</v>
      </c>
    </row>
    <row r="2709" spans="1:28" x14ac:dyDescent="0.25">
      <c r="A2709" t="s">
        <v>2713</v>
      </c>
      <c r="B2709">
        <v>0.98018197421672304</v>
      </c>
      <c r="C2709">
        <v>0.94894148567638803</v>
      </c>
      <c r="D2709">
        <v>0.93654509424360699</v>
      </c>
      <c r="E2709">
        <v>0.80536305780532103</v>
      </c>
      <c r="F2709">
        <v>0.71446393066154601</v>
      </c>
      <c r="G2709">
        <v>0.57634652150022703</v>
      </c>
      <c r="H2709">
        <v>0.47129811906178698</v>
      </c>
      <c r="I2709">
        <v>0.541361533406161</v>
      </c>
      <c r="J2709">
        <v>0.49792981235860601</v>
      </c>
      <c r="K2709">
        <v>0.64191443215473698</v>
      </c>
      <c r="L2709">
        <v>961.45957658726002</v>
      </c>
      <c r="M2709">
        <v>18.8715198837663</v>
      </c>
      <c r="O2709">
        <v>50.385908956045803</v>
      </c>
      <c r="P2709">
        <v>-4.3863176522061703E-2</v>
      </c>
      <c r="Q2709">
        <v>0.53157023915975199</v>
      </c>
      <c r="R2709">
        <v>0.93480064956255304</v>
      </c>
      <c r="S2709" t="s">
        <v>6338</v>
      </c>
      <c r="T2709" t="s">
        <v>7256</v>
      </c>
      <c r="U2709" t="s">
        <v>7256</v>
      </c>
      <c r="V2709" t="s">
        <v>7256</v>
      </c>
      <c r="W2709">
        <v>2</v>
      </c>
      <c r="X2709" t="s">
        <v>9965</v>
      </c>
      <c r="Y2709">
        <v>0.70975508864228021</v>
      </c>
      <c r="Z2709" t="str">
        <f>HYPERLINK("Melting_Curves/meltCurve_sp_Q9NXW2_DJB12_HUMAN_.pdf", "Melting_Curves/meltCurve_sp_Q9NXW2_DJB12_HUMAN_.pdf")</f>
        <v>Melting_Curves/meltCurve_sp_Q9NXW2_DJB12_HUMAN_.pdf</v>
      </c>
      <c r="AA2709" t="s">
        <v>13559</v>
      </c>
      <c r="AB2709" t="s">
        <v>17133</v>
      </c>
    </row>
    <row r="2710" spans="1:28" x14ac:dyDescent="0.25">
      <c r="A2710" t="s">
        <v>2714</v>
      </c>
      <c r="B2710">
        <v>0.98018197421672304</v>
      </c>
      <c r="C2710">
        <v>0.96739120650640198</v>
      </c>
      <c r="D2710">
        <v>0.85038127783597495</v>
      </c>
      <c r="E2710">
        <v>0.70749050594025997</v>
      </c>
      <c r="F2710">
        <v>0.62127872070621304</v>
      </c>
      <c r="G2710">
        <v>0.45359316762594398</v>
      </c>
      <c r="H2710">
        <v>0.315331903895959</v>
      </c>
      <c r="I2710">
        <v>0.33508080811449598</v>
      </c>
      <c r="J2710">
        <v>0.383798768481178</v>
      </c>
      <c r="K2710">
        <v>0.39822925188493502</v>
      </c>
      <c r="L2710">
        <v>727.71213342020803</v>
      </c>
      <c r="M2710">
        <v>14.2905473618614</v>
      </c>
      <c r="N2710">
        <v>55.179311923482103</v>
      </c>
      <c r="O2710">
        <v>49.956595827425097</v>
      </c>
      <c r="P2710">
        <v>-4.76371153469064E-2</v>
      </c>
      <c r="Q2710">
        <v>0.333966022942429</v>
      </c>
      <c r="R2710">
        <v>0.97806829613417801</v>
      </c>
      <c r="S2710" t="s">
        <v>6339</v>
      </c>
      <c r="T2710" t="s">
        <v>7256</v>
      </c>
      <c r="U2710" t="s">
        <v>7256</v>
      </c>
      <c r="V2710" t="s">
        <v>7256</v>
      </c>
      <c r="W2710">
        <v>10</v>
      </c>
      <c r="X2710" t="s">
        <v>9966</v>
      </c>
      <c r="Y2710">
        <v>0.5931630995732079</v>
      </c>
      <c r="Z2710" t="str">
        <f>HYPERLINK("Melting_Curves/meltCurve_sp_Q9NY27_PP4R2_HUMAN_.pdf", "Melting_Curves/meltCurve_sp_Q9NY27_PP4R2_HUMAN_.pdf")</f>
        <v>Melting_Curves/meltCurve_sp_Q9NY27_PP4R2_HUMAN_.pdf</v>
      </c>
      <c r="AA2710" t="s">
        <v>13560</v>
      </c>
      <c r="AB2710" t="s">
        <v>17134</v>
      </c>
    </row>
    <row r="2711" spans="1:28" x14ac:dyDescent="0.25">
      <c r="A2711" t="s">
        <v>2715</v>
      </c>
      <c r="B2711">
        <v>0.98018197421672304</v>
      </c>
      <c r="C2711">
        <v>0.86487118667662</v>
      </c>
      <c r="D2711">
        <v>0.90345053804544795</v>
      </c>
      <c r="E2711">
        <v>0.71644349334940705</v>
      </c>
      <c r="F2711">
        <v>0.29563491126499097</v>
      </c>
      <c r="G2711">
        <v>0.109442270982373</v>
      </c>
      <c r="H2711">
        <v>6.4586303221936606E-2</v>
      </c>
      <c r="I2711">
        <v>4.9666216167817599E-2</v>
      </c>
      <c r="J2711">
        <v>6.6779034221560701E-2</v>
      </c>
      <c r="K2711">
        <v>4.2303316596325698E-2</v>
      </c>
      <c r="L2711">
        <v>1377.09847109057</v>
      </c>
      <c r="M2711">
        <v>26.877236367174</v>
      </c>
      <c r="N2711">
        <v>51.4329117684293</v>
      </c>
      <c r="O2711">
        <v>50.955492978379901</v>
      </c>
      <c r="P2711">
        <v>-0.125439896667944</v>
      </c>
      <c r="Q2711">
        <v>4.8743376576943401E-2</v>
      </c>
      <c r="R2711">
        <v>0.98444046287418296</v>
      </c>
      <c r="S2711" t="s">
        <v>6340</v>
      </c>
      <c r="T2711" t="s">
        <v>7256</v>
      </c>
      <c r="U2711" t="s">
        <v>7256</v>
      </c>
      <c r="V2711" t="s">
        <v>7256</v>
      </c>
      <c r="W2711">
        <v>18</v>
      </c>
      <c r="X2711" t="s">
        <v>9967</v>
      </c>
      <c r="Y2711">
        <v>0.41251141296725352</v>
      </c>
      <c r="Z2711" t="str">
        <f>HYPERLINK("Melting_Curves/meltCurve_sp_Q9NY33_4_DPP3_HUMAN_.pdf", "Melting_Curves/meltCurve_sp_Q9NY33_4_DPP3_HUMAN_.pdf")</f>
        <v>Melting_Curves/meltCurve_sp_Q9NY33_4_DPP3_HUMAN_.pdf</v>
      </c>
      <c r="AA2711" t="s">
        <v>13561</v>
      </c>
      <c r="AB2711" t="s">
        <v>17135</v>
      </c>
    </row>
    <row r="2712" spans="1:28" x14ac:dyDescent="0.25">
      <c r="A2712" t="s">
        <v>2716</v>
      </c>
      <c r="B2712">
        <v>0.98018197421672304</v>
      </c>
      <c r="C2712">
        <v>0.93680947055320796</v>
      </c>
      <c r="D2712">
        <v>0.890300181507787</v>
      </c>
      <c r="E2712">
        <v>0.79498028088591299</v>
      </c>
      <c r="F2712">
        <v>0.68715215994123602</v>
      </c>
      <c r="G2712">
        <v>0.54783041422427803</v>
      </c>
      <c r="H2712">
        <v>0.452915674079718</v>
      </c>
      <c r="I2712">
        <v>0.50054247676072094</v>
      </c>
      <c r="J2712">
        <v>0.45266723708066597</v>
      </c>
      <c r="K2712">
        <v>0.57487842590171101</v>
      </c>
      <c r="L2712">
        <v>761.35207077487905</v>
      </c>
      <c r="M2712">
        <v>14.9629872667357</v>
      </c>
      <c r="N2712">
        <v>63.9432708759091</v>
      </c>
      <c r="O2712">
        <v>49.999474508289197</v>
      </c>
      <c r="P2712">
        <v>-3.91723144196576E-2</v>
      </c>
      <c r="Q2712">
        <v>0.47646941818476302</v>
      </c>
      <c r="R2712">
        <v>0.956075157101688</v>
      </c>
      <c r="S2712" t="s">
        <v>6341</v>
      </c>
      <c r="T2712" t="s">
        <v>7256</v>
      </c>
      <c r="U2712" t="s">
        <v>7256</v>
      </c>
      <c r="V2712" t="s">
        <v>7256</v>
      </c>
      <c r="W2712">
        <v>8</v>
      </c>
      <c r="X2712" t="s">
        <v>9968</v>
      </c>
      <c r="Y2712">
        <v>0.6785687751532764</v>
      </c>
      <c r="Z2712" t="str">
        <f>HYPERLINK("Melting_Curves/meltCurve_sp_Q9NYF8_2_BCLF1_HUMAN_.pdf", "Melting_Curves/meltCurve_sp_Q9NYF8_2_BCLF1_HUMAN_.pdf")</f>
        <v>Melting_Curves/meltCurve_sp_Q9NYF8_2_BCLF1_HUMAN_.pdf</v>
      </c>
      <c r="AA2712" t="s">
        <v>13562</v>
      </c>
      <c r="AB2712" t="s">
        <v>17136</v>
      </c>
    </row>
    <row r="2713" spans="1:28" x14ac:dyDescent="0.25">
      <c r="A2713" t="s">
        <v>2717</v>
      </c>
      <c r="B2713">
        <v>0.98018197421672304</v>
      </c>
      <c r="C2713">
        <v>0.93864283513687097</v>
      </c>
      <c r="D2713">
        <v>0.87158465511373395</v>
      </c>
      <c r="E2713">
        <v>0.74860381296364897</v>
      </c>
      <c r="F2713">
        <v>0.69376997640848803</v>
      </c>
      <c r="G2713">
        <v>0.53541319234834495</v>
      </c>
      <c r="H2713">
        <v>0.410312132629994</v>
      </c>
      <c r="I2713">
        <v>0.43904043212683502</v>
      </c>
      <c r="J2713">
        <v>0.56068072644725298</v>
      </c>
      <c r="K2713">
        <v>0.62880456798850104</v>
      </c>
      <c r="L2713">
        <v>787.099226288713</v>
      </c>
      <c r="M2713">
        <v>15.839433777980901</v>
      </c>
      <c r="O2713">
        <v>48.920547249142302</v>
      </c>
      <c r="P2713">
        <v>-4.0265850703589498E-2</v>
      </c>
      <c r="Q2713">
        <v>0.50259163267296103</v>
      </c>
      <c r="R2713">
        <v>0.88591016176841997</v>
      </c>
      <c r="S2713" t="s">
        <v>6342</v>
      </c>
      <c r="T2713" t="s">
        <v>7256</v>
      </c>
      <c r="U2713" t="s">
        <v>7256</v>
      </c>
      <c r="V2713" t="s">
        <v>7256</v>
      </c>
      <c r="W2713">
        <v>6</v>
      </c>
      <c r="X2713" t="s">
        <v>9969</v>
      </c>
      <c r="Y2713">
        <v>0.67414089593271165</v>
      </c>
      <c r="Z2713" t="str">
        <f>HYPERLINK("Melting_Curves/meltCurve_sp_Q9NYJ1_COA4_HUMAN_.pdf", "Melting_Curves/meltCurve_sp_Q9NYJ1_COA4_HUMAN_.pdf")</f>
        <v>Melting_Curves/meltCurve_sp_Q9NYJ1_COA4_HUMAN_.pdf</v>
      </c>
      <c r="AA2713" t="s">
        <v>13563</v>
      </c>
      <c r="AB2713" t="s">
        <v>17137</v>
      </c>
    </row>
    <row r="2714" spans="1:28" x14ac:dyDescent="0.25">
      <c r="A2714" t="s">
        <v>2718</v>
      </c>
      <c r="B2714">
        <v>0.98018197421672304</v>
      </c>
      <c r="C2714">
        <v>0.90596892093091896</v>
      </c>
      <c r="D2714">
        <v>0.87598048312237098</v>
      </c>
      <c r="E2714">
        <v>0.79535235174474594</v>
      </c>
      <c r="F2714">
        <v>0.67149670504262604</v>
      </c>
      <c r="G2714">
        <v>0.56815292557876895</v>
      </c>
      <c r="H2714">
        <v>6.98698023091021E-2</v>
      </c>
      <c r="I2714">
        <v>0</v>
      </c>
      <c r="J2714">
        <v>0</v>
      </c>
      <c r="K2714">
        <v>0</v>
      </c>
      <c r="L2714">
        <v>955.32769727429502</v>
      </c>
      <c r="M2714">
        <v>17.2084693610051</v>
      </c>
      <c r="N2714">
        <v>55.5149726798806</v>
      </c>
      <c r="O2714">
        <v>54.781558325103603</v>
      </c>
      <c r="P2714">
        <v>-7.8536845182696394E-2</v>
      </c>
      <c r="Q2714">
        <v>0</v>
      </c>
      <c r="R2714">
        <v>0.95089841962981903</v>
      </c>
      <c r="S2714" t="s">
        <v>6343</v>
      </c>
      <c r="T2714" t="s">
        <v>7256</v>
      </c>
      <c r="U2714" t="s">
        <v>7256</v>
      </c>
      <c r="V2714" t="s">
        <v>7256</v>
      </c>
      <c r="W2714">
        <v>4</v>
      </c>
      <c r="X2714" t="s">
        <v>9970</v>
      </c>
      <c r="Y2714">
        <v>0.53314660990579588</v>
      </c>
      <c r="Z2714" t="str">
        <f>HYPERLINK("Melting_Curves/meltCurve_sp_Q9NYL2_2_MLTK_HUMAN_.pdf", "Melting_Curves/meltCurve_sp_Q9NYL2_2_MLTK_HUMAN_.pdf")</f>
        <v>Melting_Curves/meltCurve_sp_Q9NYL2_2_MLTK_HUMAN_.pdf</v>
      </c>
      <c r="AA2714" t="s">
        <v>13564</v>
      </c>
      <c r="AB2714" t="s">
        <v>17138</v>
      </c>
    </row>
    <row r="2715" spans="1:28" x14ac:dyDescent="0.25">
      <c r="A2715" t="s">
        <v>2719</v>
      </c>
      <c r="B2715">
        <v>0.98018197421672304</v>
      </c>
      <c r="C2715">
        <v>0.96462043357555705</v>
      </c>
      <c r="D2715">
        <v>0.93934147887473995</v>
      </c>
      <c r="E2715">
        <v>0.68819989838540596</v>
      </c>
      <c r="F2715">
        <v>0.43664582505288702</v>
      </c>
      <c r="G2715">
        <v>0.19333435252699699</v>
      </c>
      <c r="H2715">
        <v>0.11087632143678</v>
      </c>
      <c r="I2715">
        <v>7.4395524032887503E-2</v>
      </c>
      <c r="J2715">
        <v>0.118448414912522</v>
      </c>
      <c r="K2715">
        <v>7.9605233712252602E-2</v>
      </c>
      <c r="L2715">
        <v>1055.1819567750299</v>
      </c>
      <c r="M2715">
        <v>20.4040232686501</v>
      </c>
      <c r="N2715">
        <v>52.148431575689301</v>
      </c>
      <c r="O2715">
        <v>51.225352328139998</v>
      </c>
      <c r="P2715">
        <v>-9.1806238015611705E-2</v>
      </c>
      <c r="Q2715">
        <v>7.8090552052169193E-2</v>
      </c>
      <c r="R2715">
        <v>0.99822455925998799</v>
      </c>
      <c r="S2715" t="s">
        <v>6344</v>
      </c>
      <c r="T2715" t="s">
        <v>7256</v>
      </c>
      <c r="U2715" t="s">
        <v>7256</v>
      </c>
      <c r="V2715" t="s">
        <v>7256</v>
      </c>
      <c r="W2715">
        <v>5</v>
      </c>
      <c r="X2715" t="s">
        <v>9971</v>
      </c>
      <c r="Y2715">
        <v>0.45039273561752241</v>
      </c>
      <c r="Z2715" t="str">
        <f>HYPERLINK("Melting_Curves/meltCurve_sp_Q9NYL2_MLTK_HUMAN_.pdf", "Melting_Curves/meltCurve_sp_Q9NYL2_MLTK_HUMAN_.pdf")</f>
        <v>Melting_Curves/meltCurve_sp_Q9NYL2_MLTK_HUMAN_.pdf</v>
      </c>
      <c r="AA2715" t="s">
        <v>13564</v>
      </c>
      <c r="AB2715" t="s">
        <v>17139</v>
      </c>
    </row>
    <row r="2716" spans="1:28" x14ac:dyDescent="0.25">
      <c r="A2716" t="s">
        <v>2720</v>
      </c>
      <c r="B2716">
        <v>0.98018197421672304</v>
      </c>
      <c r="C2716">
        <v>0.96268708486794496</v>
      </c>
      <c r="D2716">
        <v>0.885535411384056</v>
      </c>
      <c r="E2716">
        <v>0.68649805499192895</v>
      </c>
      <c r="F2716">
        <v>0.50999215171715295</v>
      </c>
      <c r="G2716">
        <v>0.32308258842745402</v>
      </c>
      <c r="H2716">
        <v>0.28201520276689701</v>
      </c>
      <c r="I2716">
        <v>0.28541839862230101</v>
      </c>
      <c r="J2716">
        <v>0.35415312308594998</v>
      </c>
      <c r="K2716">
        <v>0.41729772899571499</v>
      </c>
      <c r="L2716">
        <v>1063.6832926878301</v>
      </c>
      <c r="M2716">
        <v>21.213726080289899</v>
      </c>
      <c r="N2716">
        <v>52.714309584468701</v>
      </c>
      <c r="O2716">
        <v>49.702089135219097</v>
      </c>
      <c r="P2716">
        <v>-7.2297519895947807E-2</v>
      </c>
      <c r="Q2716">
        <v>0.32246789113263502</v>
      </c>
      <c r="R2716">
        <v>0.97409488146862599</v>
      </c>
      <c r="S2716" t="s">
        <v>6345</v>
      </c>
      <c r="T2716" t="s">
        <v>7256</v>
      </c>
      <c r="U2716" t="s">
        <v>7256</v>
      </c>
      <c r="V2716" t="s">
        <v>7256</v>
      </c>
      <c r="W2716">
        <v>12</v>
      </c>
      <c r="X2716" t="s">
        <v>9972</v>
      </c>
      <c r="Y2716">
        <v>0.55990595001232057</v>
      </c>
      <c r="Z2716" t="str">
        <f>HYPERLINK("Melting_Curves/meltCurve_sp_Q9NYL9_TMOD3_HUMAN_.pdf", "Melting_Curves/meltCurve_sp_Q9NYL9_TMOD3_HUMAN_.pdf")</f>
        <v>Melting_Curves/meltCurve_sp_Q9NYL9_TMOD3_HUMAN_.pdf</v>
      </c>
      <c r="AA2716" t="s">
        <v>13565</v>
      </c>
      <c r="AB2716" t="s">
        <v>17140</v>
      </c>
    </row>
    <row r="2717" spans="1:28" x14ac:dyDescent="0.25">
      <c r="A2717" t="s">
        <v>2721</v>
      </c>
      <c r="B2717">
        <v>0.98018197421672304</v>
      </c>
      <c r="C2717">
        <v>0.98011046459815399</v>
      </c>
      <c r="D2717">
        <v>0.10743229683385901</v>
      </c>
      <c r="E2717">
        <v>1.5644967192668</v>
      </c>
      <c r="F2717">
        <v>5.7096915238920999E-2</v>
      </c>
      <c r="G2717">
        <v>0.48409021980091799</v>
      </c>
      <c r="H2717">
        <v>0.35929461133684498</v>
      </c>
      <c r="I2717">
        <v>0.22450788465756499</v>
      </c>
      <c r="J2717">
        <v>0.12683925085824499</v>
      </c>
      <c r="K2717">
        <v>8.0557455538465106E-2</v>
      </c>
      <c r="L2717">
        <v>412.94378698270901</v>
      </c>
      <c r="M2717">
        <v>7.6313938911271304</v>
      </c>
      <c r="N2717">
        <v>54.111187557843699</v>
      </c>
      <c r="O2717">
        <v>50.770866692021897</v>
      </c>
      <c r="P2717">
        <v>-3.76282703508539E-2</v>
      </c>
      <c r="Q2717">
        <v>0</v>
      </c>
      <c r="R2717">
        <v>0.33465782513086101</v>
      </c>
      <c r="S2717" t="s">
        <v>6346</v>
      </c>
      <c r="T2717" t="s">
        <v>7256</v>
      </c>
      <c r="U2717" t="s">
        <v>7256</v>
      </c>
      <c r="V2717" t="s">
        <v>7256</v>
      </c>
      <c r="W2717">
        <v>5</v>
      </c>
      <c r="X2717" t="s">
        <v>9973</v>
      </c>
      <c r="Y2717">
        <v>0.50429155554406146</v>
      </c>
      <c r="Z2717" t="str">
        <f>HYPERLINK("Melting_Curves/meltCurve_sp_Q9NYQ3_HAOX2_HUMAN_.pdf", "Melting_Curves/meltCurve_sp_Q9NYQ3_HAOX2_HUMAN_.pdf")</f>
        <v>Melting_Curves/meltCurve_sp_Q9NYQ3_HAOX2_HUMAN_.pdf</v>
      </c>
      <c r="AA2717" t="s">
        <v>13566</v>
      </c>
      <c r="AB2717" t="s">
        <v>17141</v>
      </c>
    </row>
    <row r="2718" spans="1:28" x14ac:dyDescent="0.25">
      <c r="A2718" t="s">
        <v>2722</v>
      </c>
      <c r="B2718">
        <v>0.98018197421672304</v>
      </c>
      <c r="C2718">
        <v>0.97887051244797396</v>
      </c>
      <c r="D2718">
        <v>0.909173593663679</v>
      </c>
      <c r="E2718">
        <v>0.79865818520499199</v>
      </c>
      <c r="F2718">
        <v>0.52604435156618101</v>
      </c>
      <c r="G2718">
        <v>0.16613587773164501</v>
      </c>
      <c r="H2718">
        <v>9.4059809620732293E-2</v>
      </c>
      <c r="I2718">
        <v>7.7012309251500002E-2</v>
      </c>
      <c r="J2718">
        <v>8.3854240297690702E-2</v>
      </c>
      <c r="K2718">
        <v>6.6078179611535698E-2</v>
      </c>
      <c r="L2718">
        <v>1236.9805518624</v>
      </c>
      <c r="M2718">
        <v>23.454796199216801</v>
      </c>
      <c r="N2718">
        <v>53.030173645315898</v>
      </c>
      <c r="O2718">
        <v>52.360025398208201</v>
      </c>
      <c r="P2718">
        <v>-0.105222083554545</v>
      </c>
      <c r="Q2718">
        <v>6.0433298688917801E-2</v>
      </c>
      <c r="R2718">
        <v>0.99581351830946696</v>
      </c>
      <c r="S2718" t="s">
        <v>6347</v>
      </c>
      <c r="T2718" t="s">
        <v>7256</v>
      </c>
      <c r="U2718" t="s">
        <v>7256</v>
      </c>
      <c r="V2718" t="s">
        <v>7256</v>
      </c>
      <c r="W2718">
        <v>18</v>
      </c>
      <c r="X2718" t="s">
        <v>9974</v>
      </c>
      <c r="Y2718">
        <v>0.469131204387365</v>
      </c>
      <c r="Z2718" t="str">
        <f>HYPERLINK("Melting_Curves/meltCurve_sp_Q9NYU2_2_UGGG1_HUMAN_.pdf", "Melting_Curves/meltCurve_sp_Q9NYU2_2_UGGG1_HUMAN_.pdf")</f>
        <v>Melting_Curves/meltCurve_sp_Q9NYU2_2_UGGG1_HUMAN_.pdf</v>
      </c>
      <c r="AA2718" t="s">
        <v>13567</v>
      </c>
      <c r="AB2718" t="s">
        <v>17142</v>
      </c>
    </row>
    <row r="2719" spans="1:28" x14ac:dyDescent="0.25">
      <c r="A2719" t="s">
        <v>2723</v>
      </c>
      <c r="B2719">
        <v>0.98018197421672304</v>
      </c>
      <c r="C2719">
        <v>0.59453347953410596</v>
      </c>
      <c r="D2719">
        <v>0.70220147311939096</v>
      </c>
      <c r="E2719">
        <v>0.55947051785692503</v>
      </c>
      <c r="F2719">
        <v>0.34121259564918799</v>
      </c>
      <c r="G2719">
        <v>0.25505159383673298</v>
      </c>
      <c r="H2719">
        <v>0.159176812611173</v>
      </c>
      <c r="I2719">
        <v>0.111274236757902</v>
      </c>
      <c r="J2719">
        <v>0.11111488327212</v>
      </c>
      <c r="K2719">
        <v>2.3283635559087901E-2</v>
      </c>
      <c r="L2719">
        <v>415.95046813226702</v>
      </c>
      <c r="M2719">
        <v>8.4089407190368402</v>
      </c>
      <c r="N2719">
        <v>49.465263548171997</v>
      </c>
      <c r="O2719">
        <v>46.9051955629768</v>
      </c>
      <c r="P2719">
        <v>-4.4860858368076802E-2</v>
      </c>
      <c r="Q2719">
        <v>0</v>
      </c>
      <c r="R2719">
        <v>0.93286179298163197</v>
      </c>
      <c r="S2719" t="s">
        <v>6348</v>
      </c>
      <c r="T2719" t="s">
        <v>7256</v>
      </c>
      <c r="U2719" t="s">
        <v>7256</v>
      </c>
      <c r="V2719" t="s">
        <v>7256</v>
      </c>
      <c r="W2719">
        <v>3</v>
      </c>
      <c r="X2719" t="s">
        <v>9975</v>
      </c>
      <c r="Y2719">
        <v>0.37487459515176008</v>
      </c>
      <c r="Z2719" t="str">
        <f>HYPERLINK("Melting_Curves/meltCurve_sp_Q9NYY8_2_FAKD2_HUMAN_.pdf", "Melting_Curves/meltCurve_sp_Q9NYY8_2_FAKD2_HUMAN_.pdf")</f>
        <v>Melting_Curves/meltCurve_sp_Q9NYY8_2_FAKD2_HUMAN_.pdf</v>
      </c>
      <c r="AA2719" t="s">
        <v>13568</v>
      </c>
      <c r="AB2719" t="s">
        <v>17143</v>
      </c>
    </row>
    <row r="2720" spans="1:28" x14ac:dyDescent="0.25">
      <c r="A2720" t="s">
        <v>2724</v>
      </c>
      <c r="B2720">
        <v>0.98018197421672304</v>
      </c>
      <c r="C2720">
        <v>0.970748281752842</v>
      </c>
      <c r="D2720">
        <v>0.88965112368542898</v>
      </c>
      <c r="E2720">
        <v>0.76161481029448397</v>
      </c>
      <c r="F2720">
        <v>0.49549308605853398</v>
      </c>
      <c r="G2720">
        <v>0.12793694865549701</v>
      </c>
      <c r="H2720">
        <v>7.9584399222854693E-2</v>
      </c>
      <c r="I2720">
        <v>6.0249149979383701E-2</v>
      </c>
      <c r="J2720">
        <v>5.4614074801942303E-2</v>
      </c>
      <c r="K2720">
        <v>4.0494204124663799E-2</v>
      </c>
      <c r="L2720">
        <v>1138.57004309734</v>
      </c>
      <c r="M2720">
        <v>21.698416775625901</v>
      </c>
      <c r="N2720">
        <v>52.636596322117597</v>
      </c>
      <c r="O2720">
        <v>52.032922464692298</v>
      </c>
      <c r="P2720">
        <v>-0.100846221303189</v>
      </c>
      <c r="Q2720">
        <v>3.2703877790261203E-2</v>
      </c>
      <c r="R2720">
        <v>0.99410652572896796</v>
      </c>
      <c r="S2720" t="s">
        <v>6349</v>
      </c>
      <c r="T2720" t="s">
        <v>7256</v>
      </c>
      <c r="U2720" t="s">
        <v>7256</v>
      </c>
      <c r="V2720" t="s">
        <v>7256</v>
      </c>
      <c r="W2720">
        <v>19</v>
      </c>
      <c r="X2720" t="s">
        <v>9976</v>
      </c>
      <c r="Y2720">
        <v>0.44640307403699792</v>
      </c>
      <c r="Z2720" t="str">
        <f>HYPERLINK("Melting_Curves/meltCurve_sp_Q9NZ08_ERAP1_HUMAN_.pdf", "Melting_Curves/meltCurve_sp_Q9NZ08_ERAP1_HUMAN_.pdf")</f>
        <v>Melting_Curves/meltCurve_sp_Q9NZ08_ERAP1_HUMAN_.pdf</v>
      </c>
      <c r="AA2720" t="s">
        <v>13569</v>
      </c>
      <c r="AB2720" t="s">
        <v>17144</v>
      </c>
    </row>
    <row r="2721" spans="1:28" x14ac:dyDescent="0.25">
      <c r="A2721" t="s">
        <v>2725</v>
      </c>
      <c r="B2721">
        <v>0.98018197421672304</v>
      </c>
      <c r="C2721">
        <v>1.0184448993937101</v>
      </c>
      <c r="D2721">
        <v>0.88396747742820803</v>
      </c>
      <c r="E2721">
        <v>0.72796399024275804</v>
      </c>
      <c r="F2721">
        <v>0.57452805739558999</v>
      </c>
      <c r="G2721">
        <v>0.32955949511689298</v>
      </c>
      <c r="H2721">
        <v>0.31679778350122301</v>
      </c>
      <c r="I2721">
        <v>0.22939302124012501</v>
      </c>
      <c r="J2721">
        <v>8.6573888152009199E-2</v>
      </c>
      <c r="K2721">
        <v>3.4647376259344102E-2</v>
      </c>
      <c r="L2721">
        <v>595.47791336519299</v>
      </c>
      <c r="M2721">
        <v>10.896070834103</v>
      </c>
      <c r="N2721">
        <v>54.6507013355913</v>
      </c>
      <c r="O2721">
        <v>52.906572042251099</v>
      </c>
      <c r="P2721">
        <v>-5.15053387238164E-2</v>
      </c>
      <c r="Q2721">
        <v>0</v>
      </c>
      <c r="R2721">
        <v>0.98315337451627804</v>
      </c>
      <c r="S2721" t="s">
        <v>6350</v>
      </c>
      <c r="T2721" t="s">
        <v>7256</v>
      </c>
      <c r="U2721" t="s">
        <v>7256</v>
      </c>
      <c r="V2721" t="s">
        <v>7256</v>
      </c>
      <c r="W2721">
        <v>6</v>
      </c>
      <c r="X2721" t="s">
        <v>9977</v>
      </c>
      <c r="Y2721">
        <v>0.5144932217096031</v>
      </c>
      <c r="Z2721" t="str">
        <f>HYPERLINK("Melting_Curves/meltCurve_sp_Q9NZ32_ARP10_HUMAN_.pdf", "Melting_Curves/meltCurve_sp_Q9NZ32_ARP10_HUMAN_.pdf")</f>
        <v>Melting_Curves/meltCurve_sp_Q9NZ32_ARP10_HUMAN_.pdf</v>
      </c>
      <c r="AA2721" t="s">
        <v>13570</v>
      </c>
      <c r="AB2721" t="s">
        <v>17145</v>
      </c>
    </row>
    <row r="2722" spans="1:28" x14ac:dyDescent="0.25">
      <c r="A2722" t="s">
        <v>2726</v>
      </c>
      <c r="B2722">
        <v>0.98018197421672304</v>
      </c>
      <c r="C2722">
        <v>0.75182269818608405</v>
      </c>
      <c r="D2722">
        <v>0.81998792661630804</v>
      </c>
      <c r="E2722">
        <v>0.66254563035275305</v>
      </c>
      <c r="F2722">
        <v>0.49314220327265301</v>
      </c>
      <c r="G2722">
        <v>0.425787164063063</v>
      </c>
      <c r="H2722">
        <v>0.30362677674833299</v>
      </c>
      <c r="I2722">
        <v>0.28018886328603798</v>
      </c>
      <c r="J2722">
        <v>0.41958358631583698</v>
      </c>
      <c r="K2722">
        <v>0.21185704009602799</v>
      </c>
      <c r="L2722">
        <v>445.96529085980899</v>
      </c>
      <c r="M2722">
        <v>8.82802826266445</v>
      </c>
      <c r="N2722">
        <v>53.801923707920203</v>
      </c>
      <c r="O2722">
        <v>48.126184949310897</v>
      </c>
      <c r="P2722">
        <v>-3.6333089016197098E-2</v>
      </c>
      <c r="Q2722">
        <v>0.20833599826888999</v>
      </c>
      <c r="R2722">
        <v>0.92502614342759304</v>
      </c>
      <c r="S2722" t="s">
        <v>6351</v>
      </c>
      <c r="T2722" t="s">
        <v>7256</v>
      </c>
      <c r="U2722" t="s">
        <v>7256</v>
      </c>
      <c r="V2722" t="s">
        <v>7256</v>
      </c>
      <c r="W2722">
        <v>3</v>
      </c>
      <c r="X2722" t="s">
        <v>9978</v>
      </c>
      <c r="Y2722">
        <v>0.52587172559244877</v>
      </c>
      <c r="Z2722" t="str">
        <f>HYPERLINK("Melting_Curves/meltCurve_sp_Q9NZ63_CI078_HUMAN_.pdf", "Melting_Curves/meltCurve_sp_Q9NZ63_CI078_HUMAN_.pdf")</f>
        <v>Melting_Curves/meltCurve_sp_Q9NZ63_CI078_HUMAN_.pdf</v>
      </c>
      <c r="AA2722" t="s">
        <v>13571</v>
      </c>
      <c r="AB2722" t="s">
        <v>17146</v>
      </c>
    </row>
    <row r="2723" spans="1:28" x14ac:dyDescent="0.25">
      <c r="A2723" t="s">
        <v>2727</v>
      </c>
      <c r="B2723">
        <v>0.98018197421672304</v>
      </c>
      <c r="C2723">
        <v>1.0076388319966301</v>
      </c>
      <c r="D2723">
        <v>0.86681011356938198</v>
      </c>
      <c r="E2723">
        <v>0.71274523584493799</v>
      </c>
      <c r="F2723">
        <v>0.54851207101879496</v>
      </c>
      <c r="G2723">
        <v>0.35409919754707397</v>
      </c>
      <c r="H2723">
        <v>0.23797164025760001</v>
      </c>
      <c r="I2723">
        <v>0.23589061933996699</v>
      </c>
      <c r="J2723">
        <v>0.24309197000125199</v>
      </c>
      <c r="K2723">
        <v>0.35490165284653402</v>
      </c>
      <c r="L2723">
        <v>908.36793402043099</v>
      </c>
      <c r="M2723">
        <v>17.723587211597</v>
      </c>
      <c r="N2723">
        <v>53.358872170760101</v>
      </c>
      <c r="O2723">
        <v>50.6128162126886</v>
      </c>
      <c r="P2723">
        <v>-6.5516119850136098E-2</v>
      </c>
      <c r="Q2723">
        <v>0.25166812464060301</v>
      </c>
      <c r="R2723">
        <v>0.97932809000711696</v>
      </c>
      <c r="S2723" t="s">
        <v>6352</v>
      </c>
      <c r="T2723" t="s">
        <v>7256</v>
      </c>
      <c r="U2723" t="s">
        <v>7256</v>
      </c>
      <c r="V2723" t="s">
        <v>7256</v>
      </c>
      <c r="W2723">
        <v>15</v>
      </c>
      <c r="X2723" t="s">
        <v>9979</v>
      </c>
      <c r="Y2723">
        <v>0.54526198841335094</v>
      </c>
      <c r="Z2723" t="str">
        <f>HYPERLINK("Melting_Curves/meltCurve_sp_Q9NZB2_F120A_HUMAN_.pdf", "Melting_Curves/meltCurve_sp_Q9NZB2_F120A_HUMAN_.pdf")</f>
        <v>Melting_Curves/meltCurve_sp_Q9NZB2_F120A_HUMAN_.pdf</v>
      </c>
      <c r="AA2723" t="s">
        <v>13572</v>
      </c>
      <c r="AB2723" t="s">
        <v>17147</v>
      </c>
    </row>
    <row r="2724" spans="1:28" x14ac:dyDescent="0.25">
      <c r="A2724" t="s">
        <v>2728</v>
      </c>
      <c r="B2724">
        <v>0.98018197421672304</v>
      </c>
      <c r="C2724">
        <v>0.96911001111619099</v>
      </c>
      <c r="D2724">
        <v>0.88723757241769596</v>
      </c>
      <c r="E2724">
        <v>0.81690062329414603</v>
      </c>
      <c r="F2724">
        <v>0.77600310267140005</v>
      </c>
      <c r="G2724">
        <v>0.75700426796100195</v>
      </c>
      <c r="H2724">
        <v>0.57765031163312097</v>
      </c>
      <c r="I2724">
        <v>0.58105177509962702</v>
      </c>
      <c r="J2724">
        <v>0.49538506228218099</v>
      </c>
      <c r="K2724">
        <v>0.22254400013702999</v>
      </c>
      <c r="L2724">
        <v>426.52789310512202</v>
      </c>
      <c r="M2724">
        <v>6.6469706061599396</v>
      </c>
      <c r="N2724">
        <v>64.168764683695002</v>
      </c>
      <c r="O2724">
        <v>59.107262885592398</v>
      </c>
      <c r="P2724">
        <v>-2.81769767058473E-2</v>
      </c>
      <c r="Q2724">
        <v>0</v>
      </c>
      <c r="R2724">
        <v>0.92235264930772598</v>
      </c>
      <c r="S2724" t="s">
        <v>6353</v>
      </c>
      <c r="T2724" t="s">
        <v>7256</v>
      </c>
      <c r="U2724" t="s">
        <v>7256</v>
      </c>
      <c r="V2724" t="s">
        <v>7256</v>
      </c>
      <c r="W2724">
        <v>7</v>
      </c>
      <c r="X2724" t="s">
        <v>9980</v>
      </c>
      <c r="Y2724">
        <v>0.72275035881879168</v>
      </c>
      <c r="Z2724" t="str">
        <f>HYPERLINK("Melting_Curves/meltCurve_sp_Q9NZB8_2_MOCS1_HUMAN_.pdf", "Melting_Curves/meltCurve_sp_Q9NZB8_2_MOCS1_HUMAN_.pdf")</f>
        <v>Melting_Curves/meltCurve_sp_Q9NZB8_2_MOCS1_HUMAN_.pdf</v>
      </c>
      <c r="AA2724" t="s">
        <v>13573</v>
      </c>
      <c r="AB2724" t="s">
        <v>17148</v>
      </c>
    </row>
    <row r="2725" spans="1:28" x14ac:dyDescent="0.25">
      <c r="A2725" t="s">
        <v>2729</v>
      </c>
      <c r="B2725">
        <v>0.98018197421672304</v>
      </c>
      <c r="C2725">
        <v>0.91248873777263795</v>
      </c>
      <c r="D2725">
        <v>0.727138357182888</v>
      </c>
      <c r="E2725">
        <v>0.41532215100474401</v>
      </c>
      <c r="F2725">
        <v>0.20103992624196201</v>
      </c>
      <c r="G2725">
        <v>0.10624352550350501</v>
      </c>
      <c r="H2725">
        <v>7.5707649438262498E-2</v>
      </c>
      <c r="I2725">
        <v>5.2279279069814097E-2</v>
      </c>
      <c r="J2725">
        <v>6.7228667627961994E-2</v>
      </c>
      <c r="K2725">
        <v>4.1207449622809797E-2</v>
      </c>
      <c r="L2725">
        <v>857.67285560417599</v>
      </c>
      <c r="M2725">
        <v>17.688915977456801</v>
      </c>
      <c r="N2725">
        <v>48.7464666643125</v>
      </c>
      <c r="O2725">
        <v>47.879509517541599</v>
      </c>
      <c r="P2725">
        <v>-8.8208296750686602E-2</v>
      </c>
      <c r="Q2725">
        <v>4.5018523611730199E-2</v>
      </c>
      <c r="R2725">
        <v>0.999188395375328</v>
      </c>
      <c r="S2725" t="s">
        <v>6354</v>
      </c>
      <c r="T2725" t="s">
        <v>7256</v>
      </c>
      <c r="U2725" t="s">
        <v>7256</v>
      </c>
      <c r="V2725" t="s">
        <v>7256</v>
      </c>
      <c r="W2725">
        <v>3</v>
      </c>
      <c r="X2725" t="s">
        <v>9981</v>
      </c>
      <c r="Y2725">
        <v>0.33249326536685009</v>
      </c>
      <c r="Z2725" t="str">
        <f>HYPERLINK("Melting_Curves/meltCurve_sp_Q9NZJ6_COQ3_HUMAN_.pdf", "Melting_Curves/meltCurve_sp_Q9NZJ6_COQ3_HUMAN_.pdf")</f>
        <v>Melting_Curves/meltCurve_sp_Q9NZJ6_COQ3_HUMAN_.pdf</v>
      </c>
      <c r="AA2725" t="s">
        <v>13574</v>
      </c>
      <c r="AB2725" t="s">
        <v>17149</v>
      </c>
    </row>
    <row r="2726" spans="1:28" x14ac:dyDescent="0.25">
      <c r="A2726" t="s">
        <v>2730</v>
      </c>
      <c r="B2726">
        <v>0.98018197421672304</v>
      </c>
      <c r="C2726">
        <v>1.0425982260520701</v>
      </c>
      <c r="D2726">
        <v>0.90884702992135302</v>
      </c>
      <c r="E2726">
        <v>0.71700186688483902</v>
      </c>
      <c r="F2726">
        <v>0.56524278410291495</v>
      </c>
      <c r="G2726">
        <v>0.31585893398875697</v>
      </c>
      <c r="H2726">
        <v>0.15901933106216401</v>
      </c>
      <c r="I2726">
        <v>8.8969439219388893E-2</v>
      </c>
      <c r="J2726">
        <v>0.21796200485623801</v>
      </c>
      <c r="K2726">
        <v>6.3988118939340796E-2</v>
      </c>
      <c r="L2726">
        <v>847.95565104409604</v>
      </c>
      <c r="M2726">
        <v>16.016002070558301</v>
      </c>
      <c r="N2726">
        <v>53.575342297016498</v>
      </c>
      <c r="O2726">
        <v>52.1394872239892</v>
      </c>
      <c r="P2726">
        <v>-7.0198021979888794E-2</v>
      </c>
      <c r="Q2726">
        <v>8.5963026512301005E-2</v>
      </c>
      <c r="R2726">
        <v>0.98414398869934006</v>
      </c>
      <c r="S2726" t="s">
        <v>6355</v>
      </c>
      <c r="T2726" t="s">
        <v>7256</v>
      </c>
      <c r="U2726" t="s">
        <v>7256</v>
      </c>
      <c r="V2726" t="s">
        <v>7256</v>
      </c>
      <c r="W2726">
        <v>4</v>
      </c>
      <c r="X2726" t="s">
        <v>9982</v>
      </c>
      <c r="Y2726">
        <v>0.49828885051145549</v>
      </c>
      <c r="Z2726" t="str">
        <f>HYPERLINK("Melting_Curves/meltCurve_sp_Q9NZJ9_NUDT4_HUMAN_.pdf", "Melting_Curves/meltCurve_sp_Q9NZJ9_NUDT4_HUMAN_.pdf")</f>
        <v>Melting_Curves/meltCurve_sp_Q9NZJ9_NUDT4_HUMAN_.pdf</v>
      </c>
      <c r="AA2726" t="s">
        <v>13575</v>
      </c>
      <c r="AB2726" t="s">
        <v>17150</v>
      </c>
    </row>
    <row r="2727" spans="1:28" x14ac:dyDescent="0.25">
      <c r="A2727" t="s">
        <v>2731</v>
      </c>
      <c r="B2727">
        <v>0.98018197421672304</v>
      </c>
      <c r="C2727">
        <v>0.897481163075598</v>
      </c>
      <c r="D2727">
        <v>0.88660776127602803</v>
      </c>
      <c r="E2727">
        <v>0.83057578404276</v>
      </c>
      <c r="F2727">
        <v>0.57892512501941396</v>
      </c>
      <c r="G2727">
        <v>0.234713848259687</v>
      </c>
      <c r="H2727">
        <v>0.11335746765832</v>
      </c>
      <c r="I2727">
        <v>7.6772637013647699E-2</v>
      </c>
      <c r="J2727">
        <v>0.108787602887809</v>
      </c>
      <c r="K2727">
        <v>5.2113699308256899E-2</v>
      </c>
      <c r="L2727">
        <v>1064.5559714021599</v>
      </c>
      <c r="M2727">
        <v>19.940775512747798</v>
      </c>
      <c r="N2727">
        <v>53.6852217004989</v>
      </c>
      <c r="O2727">
        <v>52.857702967450599</v>
      </c>
      <c r="P2727">
        <v>-8.9354307817145096E-2</v>
      </c>
      <c r="Q2727">
        <v>5.2613316027335003E-2</v>
      </c>
      <c r="R2727">
        <v>0.98653294865640595</v>
      </c>
      <c r="S2727" t="s">
        <v>6356</v>
      </c>
      <c r="T2727" t="s">
        <v>7256</v>
      </c>
      <c r="U2727" t="s">
        <v>7256</v>
      </c>
      <c r="V2727" t="s">
        <v>7256</v>
      </c>
      <c r="W2727">
        <v>5</v>
      </c>
      <c r="X2727" t="s">
        <v>9983</v>
      </c>
      <c r="Y2727">
        <v>0.48837944060867328</v>
      </c>
      <c r="Z2727" t="str">
        <f>HYPERLINK("Melting_Curves/meltCurve_sp_Q9NZL4_HPBP1_HUMAN_.pdf", "Melting_Curves/meltCurve_sp_Q9NZL4_HPBP1_HUMAN_.pdf")</f>
        <v>Melting_Curves/meltCurve_sp_Q9NZL4_HPBP1_HUMAN_.pdf</v>
      </c>
      <c r="AA2727" t="s">
        <v>13576</v>
      </c>
      <c r="AB2727" t="s">
        <v>17151</v>
      </c>
    </row>
    <row r="2728" spans="1:28" x14ac:dyDescent="0.25">
      <c r="A2728" t="s">
        <v>2732</v>
      </c>
      <c r="B2728">
        <v>0.98018197421672304</v>
      </c>
      <c r="C2728">
        <v>0.99259767150585998</v>
      </c>
      <c r="D2728">
        <v>0.89071767026316095</v>
      </c>
      <c r="E2728">
        <v>0.74588198846084897</v>
      </c>
      <c r="F2728">
        <v>0.54275722559845696</v>
      </c>
      <c r="G2728">
        <v>0.23163505170051299</v>
      </c>
      <c r="H2728">
        <v>7.8927267945595597E-2</v>
      </c>
      <c r="I2728">
        <v>6.8889072973819396E-2</v>
      </c>
      <c r="J2728">
        <v>6.7379597246666603E-2</v>
      </c>
      <c r="K2728">
        <v>9.0873485986546904E-2</v>
      </c>
      <c r="L2728">
        <v>960.20481111985305</v>
      </c>
      <c r="M2728">
        <v>18.164819726059001</v>
      </c>
      <c r="N2728">
        <v>53.112026280255101</v>
      </c>
      <c r="O2728">
        <v>52.232526141833702</v>
      </c>
      <c r="P2728">
        <v>-8.3365342382185806E-2</v>
      </c>
      <c r="Q2728">
        <v>4.1185052323290103E-2</v>
      </c>
      <c r="R2728">
        <v>0.995006898296662</v>
      </c>
      <c r="S2728" t="s">
        <v>6357</v>
      </c>
      <c r="T2728" t="s">
        <v>7256</v>
      </c>
      <c r="U2728" t="s">
        <v>7256</v>
      </c>
      <c r="V2728" t="s">
        <v>7256</v>
      </c>
      <c r="W2728">
        <v>13</v>
      </c>
      <c r="X2728" t="s">
        <v>9984</v>
      </c>
      <c r="Y2728">
        <v>0.46772843323463781</v>
      </c>
      <c r="Z2728" t="str">
        <f>HYPERLINK("Melting_Curves/meltCurve_sp_Q9NZL9_MAT2B_HUMAN_.pdf", "Melting_Curves/meltCurve_sp_Q9NZL9_MAT2B_HUMAN_.pdf")</f>
        <v>Melting_Curves/meltCurve_sp_Q9NZL9_MAT2B_HUMAN_.pdf</v>
      </c>
      <c r="AA2728" t="s">
        <v>13577</v>
      </c>
      <c r="AB2728" t="s">
        <v>17152</v>
      </c>
    </row>
    <row r="2729" spans="1:28" x14ac:dyDescent="0.25">
      <c r="A2729" t="s">
        <v>2733</v>
      </c>
      <c r="B2729">
        <v>0.98018197421672304</v>
      </c>
      <c r="C2729">
        <v>1.00243238447836</v>
      </c>
      <c r="D2729">
        <v>0.892381892894616</v>
      </c>
      <c r="E2729">
        <v>0.68321447779483901</v>
      </c>
      <c r="F2729">
        <v>0.44186887134007202</v>
      </c>
      <c r="G2729">
        <v>0.27238444806059903</v>
      </c>
      <c r="H2729">
        <v>0.17972052239447001</v>
      </c>
      <c r="I2729">
        <v>0.14306727800175001</v>
      </c>
      <c r="J2729">
        <v>0.14112931073322299</v>
      </c>
      <c r="K2729">
        <v>0.12595549832790201</v>
      </c>
      <c r="L2729">
        <v>900.37450087193099</v>
      </c>
      <c r="M2729">
        <v>17.478049177696398</v>
      </c>
      <c r="N2729">
        <v>52.353171802506701</v>
      </c>
      <c r="O2729">
        <v>50.854413398572397</v>
      </c>
      <c r="P2729">
        <v>-7.5435502529714302E-2</v>
      </c>
      <c r="Q2729">
        <v>0.12209522875347401</v>
      </c>
      <c r="R2729">
        <v>0.99866569536790395</v>
      </c>
      <c r="S2729" t="s">
        <v>6358</v>
      </c>
      <c r="T2729" t="s">
        <v>7256</v>
      </c>
      <c r="U2729" t="s">
        <v>7256</v>
      </c>
      <c r="V2729" t="s">
        <v>7256</v>
      </c>
      <c r="W2729">
        <v>6</v>
      </c>
      <c r="X2729" t="s">
        <v>9985</v>
      </c>
      <c r="Y2729">
        <v>0.47452708319549408</v>
      </c>
      <c r="Z2729" t="str">
        <f>HYPERLINK("Melting_Curves/meltCurve_sp_Q9NZM3_2_ITSN2_HUMAN_.pdf", "Melting_Curves/meltCurve_sp_Q9NZM3_2_ITSN2_HUMAN_.pdf")</f>
        <v>Melting_Curves/meltCurve_sp_Q9NZM3_2_ITSN2_HUMAN_.pdf</v>
      </c>
      <c r="AA2729" t="s">
        <v>13578</v>
      </c>
      <c r="AB2729" t="s">
        <v>17153</v>
      </c>
    </row>
    <row r="2730" spans="1:28" x14ac:dyDescent="0.25">
      <c r="A2730" t="s">
        <v>2734</v>
      </c>
      <c r="B2730">
        <v>0.98018197421672304</v>
      </c>
      <c r="C2730">
        <v>0.95177375084320204</v>
      </c>
      <c r="D2730">
        <v>0.76234433320251904</v>
      </c>
      <c r="E2730">
        <v>0.56924372247784605</v>
      </c>
      <c r="F2730">
        <v>0.338431964412516</v>
      </c>
      <c r="G2730">
        <v>0.19692824286928701</v>
      </c>
      <c r="H2730">
        <v>0.15587954487229899</v>
      </c>
      <c r="I2730">
        <v>0.14395945594037901</v>
      </c>
      <c r="J2730">
        <v>0.191455222335078</v>
      </c>
      <c r="K2730">
        <v>0.179640134919786</v>
      </c>
      <c r="L2730">
        <v>833.96627656016904</v>
      </c>
      <c r="M2730">
        <v>16.917346666114</v>
      </c>
      <c r="N2730">
        <v>50.337891452250503</v>
      </c>
      <c r="O2730">
        <v>48.623160792807397</v>
      </c>
      <c r="P2730">
        <v>-7.4143833296882802E-2</v>
      </c>
      <c r="Q2730">
        <v>0.14764875385596599</v>
      </c>
      <c r="R2730">
        <v>0.99238170179614704</v>
      </c>
      <c r="S2730" t="s">
        <v>6359</v>
      </c>
      <c r="T2730" t="s">
        <v>7256</v>
      </c>
      <c r="U2730" t="s">
        <v>7256</v>
      </c>
      <c r="V2730" t="s">
        <v>7256</v>
      </c>
      <c r="W2730">
        <v>10</v>
      </c>
      <c r="X2730" t="s">
        <v>9986</v>
      </c>
      <c r="Y2730">
        <v>0.42835270903095007</v>
      </c>
      <c r="Z2730" t="str">
        <f>HYPERLINK("Melting_Curves/meltCurve_sp_Q9NZN5_2_ARHGC_HUMAN_.pdf", "Melting_Curves/meltCurve_sp_Q9NZN5_2_ARHGC_HUMAN_.pdf")</f>
        <v>Melting_Curves/meltCurve_sp_Q9NZN5_2_ARHGC_HUMAN_.pdf</v>
      </c>
      <c r="AA2730" t="s">
        <v>13579</v>
      </c>
      <c r="AB2730" t="s">
        <v>17154</v>
      </c>
    </row>
    <row r="2731" spans="1:28" x14ac:dyDescent="0.25">
      <c r="A2731" t="s">
        <v>2735</v>
      </c>
      <c r="B2731">
        <v>0.98018197421672304</v>
      </c>
      <c r="C2731">
        <v>1.0273053678375099</v>
      </c>
      <c r="D2731">
        <v>0.93945453944518498</v>
      </c>
      <c r="E2731">
        <v>0.71106285440831896</v>
      </c>
      <c r="F2731">
        <v>0.35586445325612298</v>
      </c>
      <c r="G2731">
        <v>0.178458252395404</v>
      </c>
      <c r="H2731">
        <v>0.13530732272003501</v>
      </c>
      <c r="I2731">
        <v>0.10775242551472999</v>
      </c>
      <c r="J2731">
        <v>0.24098550065636501</v>
      </c>
      <c r="K2731">
        <v>0.155678881717842</v>
      </c>
      <c r="L2731">
        <v>1578.8739485624301</v>
      </c>
      <c r="M2731">
        <v>30.960107659507301</v>
      </c>
      <c r="N2731">
        <v>51.6217587217157</v>
      </c>
      <c r="O2731">
        <v>50.7856988202075</v>
      </c>
      <c r="P2731">
        <v>-0.128593956284664</v>
      </c>
      <c r="Q2731">
        <v>0.156243728214922</v>
      </c>
      <c r="R2731">
        <v>0.99050534780895005</v>
      </c>
      <c r="S2731" t="s">
        <v>6360</v>
      </c>
      <c r="T2731" t="s">
        <v>7256</v>
      </c>
      <c r="U2731" t="s">
        <v>7256</v>
      </c>
      <c r="V2731" t="s">
        <v>7256</v>
      </c>
      <c r="W2731">
        <v>4</v>
      </c>
      <c r="X2731" t="s">
        <v>9987</v>
      </c>
      <c r="Y2731">
        <v>0.4705180312703286</v>
      </c>
      <c r="Z2731" t="str">
        <f>HYPERLINK("Melting_Curves/meltCurve_sp_Q9NZN8_4_CNOT2_HUMAN_.pdf", "Melting_Curves/meltCurve_sp_Q9NZN8_4_CNOT2_HUMAN_.pdf")</f>
        <v>Melting_Curves/meltCurve_sp_Q9NZN8_4_CNOT2_HUMAN_.pdf</v>
      </c>
      <c r="AA2731" t="s">
        <v>13580</v>
      </c>
      <c r="AB2731" t="s">
        <v>17155</v>
      </c>
    </row>
    <row r="2732" spans="1:28" x14ac:dyDescent="0.25">
      <c r="A2732" t="s">
        <v>2736</v>
      </c>
      <c r="B2732">
        <v>0.98018197421672304</v>
      </c>
      <c r="C2732">
        <v>0.80482938302343199</v>
      </c>
      <c r="D2732">
        <v>0.90418473362098295</v>
      </c>
      <c r="E2732">
        <v>0</v>
      </c>
      <c r="F2732">
        <v>0.84349176428481998</v>
      </c>
      <c r="G2732">
        <v>0.518728981323896</v>
      </c>
      <c r="H2732">
        <v>6.4480659336442495E-2</v>
      </c>
      <c r="I2732">
        <v>4.8962077550970803E-2</v>
      </c>
      <c r="J2732">
        <v>2.4267765962034799E-2</v>
      </c>
      <c r="K2732">
        <v>3.2556580967859003E-2</v>
      </c>
      <c r="L2732">
        <v>464.516537534002</v>
      </c>
      <c r="M2732">
        <v>9.0636728582730193</v>
      </c>
      <c r="N2732">
        <v>51.250353414160998</v>
      </c>
      <c r="O2732">
        <v>48.940215163492901</v>
      </c>
      <c r="P2732">
        <v>-4.6332462310472902E-2</v>
      </c>
      <c r="Q2732">
        <v>0</v>
      </c>
      <c r="R2732">
        <v>0.62975849409388995</v>
      </c>
      <c r="S2732" t="s">
        <v>6361</v>
      </c>
      <c r="T2732" t="s">
        <v>7256</v>
      </c>
      <c r="U2732" t="s">
        <v>7256</v>
      </c>
      <c r="V2732" t="s">
        <v>7256</v>
      </c>
      <c r="W2732">
        <v>1</v>
      </c>
      <c r="X2732" t="s">
        <v>9988</v>
      </c>
      <c r="Y2732">
        <v>0.42056263392563031</v>
      </c>
      <c r="Z2732" t="str">
        <f>HYPERLINK("Melting_Curves/meltCurve_sp_Q9NZN9_3_AIPL1_HUMAN_.pdf", "Melting_Curves/meltCurve_sp_Q9NZN9_3_AIPL1_HUMAN_.pdf")</f>
        <v>Melting_Curves/meltCurve_sp_Q9NZN9_3_AIPL1_HUMAN_.pdf</v>
      </c>
      <c r="AA2732" t="s">
        <v>13581</v>
      </c>
      <c r="AB2732" t="s">
        <v>17156</v>
      </c>
    </row>
    <row r="2733" spans="1:28" x14ac:dyDescent="0.25">
      <c r="A2733" t="s">
        <v>2737</v>
      </c>
      <c r="B2733">
        <v>0.98018197421672304</v>
      </c>
      <c r="C2733">
        <v>0.97025649236967204</v>
      </c>
      <c r="D2733">
        <v>0.85342423445623095</v>
      </c>
      <c r="E2733">
        <v>0.69172492877880498</v>
      </c>
      <c r="F2733">
        <v>0.50575167678745103</v>
      </c>
      <c r="G2733">
        <v>0.302904262029979</v>
      </c>
      <c r="H2733">
        <v>0.18316908445927901</v>
      </c>
      <c r="I2733">
        <v>0.15298880589988101</v>
      </c>
      <c r="J2733">
        <v>0.12744140507889601</v>
      </c>
      <c r="K2733">
        <v>0.137163984107258</v>
      </c>
      <c r="L2733">
        <v>729.43881051950598</v>
      </c>
      <c r="M2733">
        <v>13.9799686639192</v>
      </c>
      <c r="N2733">
        <v>52.956370906175501</v>
      </c>
      <c r="O2733">
        <v>51.144582377241001</v>
      </c>
      <c r="P2733">
        <v>-6.1993076429919303E-2</v>
      </c>
      <c r="Q2733">
        <v>9.2934122131447694E-2</v>
      </c>
      <c r="R2733">
        <v>0.99846979629777299</v>
      </c>
      <c r="S2733" t="s">
        <v>6362</v>
      </c>
      <c r="T2733" t="s">
        <v>7256</v>
      </c>
      <c r="U2733" t="s">
        <v>7256</v>
      </c>
      <c r="V2733" t="s">
        <v>7256</v>
      </c>
      <c r="W2733">
        <v>3</v>
      </c>
      <c r="X2733" t="s">
        <v>9989</v>
      </c>
      <c r="Y2733">
        <v>0.48346960260492361</v>
      </c>
      <c r="Z2733" t="str">
        <f>HYPERLINK("Melting_Curves/meltCurve_sp_Q9NZP8_C1RL_HUMAN_.pdf", "Melting_Curves/meltCurve_sp_Q9NZP8_C1RL_HUMAN_.pdf")</f>
        <v>Melting_Curves/meltCurve_sp_Q9NZP8_C1RL_HUMAN_.pdf</v>
      </c>
      <c r="AA2733" t="s">
        <v>13582</v>
      </c>
      <c r="AB2733" t="s">
        <v>17157</v>
      </c>
    </row>
    <row r="2734" spans="1:28" x14ac:dyDescent="0.25">
      <c r="A2734" t="s">
        <v>2738</v>
      </c>
      <c r="B2734">
        <v>0.98018197421672304</v>
      </c>
      <c r="C2734">
        <v>0.96901097436737604</v>
      </c>
      <c r="D2734">
        <v>0.76598527572212405</v>
      </c>
      <c r="E2734">
        <v>0.46774542357404802</v>
      </c>
      <c r="F2734">
        <v>0.275599052635149</v>
      </c>
      <c r="G2734">
        <v>0.16387466171085799</v>
      </c>
      <c r="H2734">
        <v>8.87793429556442E-2</v>
      </c>
      <c r="I2734">
        <v>7.9556218689337696E-2</v>
      </c>
      <c r="J2734">
        <v>8.7954938523680401E-2</v>
      </c>
      <c r="K2734">
        <v>6.9963017044958303E-2</v>
      </c>
      <c r="L2734">
        <v>860.24833637136396</v>
      </c>
      <c r="M2734">
        <v>17.498112552805601</v>
      </c>
      <c r="N2734">
        <v>49.591809645795699</v>
      </c>
      <c r="O2734">
        <v>48.533736172022103</v>
      </c>
      <c r="P2734">
        <v>-8.38015655531303E-2</v>
      </c>
      <c r="Q2734">
        <v>7.0304633340124004E-2</v>
      </c>
      <c r="R2734">
        <v>0.99823509915826603</v>
      </c>
      <c r="S2734" t="s">
        <v>6363</v>
      </c>
      <c r="T2734" t="s">
        <v>7256</v>
      </c>
      <c r="U2734" t="s">
        <v>7256</v>
      </c>
      <c r="V2734" t="s">
        <v>7256</v>
      </c>
      <c r="W2734">
        <v>2</v>
      </c>
      <c r="X2734" t="s">
        <v>9990</v>
      </c>
      <c r="Y2734">
        <v>0.37122056489561012</v>
      </c>
      <c r="Z2734" t="str">
        <f>HYPERLINK("Melting_Curves/meltCurve_sp_Q9NZT2_2_OGFR_HUMAN_.pdf", "Melting_Curves/meltCurve_sp_Q9NZT2_2_OGFR_HUMAN_.pdf")</f>
        <v>Melting_Curves/meltCurve_sp_Q9NZT2_2_OGFR_HUMAN_.pdf</v>
      </c>
      <c r="AA2734" t="s">
        <v>13583</v>
      </c>
      <c r="AB2734" t="s">
        <v>17158</v>
      </c>
    </row>
    <row r="2735" spans="1:28" x14ac:dyDescent="0.25">
      <c r="A2735" t="s">
        <v>2739</v>
      </c>
      <c r="B2735">
        <v>0.98018197421672304</v>
      </c>
      <c r="C2735">
        <v>0.98536547991659595</v>
      </c>
      <c r="D2735">
        <v>0.90262260802819505</v>
      </c>
      <c r="E2735">
        <v>0.82638652274943902</v>
      </c>
      <c r="F2735">
        <v>0.482738756488587</v>
      </c>
      <c r="G2735">
        <v>9.7465139840520604E-2</v>
      </c>
      <c r="H2735">
        <v>8.3009888566930395E-2</v>
      </c>
      <c r="I2735">
        <v>8.9939470203705699E-2</v>
      </c>
      <c r="J2735">
        <v>0.107525451765142</v>
      </c>
      <c r="K2735">
        <v>0.16838383866027201</v>
      </c>
      <c r="L2735">
        <v>1730.6591245938</v>
      </c>
      <c r="M2735">
        <v>33.078545668509797</v>
      </c>
      <c r="N2735">
        <v>52.672064542727298</v>
      </c>
      <c r="O2735">
        <v>52.1295800849066</v>
      </c>
      <c r="P2735">
        <v>-0.14289045881281801</v>
      </c>
      <c r="Q2735">
        <v>9.9260682234057998E-2</v>
      </c>
      <c r="R2735">
        <v>0.98789093751838997</v>
      </c>
      <c r="S2735" t="s">
        <v>6364</v>
      </c>
      <c r="T2735" t="s">
        <v>7256</v>
      </c>
      <c r="U2735" t="s">
        <v>7256</v>
      </c>
      <c r="V2735" t="s">
        <v>7256</v>
      </c>
      <c r="W2735">
        <v>5</v>
      </c>
      <c r="X2735" t="s">
        <v>9991</v>
      </c>
      <c r="Y2735">
        <v>0.4739185761738991</v>
      </c>
      <c r="Z2735" t="str">
        <f>HYPERLINK("Melting_Curves/meltCurve_sp_Q9NZU5_LMCD1_HUMAN_.pdf", "Melting_Curves/meltCurve_sp_Q9NZU5_LMCD1_HUMAN_.pdf")</f>
        <v>Melting_Curves/meltCurve_sp_Q9NZU5_LMCD1_HUMAN_.pdf</v>
      </c>
      <c r="AA2735" t="s">
        <v>13584</v>
      </c>
      <c r="AB2735" t="s">
        <v>17159</v>
      </c>
    </row>
    <row r="2736" spans="1:28" x14ac:dyDescent="0.25">
      <c r="A2736" t="s">
        <v>2740</v>
      </c>
      <c r="B2736">
        <v>0.98018197421672304</v>
      </c>
      <c r="C2736">
        <v>1.1669052489034999</v>
      </c>
      <c r="D2736">
        <v>1.03703010694821</v>
      </c>
      <c r="E2736">
        <v>0.91936633057429695</v>
      </c>
      <c r="F2736">
        <v>0.75354949594066301</v>
      </c>
      <c r="G2736">
        <v>0.51812923495834895</v>
      </c>
      <c r="H2736">
        <v>0.54022922432270803</v>
      </c>
      <c r="I2736">
        <v>0.60437060817806099</v>
      </c>
      <c r="J2736">
        <v>0.73707884809161495</v>
      </c>
      <c r="K2736">
        <v>0.95860362763923901</v>
      </c>
      <c r="L2736">
        <v>2508.9871068228399</v>
      </c>
      <c r="M2736">
        <v>48.866530627207702</v>
      </c>
      <c r="O2736">
        <v>51.257906082733399</v>
      </c>
      <c r="P2736">
        <v>-7.7602909118531502E-2</v>
      </c>
      <c r="Q2736">
        <v>0.67439809077887303</v>
      </c>
      <c r="R2736">
        <v>0.63690816473108203</v>
      </c>
      <c r="S2736" t="s">
        <v>6365</v>
      </c>
      <c r="T2736" t="s">
        <v>7256</v>
      </c>
      <c r="U2736" t="s">
        <v>7256</v>
      </c>
      <c r="V2736" t="s">
        <v>7256</v>
      </c>
      <c r="W2736">
        <v>4</v>
      </c>
      <c r="X2736" t="s">
        <v>9992</v>
      </c>
      <c r="Y2736">
        <v>0.79828765105125243</v>
      </c>
      <c r="Z2736" t="str">
        <f>HYPERLINK("Melting_Curves/meltCurve_sp_Q9NZZ3_CHMP5_HUMAN_.pdf", "Melting_Curves/meltCurve_sp_Q9NZZ3_CHMP5_HUMAN_.pdf")</f>
        <v>Melting_Curves/meltCurve_sp_Q9NZZ3_CHMP5_HUMAN_.pdf</v>
      </c>
      <c r="AA2736" t="s">
        <v>13585</v>
      </c>
      <c r="AB2736" t="s">
        <v>17160</v>
      </c>
    </row>
    <row r="2737" spans="1:28" x14ac:dyDescent="0.25">
      <c r="A2737" t="s">
        <v>2741</v>
      </c>
      <c r="B2737">
        <v>0.98018197421672304</v>
      </c>
      <c r="C2737">
        <v>0.96789998883351003</v>
      </c>
      <c r="D2737">
        <v>0.87012611319830901</v>
      </c>
      <c r="E2737">
        <v>0.68093589798217802</v>
      </c>
      <c r="F2737">
        <v>0.53955398670279398</v>
      </c>
      <c r="G2737">
        <v>0.30457562294273399</v>
      </c>
      <c r="H2737">
        <v>0.18997839406605699</v>
      </c>
      <c r="I2737">
        <v>0.12826759704891399</v>
      </c>
      <c r="J2737">
        <v>0.111774520259619</v>
      </c>
      <c r="K2737">
        <v>0.105544684002845</v>
      </c>
      <c r="L2737">
        <v>694.577239574842</v>
      </c>
      <c r="M2737">
        <v>13.163771584619001</v>
      </c>
      <c r="N2737">
        <v>53.250154908500299</v>
      </c>
      <c r="O2737">
        <v>51.591218746024502</v>
      </c>
      <c r="P2737">
        <v>-6.01893756825247E-2</v>
      </c>
      <c r="Q2737">
        <v>5.6586561038292599E-2</v>
      </c>
      <c r="R2737">
        <v>0.99873057406913701</v>
      </c>
      <c r="S2737" t="s">
        <v>6366</v>
      </c>
      <c r="T2737" t="s">
        <v>7256</v>
      </c>
      <c r="U2737" t="s">
        <v>7256</v>
      </c>
      <c r="V2737" t="s">
        <v>7256</v>
      </c>
      <c r="W2737">
        <v>6</v>
      </c>
      <c r="X2737" t="s">
        <v>9993</v>
      </c>
      <c r="Y2737">
        <v>0.48243024634163773</v>
      </c>
      <c r="Z2737" t="str">
        <f>HYPERLINK("Melting_Curves/meltCurve_sp_Q9P000_COMD9_HUMAN_.pdf", "Melting_Curves/meltCurve_sp_Q9P000_COMD9_HUMAN_.pdf")</f>
        <v>Melting_Curves/meltCurve_sp_Q9P000_COMD9_HUMAN_.pdf</v>
      </c>
      <c r="AA2737" t="s">
        <v>13586</v>
      </c>
      <c r="AB2737" t="s">
        <v>17161</v>
      </c>
    </row>
    <row r="2738" spans="1:28" x14ac:dyDescent="0.25">
      <c r="A2738" t="s">
        <v>2742</v>
      </c>
      <c r="B2738">
        <v>0.98018197421672304</v>
      </c>
      <c r="C2738">
        <v>1.04819238760648</v>
      </c>
      <c r="D2738">
        <v>0.88547157028172496</v>
      </c>
      <c r="E2738">
        <v>0.76234984053940802</v>
      </c>
      <c r="F2738">
        <v>0.72606736040507103</v>
      </c>
      <c r="G2738">
        <v>0.45295844647550898</v>
      </c>
      <c r="H2738">
        <v>0.47293750906786602</v>
      </c>
      <c r="I2738">
        <v>0.48084624362004103</v>
      </c>
      <c r="J2738">
        <v>0.66033583956634001</v>
      </c>
      <c r="K2738">
        <v>0.81908116591027502</v>
      </c>
      <c r="L2738">
        <v>1174.45984315389</v>
      </c>
      <c r="M2738">
        <v>23.858318191430001</v>
      </c>
      <c r="O2738">
        <v>48.884515914039</v>
      </c>
      <c r="P2738">
        <v>-5.0451529852473899E-2</v>
      </c>
      <c r="Q2738">
        <v>0.58651600568251605</v>
      </c>
      <c r="R2738">
        <v>0.707580967669593</v>
      </c>
      <c r="S2738" t="s">
        <v>6367</v>
      </c>
      <c r="T2738" t="s">
        <v>7256</v>
      </c>
      <c r="U2738" t="s">
        <v>7256</v>
      </c>
      <c r="V2738" t="s">
        <v>7256</v>
      </c>
      <c r="W2738">
        <v>5</v>
      </c>
      <c r="X2738" t="s">
        <v>9994</v>
      </c>
      <c r="Y2738">
        <v>0.71772049820188433</v>
      </c>
      <c r="Z2738" t="str">
        <f>HYPERLINK("Melting_Curves/meltCurve_sp_Q9P013_CWC15_HUMAN_.pdf", "Melting_Curves/meltCurve_sp_Q9P013_CWC15_HUMAN_.pdf")</f>
        <v>Melting_Curves/meltCurve_sp_Q9P013_CWC15_HUMAN_.pdf</v>
      </c>
      <c r="AA2738" t="s">
        <v>13587</v>
      </c>
      <c r="AB2738" t="s">
        <v>17162</v>
      </c>
    </row>
    <row r="2739" spans="1:28" x14ac:dyDescent="0.25">
      <c r="A2739" t="s">
        <v>2743</v>
      </c>
      <c r="B2739">
        <v>0.98018197421672304</v>
      </c>
      <c r="C2739">
        <v>1.0526984859625299</v>
      </c>
      <c r="D2739">
        <v>0.87494288608206405</v>
      </c>
      <c r="E2739">
        <v>0.30427669827724702</v>
      </c>
      <c r="F2739">
        <v>0.14931860411384501</v>
      </c>
      <c r="G2739">
        <v>9.7771177220756594E-2</v>
      </c>
      <c r="H2739">
        <v>5.4881105965978297E-2</v>
      </c>
      <c r="I2739">
        <v>4.41933203262437E-2</v>
      </c>
      <c r="J2739">
        <v>4.6508812950814701E-2</v>
      </c>
      <c r="K2739">
        <v>4.0634239959624799E-2</v>
      </c>
      <c r="L2739">
        <v>1626.28438234291</v>
      </c>
      <c r="M2739">
        <v>33.490455567269301</v>
      </c>
      <c r="N2739">
        <v>48.745425394483902</v>
      </c>
      <c r="O2739">
        <v>48.387484973293098</v>
      </c>
      <c r="P2739">
        <v>-0.16266566911934599</v>
      </c>
      <c r="Q2739">
        <v>5.9917357921558501E-2</v>
      </c>
      <c r="R2739">
        <v>0.99524940411547602</v>
      </c>
      <c r="S2739" t="s">
        <v>6368</v>
      </c>
      <c r="T2739" t="s">
        <v>7256</v>
      </c>
      <c r="U2739" t="s">
        <v>7256</v>
      </c>
      <c r="V2739" t="s">
        <v>7256</v>
      </c>
      <c r="W2739">
        <v>6</v>
      </c>
      <c r="X2739" t="s">
        <v>9995</v>
      </c>
      <c r="Y2739">
        <v>0.332681871841157</v>
      </c>
      <c r="Z2739" t="str">
        <f>HYPERLINK("Melting_Curves/meltCurve_sp_Q9P016_THYN1_HUMAN_.pdf", "Melting_Curves/meltCurve_sp_Q9P016_THYN1_HUMAN_.pdf")</f>
        <v>Melting_Curves/meltCurve_sp_Q9P016_THYN1_HUMAN_.pdf</v>
      </c>
      <c r="AA2739" t="s">
        <v>13588</v>
      </c>
      <c r="AB2739" t="s">
        <v>17163</v>
      </c>
    </row>
    <row r="2740" spans="1:28" x14ac:dyDescent="0.25">
      <c r="A2740" t="s">
        <v>2744</v>
      </c>
      <c r="B2740">
        <v>0.98018197421672304</v>
      </c>
      <c r="C2740">
        <v>1.14298573009132</v>
      </c>
      <c r="D2740">
        <v>0.82710028513991996</v>
      </c>
      <c r="E2740">
        <v>0.55371166466043598</v>
      </c>
      <c r="F2740">
        <v>0.36572952712363699</v>
      </c>
      <c r="G2740">
        <v>0.15376953498772</v>
      </c>
      <c r="H2740">
        <v>0.13589175348223401</v>
      </c>
      <c r="I2740">
        <v>0.13602404816150099</v>
      </c>
      <c r="J2740">
        <v>5.5584095266658598E-2</v>
      </c>
      <c r="K2740">
        <v>6.9862142157376503E-2</v>
      </c>
      <c r="L2740">
        <v>991.89973322742503</v>
      </c>
      <c r="M2740">
        <v>19.699232253660401</v>
      </c>
      <c r="N2740">
        <v>50.836289188070303</v>
      </c>
      <c r="O2740">
        <v>49.841931008452796</v>
      </c>
      <c r="P2740">
        <v>-9.0361491455008505E-2</v>
      </c>
      <c r="Q2740">
        <v>8.5520584677151096E-2</v>
      </c>
      <c r="R2740">
        <v>0.97510736710920198</v>
      </c>
      <c r="S2740" t="s">
        <v>6369</v>
      </c>
      <c r="T2740" t="s">
        <v>7256</v>
      </c>
      <c r="U2740" t="s">
        <v>7256</v>
      </c>
      <c r="V2740" t="s">
        <v>7256</v>
      </c>
      <c r="W2740">
        <v>1</v>
      </c>
      <c r="X2740" t="s">
        <v>9996</v>
      </c>
      <c r="Y2740">
        <v>0.41417403554960142</v>
      </c>
      <c r="Z2740" t="str">
        <f>HYPERLINK("Melting_Curves/meltCurve_sp_Q9P032_NDUF4_HUMAN_.pdf", "Melting_Curves/meltCurve_sp_Q9P032_NDUF4_HUMAN_.pdf")</f>
        <v>Melting_Curves/meltCurve_sp_Q9P032_NDUF4_HUMAN_.pdf</v>
      </c>
      <c r="AA2740" t="s">
        <v>13589</v>
      </c>
      <c r="AB2740" t="s">
        <v>17164</v>
      </c>
    </row>
    <row r="2741" spans="1:28" x14ac:dyDescent="0.25">
      <c r="A2741" t="s">
        <v>2745</v>
      </c>
      <c r="B2741">
        <v>0.98018197421672304</v>
      </c>
      <c r="C2741">
        <v>0.72731689992742499</v>
      </c>
      <c r="D2741">
        <v>0.58869349857418996</v>
      </c>
      <c r="E2741">
        <v>0.40405878256757899</v>
      </c>
      <c r="F2741">
        <v>0.36247815381987503</v>
      </c>
      <c r="G2741">
        <v>0.220376843266756</v>
      </c>
      <c r="H2741">
        <v>0.18153509415229299</v>
      </c>
      <c r="I2741">
        <v>0.115168530148532</v>
      </c>
      <c r="J2741">
        <v>0.16470762349577101</v>
      </c>
      <c r="K2741">
        <v>0.163924738091204</v>
      </c>
      <c r="L2741">
        <v>549.83275759142202</v>
      </c>
      <c r="M2741">
        <v>11.747055064009199</v>
      </c>
      <c r="N2741">
        <v>48.040942433102103</v>
      </c>
      <c r="O2741">
        <v>45.511350279325498</v>
      </c>
      <c r="P2741">
        <v>-5.6133593277395803E-2</v>
      </c>
      <c r="Q2741">
        <v>0.13031922471416699</v>
      </c>
      <c r="R2741">
        <v>0.97846159535270305</v>
      </c>
      <c r="S2741" t="s">
        <v>6370</v>
      </c>
      <c r="T2741" t="s">
        <v>7256</v>
      </c>
      <c r="U2741" t="s">
        <v>7256</v>
      </c>
      <c r="V2741" t="s">
        <v>7256</v>
      </c>
      <c r="W2741">
        <v>2</v>
      </c>
      <c r="X2741" t="s">
        <v>9997</v>
      </c>
      <c r="Y2741">
        <v>0.36614422035100541</v>
      </c>
      <c r="Z2741" t="str">
        <f>HYPERLINK("Melting_Curves/meltCurve_sp_Q9P0J1_PDP1_HUMAN_.pdf", "Melting_Curves/meltCurve_sp_Q9P0J1_PDP1_HUMAN_.pdf")</f>
        <v>Melting_Curves/meltCurve_sp_Q9P0J1_PDP1_HUMAN_.pdf</v>
      </c>
      <c r="AA2741" t="s">
        <v>13590</v>
      </c>
      <c r="AB2741" t="s">
        <v>17165</v>
      </c>
    </row>
    <row r="2742" spans="1:28" x14ac:dyDescent="0.25">
      <c r="A2742" t="s">
        <v>2746</v>
      </c>
      <c r="B2742">
        <v>0.98018197421672304</v>
      </c>
      <c r="C2742">
        <v>0.945322913261885</v>
      </c>
      <c r="D2742">
        <v>0.86810556220844604</v>
      </c>
      <c r="E2742">
        <v>0.66001748212472899</v>
      </c>
      <c r="F2742">
        <v>0.45234078509193398</v>
      </c>
      <c r="G2742">
        <v>0.30934188362270498</v>
      </c>
      <c r="H2742">
        <v>0.25385300376488901</v>
      </c>
      <c r="I2742">
        <v>0.24286587457167799</v>
      </c>
      <c r="J2742">
        <v>0.29090879947384302</v>
      </c>
      <c r="K2742">
        <v>0.20409921419768901</v>
      </c>
      <c r="L2742">
        <v>863.22957281679805</v>
      </c>
      <c r="M2742">
        <v>17.124989846436399</v>
      </c>
      <c r="N2742">
        <v>52.255179363645098</v>
      </c>
      <c r="O2742">
        <v>49.735301579708199</v>
      </c>
      <c r="P2742">
        <v>-6.6536111977280099E-2</v>
      </c>
      <c r="Q2742">
        <v>0.22709577506589099</v>
      </c>
      <c r="R2742">
        <v>0.99450288303874201</v>
      </c>
      <c r="S2742" t="s">
        <v>6371</v>
      </c>
      <c r="T2742" t="s">
        <v>7256</v>
      </c>
      <c r="U2742" t="s">
        <v>7256</v>
      </c>
      <c r="V2742" t="s">
        <v>7256</v>
      </c>
      <c r="W2742">
        <v>11</v>
      </c>
      <c r="X2742" t="s">
        <v>9998</v>
      </c>
      <c r="Y2742">
        <v>0.50960756085344483</v>
      </c>
      <c r="Z2742" t="str">
        <f>HYPERLINK("Melting_Curves/meltCurve_sp_Q9P0K7_3_RAI14_HUMAN_.pdf", "Melting_Curves/meltCurve_sp_Q9P0K7_3_RAI14_HUMAN_.pdf")</f>
        <v>Melting_Curves/meltCurve_sp_Q9P0K7_3_RAI14_HUMAN_.pdf</v>
      </c>
      <c r="AA2742" t="s">
        <v>13591</v>
      </c>
      <c r="AB2742" t="s">
        <v>17166</v>
      </c>
    </row>
    <row r="2743" spans="1:28" x14ac:dyDescent="0.25">
      <c r="A2743" t="s">
        <v>2747</v>
      </c>
      <c r="B2743">
        <v>0.98018197421672304</v>
      </c>
      <c r="C2743">
        <v>0.89166081340355197</v>
      </c>
      <c r="D2743">
        <v>0.81884615033958597</v>
      </c>
      <c r="E2743">
        <v>0.659966458798664</v>
      </c>
      <c r="F2743">
        <v>0.70366442325347001</v>
      </c>
      <c r="G2743">
        <v>0.63701105718564999</v>
      </c>
      <c r="H2743">
        <v>0.51186175964923497</v>
      </c>
      <c r="I2743">
        <v>0.47385477645089202</v>
      </c>
      <c r="J2743">
        <v>0.51155021879068596</v>
      </c>
      <c r="K2743">
        <v>0.41284958051485598</v>
      </c>
      <c r="L2743">
        <v>365.12875092591702</v>
      </c>
      <c r="M2743">
        <v>6.9141592674170598</v>
      </c>
      <c r="N2743">
        <v>63.488676484499997</v>
      </c>
      <c r="O2743">
        <v>48.921847762382299</v>
      </c>
      <c r="P2743">
        <v>-2.32324714087935E-2</v>
      </c>
      <c r="Q2743">
        <v>0.34373792184247098</v>
      </c>
      <c r="R2743">
        <v>0.95384124808493098</v>
      </c>
      <c r="S2743" t="s">
        <v>6372</v>
      </c>
      <c r="T2743" t="s">
        <v>7256</v>
      </c>
      <c r="U2743" t="s">
        <v>7256</v>
      </c>
      <c r="V2743" t="s">
        <v>7256</v>
      </c>
      <c r="W2743">
        <v>4</v>
      </c>
      <c r="X2743" t="s">
        <v>9999</v>
      </c>
      <c r="Y2743">
        <v>0.65418415732530033</v>
      </c>
      <c r="Z2743" t="str">
        <f>HYPERLINK("Melting_Curves/meltCurve_sp_Q9P0L0_VAPA_HUMAN_.pdf", "Melting_Curves/meltCurve_sp_Q9P0L0_VAPA_HUMAN_.pdf")</f>
        <v>Melting_Curves/meltCurve_sp_Q9P0L0_VAPA_HUMAN_.pdf</v>
      </c>
      <c r="AA2743" t="s">
        <v>13592</v>
      </c>
      <c r="AB2743" t="s">
        <v>17167</v>
      </c>
    </row>
    <row r="2744" spans="1:28" x14ac:dyDescent="0.25">
      <c r="A2744" t="s">
        <v>2748</v>
      </c>
      <c r="B2744">
        <v>0.98018197421672304</v>
      </c>
      <c r="C2744">
        <v>0.97451718164491197</v>
      </c>
      <c r="D2744">
        <v>0.96771573742649897</v>
      </c>
      <c r="E2744">
        <v>0.80939116773097197</v>
      </c>
      <c r="F2744">
        <v>0.817074923347888</v>
      </c>
      <c r="G2744">
        <v>0.58486248213437197</v>
      </c>
      <c r="H2744">
        <v>0.24534705894408701</v>
      </c>
      <c r="I2744">
        <v>0.20583664593394099</v>
      </c>
      <c r="J2744">
        <v>0.15237549371557799</v>
      </c>
      <c r="K2744">
        <v>0.17656858185486701</v>
      </c>
      <c r="L2744">
        <v>899.87631959389603</v>
      </c>
      <c r="M2744">
        <v>15.867900351891601</v>
      </c>
      <c r="N2744">
        <v>57.4274898997677</v>
      </c>
      <c r="O2744">
        <v>55.832724300691297</v>
      </c>
      <c r="P2744">
        <v>-6.4671481915064E-2</v>
      </c>
      <c r="Q2744">
        <v>8.9862693160924101E-2</v>
      </c>
      <c r="R2744">
        <v>0.98133981653164704</v>
      </c>
      <c r="S2744" t="s">
        <v>6373</v>
      </c>
      <c r="T2744" t="s">
        <v>7256</v>
      </c>
      <c r="U2744" t="s">
        <v>7256</v>
      </c>
      <c r="V2744" t="s">
        <v>7256</v>
      </c>
      <c r="W2744">
        <v>2</v>
      </c>
      <c r="X2744" t="s">
        <v>10000</v>
      </c>
      <c r="Y2744">
        <v>0.61117376525237999</v>
      </c>
      <c r="Z2744" t="str">
        <f>HYPERLINK("Melting_Curves/meltCurve_sp_Q9P0P8_CF203_HUMAN_.pdf", "Melting_Curves/meltCurve_sp_Q9P0P8_CF203_HUMAN_.pdf")</f>
        <v>Melting_Curves/meltCurve_sp_Q9P0P8_CF203_HUMAN_.pdf</v>
      </c>
      <c r="AA2744" t="s">
        <v>13593</v>
      </c>
      <c r="AB2744" t="s">
        <v>17168</v>
      </c>
    </row>
    <row r="2745" spans="1:28" x14ac:dyDescent="0.25">
      <c r="A2745" t="s">
        <v>2749</v>
      </c>
      <c r="B2745">
        <v>0.98018197421672304</v>
      </c>
      <c r="C2745">
        <v>0.97697431327392203</v>
      </c>
      <c r="D2745">
        <v>0.854735501144404</v>
      </c>
      <c r="E2745">
        <v>0.76755277621439799</v>
      </c>
      <c r="F2745">
        <v>0.59487892986941204</v>
      </c>
      <c r="G2745">
        <v>0.38537711815846099</v>
      </c>
      <c r="H2745">
        <v>0.35074281678918501</v>
      </c>
      <c r="I2745">
        <v>0.28786056206682997</v>
      </c>
      <c r="J2745">
        <v>0.32903228032750798</v>
      </c>
      <c r="K2745">
        <v>0.31026207798410999</v>
      </c>
      <c r="L2745">
        <v>787.37559868051198</v>
      </c>
      <c r="M2745">
        <v>15.212724281839099</v>
      </c>
      <c r="N2745">
        <v>54.734775161725402</v>
      </c>
      <c r="O2745">
        <v>50.888059117433102</v>
      </c>
      <c r="P2745">
        <v>-5.3709350337645199E-2</v>
      </c>
      <c r="Q2745">
        <v>0.28141645981081798</v>
      </c>
      <c r="R2745">
        <v>0.989701823092626</v>
      </c>
      <c r="S2745" t="s">
        <v>6374</v>
      </c>
      <c r="T2745" t="s">
        <v>7256</v>
      </c>
      <c r="U2745" t="s">
        <v>7256</v>
      </c>
      <c r="V2745" t="s">
        <v>7256</v>
      </c>
      <c r="W2745">
        <v>1</v>
      </c>
      <c r="X2745" t="s">
        <v>10001</v>
      </c>
      <c r="Y2745">
        <v>0.57889180241446581</v>
      </c>
      <c r="Z2745" t="str">
        <f>HYPERLINK("Melting_Curves/meltCurve_sp_Q9P0R6_GSKIP_HUMAN_.pdf", "Melting_Curves/meltCurve_sp_Q9P0R6_GSKIP_HUMAN_.pdf")</f>
        <v>Melting_Curves/meltCurve_sp_Q9P0R6_GSKIP_HUMAN_.pdf</v>
      </c>
      <c r="AA2745" t="s">
        <v>13594</v>
      </c>
      <c r="AB2745" t="s">
        <v>17169</v>
      </c>
    </row>
    <row r="2746" spans="1:28" x14ac:dyDescent="0.25">
      <c r="A2746" t="s">
        <v>2750</v>
      </c>
      <c r="B2746">
        <v>0.98018197421672304</v>
      </c>
      <c r="C2746">
        <v>1.0332596564155501</v>
      </c>
      <c r="D2746">
        <v>0.92851366244966105</v>
      </c>
      <c r="E2746">
        <v>0.84231311828486399</v>
      </c>
      <c r="F2746">
        <v>0.766973817264888</v>
      </c>
      <c r="G2746">
        <v>0.60506798686295504</v>
      </c>
      <c r="H2746">
        <v>0.35428263702926299</v>
      </c>
      <c r="I2746">
        <v>0.25092482404748301</v>
      </c>
      <c r="J2746">
        <v>0.117367045067021</v>
      </c>
      <c r="K2746">
        <v>7.53477713792267E-2</v>
      </c>
      <c r="L2746">
        <v>741.30825534043299</v>
      </c>
      <c r="M2746">
        <v>12.7594759613002</v>
      </c>
      <c r="N2746">
        <v>58.098644324081</v>
      </c>
      <c r="O2746">
        <v>56.727004643470799</v>
      </c>
      <c r="P2746">
        <v>-5.6242594734624202E-2</v>
      </c>
      <c r="Q2746">
        <v>0</v>
      </c>
      <c r="R2746">
        <v>0.99173085407386896</v>
      </c>
      <c r="S2746" t="s">
        <v>6375</v>
      </c>
      <c r="T2746" t="s">
        <v>7256</v>
      </c>
      <c r="U2746" t="s">
        <v>7256</v>
      </c>
      <c r="V2746" t="s">
        <v>7256</v>
      </c>
      <c r="W2746">
        <v>25</v>
      </c>
      <c r="X2746" t="s">
        <v>10002</v>
      </c>
      <c r="Y2746">
        <v>0.61607528684444191</v>
      </c>
      <c r="Z2746" t="str">
        <f>HYPERLINK("Melting_Curves/meltCurve_sp_Q9P0Z9_SOX_HUMAN_.pdf", "Melting_Curves/meltCurve_sp_Q9P0Z9_SOX_HUMAN_.pdf")</f>
        <v>Melting_Curves/meltCurve_sp_Q9P0Z9_SOX_HUMAN_.pdf</v>
      </c>
      <c r="AA2746" t="s">
        <v>13595</v>
      </c>
      <c r="AB2746" t="s">
        <v>17170</v>
      </c>
    </row>
    <row r="2747" spans="1:28" x14ac:dyDescent="0.25">
      <c r="A2747" t="s">
        <v>2751</v>
      </c>
      <c r="B2747">
        <v>0.98018197421672304</v>
      </c>
      <c r="C2747">
        <v>0.92628164242287203</v>
      </c>
      <c r="D2747">
        <v>1.04954487105664</v>
      </c>
      <c r="E2747">
        <v>0.88797648399848395</v>
      </c>
      <c r="F2747">
        <v>1.08229350981959</v>
      </c>
      <c r="G2747">
        <v>0.88108085427190197</v>
      </c>
      <c r="H2747">
        <v>0.75664263252723996</v>
      </c>
      <c r="I2747">
        <v>0.883062124922809</v>
      </c>
      <c r="J2747">
        <v>0.64018251519713698</v>
      </c>
      <c r="K2747">
        <v>1.08051905360169</v>
      </c>
      <c r="S2747" t="s">
        <v>6376</v>
      </c>
      <c r="T2747" t="s">
        <v>7256</v>
      </c>
      <c r="U2747" t="s">
        <v>7257</v>
      </c>
      <c r="V2747" t="s">
        <v>7256</v>
      </c>
      <c r="W2747">
        <v>2</v>
      </c>
      <c r="X2747" t="s">
        <v>10003</v>
      </c>
      <c r="Z2747" t="str">
        <f>HYPERLINK("Melting_Curves/meltCurve_sp_Q9P1F3_ABRAL_HUMAN_.pdf", "Melting_Curves/meltCurve_sp_Q9P1F3_ABRAL_HUMAN_.pdf")</f>
        <v>Melting_Curves/meltCurve_sp_Q9P1F3_ABRAL_HUMAN_.pdf</v>
      </c>
      <c r="AA2747" t="s">
        <v>13596</v>
      </c>
      <c r="AB2747" t="s">
        <v>17171</v>
      </c>
    </row>
    <row r="2748" spans="1:28" x14ac:dyDescent="0.25">
      <c r="A2748" t="s">
        <v>2752</v>
      </c>
      <c r="B2748">
        <v>0.98018197421672304</v>
      </c>
      <c r="C2748">
        <v>1.0124024957536899</v>
      </c>
      <c r="D2748">
        <v>0.86718842699298104</v>
      </c>
      <c r="E2748">
        <v>0.681509627632086</v>
      </c>
      <c r="F2748">
        <v>0.50886147431280204</v>
      </c>
      <c r="G2748">
        <v>0.27736536735605199</v>
      </c>
      <c r="H2748">
        <v>0.27363107051499802</v>
      </c>
      <c r="I2748">
        <v>0.276215208522613</v>
      </c>
      <c r="J2748">
        <v>0.29925154519609898</v>
      </c>
      <c r="K2748">
        <v>0.37279423883038998</v>
      </c>
      <c r="L2748">
        <v>1060.0348629099001</v>
      </c>
      <c r="M2748">
        <v>21.060123908007402</v>
      </c>
      <c r="N2748">
        <v>52.487304069942901</v>
      </c>
      <c r="O2748">
        <v>49.8865108872943</v>
      </c>
      <c r="P2748">
        <v>-7.5011075934500293E-2</v>
      </c>
      <c r="Q2748">
        <v>0.28928403309670297</v>
      </c>
      <c r="R2748">
        <v>0.97887910434386105</v>
      </c>
      <c r="S2748" t="s">
        <v>6377</v>
      </c>
      <c r="T2748" t="s">
        <v>7256</v>
      </c>
      <c r="U2748" t="s">
        <v>7256</v>
      </c>
      <c r="V2748" t="s">
        <v>7256</v>
      </c>
      <c r="W2748">
        <v>9</v>
      </c>
      <c r="X2748" t="s">
        <v>10004</v>
      </c>
      <c r="Y2748">
        <v>0.54303859945033228</v>
      </c>
      <c r="Z2748" t="str">
        <f>HYPERLINK("Melting_Curves/meltCurve_sp_Q9P1Y5_CAMP3_HUMAN_.pdf", "Melting_Curves/meltCurve_sp_Q9P1Y5_CAMP3_HUMAN_.pdf")</f>
        <v>Melting_Curves/meltCurve_sp_Q9P1Y5_CAMP3_HUMAN_.pdf</v>
      </c>
      <c r="AA2748" t="s">
        <v>13597</v>
      </c>
      <c r="AB2748" t="s">
        <v>17172</v>
      </c>
    </row>
    <row r="2749" spans="1:28" x14ac:dyDescent="0.25">
      <c r="A2749" t="s">
        <v>2753</v>
      </c>
      <c r="B2749">
        <v>0.98018197421672304</v>
      </c>
      <c r="C2749">
        <v>0.955186006804431</v>
      </c>
      <c r="D2749">
        <v>0.74186447848383397</v>
      </c>
      <c r="E2749">
        <v>0.65693095291631698</v>
      </c>
      <c r="F2749">
        <v>0.605603656764932</v>
      </c>
      <c r="G2749">
        <v>0.42812186414073899</v>
      </c>
      <c r="H2749">
        <v>0.27567225394762301</v>
      </c>
      <c r="I2749">
        <v>0.27205857039480402</v>
      </c>
      <c r="J2749">
        <v>0.393746431546734</v>
      </c>
      <c r="K2749">
        <v>0.312380395478354</v>
      </c>
      <c r="L2749">
        <v>574.47228714676203</v>
      </c>
      <c r="M2749">
        <v>11.3884084927516</v>
      </c>
      <c r="N2749">
        <v>54.126289376626097</v>
      </c>
      <c r="O2749">
        <v>48.963361689410497</v>
      </c>
      <c r="P2749">
        <v>-4.2482693416526503E-2</v>
      </c>
      <c r="Q2749">
        <v>0.26961462135868602</v>
      </c>
      <c r="R2749">
        <v>0.95398052457568305</v>
      </c>
      <c r="S2749" t="s">
        <v>6378</v>
      </c>
      <c r="T2749" t="s">
        <v>7256</v>
      </c>
      <c r="U2749" t="s">
        <v>7256</v>
      </c>
      <c r="V2749" t="s">
        <v>7256</v>
      </c>
      <c r="W2749">
        <v>1</v>
      </c>
      <c r="X2749" t="s">
        <v>10005</v>
      </c>
      <c r="Y2749">
        <v>0.5504859882398826</v>
      </c>
      <c r="Z2749" t="str">
        <f>HYPERLINK("Melting_Curves/meltCurve_sp_Q9P1Z2_2_CACO1_HUMAN_.pdf", "Melting_Curves/meltCurve_sp_Q9P1Z2_2_CACO1_HUMAN_.pdf")</f>
        <v>Melting_Curves/meltCurve_sp_Q9P1Z2_2_CACO1_HUMAN_.pdf</v>
      </c>
      <c r="AA2749" t="s">
        <v>13598</v>
      </c>
      <c r="AB2749" t="s">
        <v>17173</v>
      </c>
    </row>
    <row r="2750" spans="1:28" x14ac:dyDescent="0.25">
      <c r="A2750" t="s">
        <v>2754</v>
      </c>
      <c r="B2750">
        <v>0.98018197421672304</v>
      </c>
      <c r="C2750">
        <v>0.92259329824298697</v>
      </c>
      <c r="D2750">
        <v>0.85025697562054603</v>
      </c>
      <c r="E2750">
        <v>0.71325364928343904</v>
      </c>
      <c r="F2750">
        <v>0.68518141683752498</v>
      </c>
      <c r="G2750">
        <v>0.51740826551950803</v>
      </c>
      <c r="H2750">
        <v>0.48681119468352302</v>
      </c>
      <c r="I2750">
        <v>0.504140186503506</v>
      </c>
      <c r="J2750">
        <v>0.73991270570833501</v>
      </c>
      <c r="K2750">
        <v>0.85834880220891996</v>
      </c>
      <c r="L2750">
        <v>980.85924148283198</v>
      </c>
      <c r="M2750">
        <v>21.041905558146201</v>
      </c>
      <c r="O2750">
        <v>46.199674789600401</v>
      </c>
      <c r="P2750">
        <v>-4.24207821270699E-2</v>
      </c>
      <c r="Q2750">
        <v>0.62745313457547902</v>
      </c>
      <c r="R2750">
        <v>0.59210624747156404</v>
      </c>
      <c r="S2750" t="s">
        <v>6379</v>
      </c>
      <c r="T2750" t="s">
        <v>7256</v>
      </c>
      <c r="U2750" t="s">
        <v>7256</v>
      </c>
      <c r="V2750" t="s">
        <v>7256</v>
      </c>
      <c r="W2750">
        <v>3</v>
      </c>
      <c r="X2750" t="s">
        <v>10006</v>
      </c>
      <c r="Y2750">
        <v>0.7145452795346493</v>
      </c>
      <c r="Z2750" t="str">
        <f>HYPERLINK("Melting_Curves/meltCurve_sp_Q9P206_2_K1522_HUMAN_.pdf", "Melting_Curves/meltCurve_sp_Q9P206_2_K1522_HUMAN_.pdf")</f>
        <v>Melting_Curves/meltCurve_sp_Q9P206_2_K1522_HUMAN_.pdf</v>
      </c>
      <c r="AA2750" t="s">
        <v>13599</v>
      </c>
      <c r="AB2750" t="s">
        <v>17174</v>
      </c>
    </row>
    <row r="2751" spans="1:28" x14ac:dyDescent="0.25">
      <c r="A2751" t="s">
        <v>2755</v>
      </c>
      <c r="B2751">
        <v>0.98018197421672304</v>
      </c>
      <c r="C2751">
        <v>0.96994627594848704</v>
      </c>
      <c r="D2751">
        <v>0.95571311335551101</v>
      </c>
      <c r="E2751">
        <v>0.82416623464106098</v>
      </c>
      <c r="F2751">
        <v>0.61966890696839105</v>
      </c>
      <c r="G2751">
        <v>0.33850085573856498</v>
      </c>
      <c r="H2751">
        <v>0.16587997042550401</v>
      </c>
      <c r="I2751">
        <v>0.127017319364571</v>
      </c>
      <c r="J2751">
        <v>0.16232739124041901</v>
      </c>
      <c r="K2751">
        <v>0.19276634228341</v>
      </c>
      <c r="L2751">
        <v>1114.88290132767</v>
      </c>
      <c r="M2751">
        <v>20.858290492919402</v>
      </c>
      <c r="N2751">
        <v>54.303935467932</v>
      </c>
      <c r="O2751">
        <v>52.966328155142001</v>
      </c>
      <c r="P2751">
        <v>-8.46926438584156E-2</v>
      </c>
      <c r="Q2751">
        <v>0.13976944420891599</v>
      </c>
      <c r="R2751">
        <v>0.99461415632093897</v>
      </c>
      <c r="S2751" t="s">
        <v>6380</v>
      </c>
      <c r="T2751" t="s">
        <v>7256</v>
      </c>
      <c r="U2751" t="s">
        <v>7256</v>
      </c>
      <c r="V2751" t="s">
        <v>7256</v>
      </c>
      <c r="W2751">
        <v>10</v>
      </c>
      <c r="X2751" t="s">
        <v>10007</v>
      </c>
      <c r="Y2751">
        <v>0.53642254223206642</v>
      </c>
      <c r="Z2751" t="str">
        <f>HYPERLINK("Melting_Curves/meltCurve_sp_Q9P265_DIP2B_HUMAN_.pdf", "Melting_Curves/meltCurve_sp_Q9P265_DIP2B_HUMAN_.pdf")</f>
        <v>Melting_Curves/meltCurve_sp_Q9P265_DIP2B_HUMAN_.pdf</v>
      </c>
      <c r="AA2751" t="s">
        <v>13600</v>
      </c>
      <c r="AB2751" t="s">
        <v>17175</v>
      </c>
    </row>
    <row r="2752" spans="1:28" x14ac:dyDescent="0.25">
      <c r="A2752" t="s">
        <v>2756</v>
      </c>
      <c r="B2752">
        <v>0.98018197421672304</v>
      </c>
      <c r="C2752">
        <v>0.59583490934055505</v>
      </c>
      <c r="D2752">
        <v>0.73832833176082402</v>
      </c>
      <c r="E2752">
        <v>0.70990429021707402</v>
      </c>
      <c r="F2752">
        <v>0.265622262163969</v>
      </c>
      <c r="G2752">
        <v>0.15103597115064901</v>
      </c>
      <c r="H2752">
        <v>8.0030790878862806E-2</v>
      </c>
      <c r="I2752">
        <v>5.8123431543823302E-2</v>
      </c>
      <c r="J2752">
        <v>3.3538661129235203E-2</v>
      </c>
      <c r="K2752">
        <v>2.9412805580524101E-2</v>
      </c>
      <c r="L2752">
        <v>527.41672298128594</v>
      </c>
      <c r="M2752">
        <v>10.6102733122509</v>
      </c>
      <c r="N2752">
        <v>49.708141162060897</v>
      </c>
      <c r="O2752">
        <v>48.039881383881401</v>
      </c>
      <c r="P2752">
        <v>-5.5237366344054802E-2</v>
      </c>
      <c r="Q2752">
        <v>0</v>
      </c>
      <c r="R2752">
        <v>0.88795008630572003</v>
      </c>
      <c r="S2752" t="s">
        <v>6381</v>
      </c>
      <c r="T2752" t="s">
        <v>7256</v>
      </c>
      <c r="U2752" t="s">
        <v>7256</v>
      </c>
      <c r="V2752" t="s">
        <v>7256</v>
      </c>
      <c r="W2752">
        <v>2</v>
      </c>
      <c r="X2752" t="s">
        <v>10008</v>
      </c>
      <c r="Y2752">
        <v>0.36612117324074539</v>
      </c>
      <c r="Z2752" t="str">
        <f>HYPERLINK("Melting_Curves/meltCurve_sp_Q9P266_JCAD_HUMAN_.pdf", "Melting_Curves/meltCurve_sp_Q9P266_JCAD_HUMAN_.pdf")</f>
        <v>Melting_Curves/meltCurve_sp_Q9P266_JCAD_HUMAN_.pdf</v>
      </c>
      <c r="AA2752" t="s">
        <v>13601</v>
      </c>
      <c r="AB2752" t="s">
        <v>17176</v>
      </c>
    </row>
    <row r="2753" spans="1:28" x14ac:dyDescent="0.25">
      <c r="A2753" t="s">
        <v>2757</v>
      </c>
      <c r="B2753">
        <v>0.98018197421672304</v>
      </c>
      <c r="C2753">
        <v>0.92294962349606302</v>
      </c>
      <c r="D2753">
        <v>0.89291018106994102</v>
      </c>
      <c r="E2753">
        <v>0.75450092848877903</v>
      </c>
      <c r="F2753">
        <v>0.44009819718313897</v>
      </c>
      <c r="G2753">
        <v>0.22849148301369901</v>
      </c>
      <c r="H2753">
        <v>0.24576035521661599</v>
      </c>
      <c r="I2753">
        <v>0.25443733304682298</v>
      </c>
      <c r="J2753">
        <v>0.29680988597506802</v>
      </c>
      <c r="K2753">
        <v>0.36033442450848902</v>
      </c>
      <c r="L2753">
        <v>1573.35455956275</v>
      </c>
      <c r="M2753">
        <v>30.922290664940199</v>
      </c>
      <c r="N2753">
        <v>52.213371752446299</v>
      </c>
      <c r="O2753">
        <v>50.669544866030101</v>
      </c>
      <c r="P2753">
        <v>-0.110936607681608</v>
      </c>
      <c r="Q2753">
        <v>0.27287733036328898</v>
      </c>
      <c r="R2753">
        <v>0.96879542619738801</v>
      </c>
      <c r="S2753" t="s">
        <v>6382</v>
      </c>
      <c r="T2753" t="s">
        <v>7256</v>
      </c>
      <c r="U2753" t="s">
        <v>7256</v>
      </c>
      <c r="V2753" t="s">
        <v>7256</v>
      </c>
      <c r="W2753">
        <v>6</v>
      </c>
      <c r="X2753" t="s">
        <v>10009</v>
      </c>
      <c r="Y2753">
        <v>0.54089656236057115</v>
      </c>
      <c r="Z2753" t="str">
        <f>HYPERLINK("Melting_Curves/meltCurve_sp_Q9P270_SLAI2_HUMAN_.pdf", "Melting_Curves/meltCurve_sp_Q9P270_SLAI2_HUMAN_.pdf")</f>
        <v>Melting_Curves/meltCurve_sp_Q9P270_SLAI2_HUMAN_.pdf</v>
      </c>
      <c r="AA2753" t="s">
        <v>13602</v>
      </c>
      <c r="AB2753" t="s">
        <v>17177</v>
      </c>
    </row>
    <row r="2754" spans="1:28" x14ac:dyDescent="0.25">
      <c r="A2754" t="s">
        <v>2758</v>
      </c>
      <c r="B2754">
        <v>0.98018197421672304</v>
      </c>
      <c r="C2754">
        <v>0.919313946635271</v>
      </c>
      <c r="D2754">
        <v>0.85478726483900602</v>
      </c>
      <c r="E2754">
        <v>0.65773379110924601</v>
      </c>
      <c r="F2754">
        <v>0.45534906212009102</v>
      </c>
      <c r="G2754">
        <v>0.26067460868064501</v>
      </c>
      <c r="H2754">
        <v>0.15116351058745001</v>
      </c>
      <c r="I2754">
        <v>0.101003069482382</v>
      </c>
      <c r="J2754">
        <v>0.103010969942159</v>
      </c>
      <c r="K2754">
        <v>8.3967598149670197E-2</v>
      </c>
      <c r="L2754">
        <v>700.48963079058296</v>
      </c>
      <c r="M2754">
        <v>13.502017295240501</v>
      </c>
      <c r="N2754">
        <v>52.263847020931699</v>
      </c>
      <c r="O2754">
        <v>50.781993682919101</v>
      </c>
      <c r="P2754">
        <v>-6.3345404846538E-2</v>
      </c>
      <c r="Q2754">
        <v>4.7159947865825197E-2</v>
      </c>
      <c r="R2754">
        <v>0.99872165815271796</v>
      </c>
      <c r="S2754" t="s">
        <v>6383</v>
      </c>
      <c r="T2754" t="s">
        <v>7256</v>
      </c>
      <c r="U2754" t="s">
        <v>7256</v>
      </c>
      <c r="V2754" t="s">
        <v>7256</v>
      </c>
      <c r="W2754">
        <v>4</v>
      </c>
      <c r="X2754" t="s">
        <v>10010</v>
      </c>
      <c r="Y2754">
        <v>0.44951267086682151</v>
      </c>
      <c r="Z2754" t="str">
        <f>HYPERLINK("Melting_Curves/meltCurve_sp_Q9P287_BCCIP_HUMAN_.pdf", "Melting_Curves/meltCurve_sp_Q9P287_BCCIP_HUMAN_.pdf")</f>
        <v>Melting_Curves/meltCurve_sp_Q9P287_BCCIP_HUMAN_.pdf</v>
      </c>
      <c r="AA2754" t="s">
        <v>13603</v>
      </c>
      <c r="AB2754" t="s">
        <v>17178</v>
      </c>
    </row>
    <row r="2755" spans="1:28" x14ac:dyDescent="0.25">
      <c r="A2755" t="s">
        <v>2759</v>
      </c>
      <c r="B2755">
        <v>0.98018197421672304</v>
      </c>
      <c r="C2755">
        <v>0.960387692130096</v>
      </c>
      <c r="D2755">
        <v>0.89705482715745699</v>
      </c>
      <c r="E2755">
        <v>0.72481035062804</v>
      </c>
      <c r="F2755">
        <v>0.49192693767294199</v>
      </c>
      <c r="G2755">
        <v>0.35523554904999999</v>
      </c>
      <c r="H2755">
        <v>0.195398555082481</v>
      </c>
      <c r="I2755">
        <v>8.7349392677456603E-2</v>
      </c>
      <c r="J2755">
        <v>0.12626447635065499</v>
      </c>
      <c r="K2755">
        <v>6.2708033605836697E-2</v>
      </c>
      <c r="L2755">
        <v>690.04207771059998</v>
      </c>
      <c r="M2755">
        <v>12.951835155675999</v>
      </c>
      <c r="N2755">
        <v>53.533787963914698</v>
      </c>
      <c r="O2755">
        <v>52.055433353145503</v>
      </c>
      <c r="P2755">
        <v>-6.0343524159341799E-2</v>
      </c>
      <c r="Q2755">
        <v>3.00539377257374E-2</v>
      </c>
      <c r="R2755">
        <v>0.995232578917563</v>
      </c>
      <c r="S2755" t="s">
        <v>6384</v>
      </c>
      <c r="T2755" t="s">
        <v>7256</v>
      </c>
      <c r="U2755" t="s">
        <v>7256</v>
      </c>
      <c r="V2755" t="s">
        <v>7256</v>
      </c>
      <c r="W2755">
        <v>4</v>
      </c>
      <c r="X2755" t="s">
        <v>10011</v>
      </c>
      <c r="Y2755">
        <v>0.48414153478431388</v>
      </c>
      <c r="Z2755" t="str">
        <f>HYPERLINK("Melting_Curves/meltCurve_sp_Q9P299_COPZ2_HUMAN_.pdf", "Melting_Curves/meltCurve_sp_Q9P299_COPZ2_HUMAN_.pdf")</f>
        <v>Melting_Curves/meltCurve_sp_Q9P299_COPZ2_HUMAN_.pdf</v>
      </c>
      <c r="AA2755" t="s">
        <v>13604</v>
      </c>
      <c r="AB2755" t="s">
        <v>17179</v>
      </c>
    </row>
    <row r="2756" spans="1:28" x14ac:dyDescent="0.25">
      <c r="A2756" t="s">
        <v>2760</v>
      </c>
      <c r="B2756">
        <v>0.98018197421672304</v>
      </c>
      <c r="C2756">
        <v>0.80412875081813295</v>
      </c>
      <c r="D2756">
        <v>0.76125393207935899</v>
      </c>
      <c r="E2756">
        <v>0.60913098075623795</v>
      </c>
      <c r="F2756">
        <v>0.37220440902510399</v>
      </c>
      <c r="G2756">
        <v>0.188109284765932</v>
      </c>
      <c r="H2756">
        <v>0.14191852168095401</v>
      </c>
      <c r="I2756">
        <v>0.10144736142304001</v>
      </c>
      <c r="J2756">
        <v>0.30061377105349302</v>
      </c>
      <c r="K2756">
        <v>0.188125098587379</v>
      </c>
      <c r="L2756">
        <v>667.54649336285001</v>
      </c>
      <c r="M2756">
        <v>13.575649215343301</v>
      </c>
      <c r="N2756">
        <v>50.437318456362398</v>
      </c>
      <c r="O2756">
        <v>48.142168872294803</v>
      </c>
      <c r="P2756">
        <v>-6.0334922807793699E-2</v>
      </c>
      <c r="Q2756">
        <v>0.14428518690457801</v>
      </c>
      <c r="R2756">
        <v>0.94557003233182801</v>
      </c>
      <c r="S2756" t="s">
        <v>6385</v>
      </c>
      <c r="T2756" t="s">
        <v>7256</v>
      </c>
      <c r="U2756" t="s">
        <v>7256</v>
      </c>
      <c r="V2756" t="s">
        <v>7256</v>
      </c>
      <c r="W2756">
        <v>1</v>
      </c>
      <c r="X2756" t="s">
        <v>10012</v>
      </c>
      <c r="Y2756">
        <v>0.43108430561714312</v>
      </c>
      <c r="Z2756" t="str">
        <f>HYPERLINK("Melting_Curves/meltCurve_sp_Q9P2D3_3_HTR5B_HUMAN_.pdf", "Melting_Curves/meltCurve_sp_Q9P2D3_3_HTR5B_HUMAN_.pdf")</f>
        <v>Melting_Curves/meltCurve_sp_Q9P2D3_3_HTR5B_HUMAN_.pdf</v>
      </c>
      <c r="AA2756" t="s">
        <v>13605</v>
      </c>
      <c r="AB2756" t="s">
        <v>17180</v>
      </c>
    </row>
    <row r="2757" spans="1:28" x14ac:dyDescent="0.25">
      <c r="A2757" t="s">
        <v>2761</v>
      </c>
      <c r="B2757">
        <v>0.98018197421672304</v>
      </c>
      <c r="C2757">
        <v>0.97680660654616602</v>
      </c>
      <c r="D2757">
        <v>0.87826789125559901</v>
      </c>
      <c r="E2757">
        <v>0.77417838192798805</v>
      </c>
      <c r="F2757">
        <v>0.67472203968035505</v>
      </c>
      <c r="G2757">
        <v>0.52429904449878595</v>
      </c>
      <c r="H2757">
        <v>0.416631622099146</v>
      </c>
      <c r="I2757">
        <v>0.45046682016697898</v>
      </c>
      <c r="J2757">
        <v>0.44065647009349301</v>
      </c>
      <c r="K2757">
        <v>0.451288600591363</v>
      </c>
      <c r="L2757">
        <v>730.10247782111401</v>
      </c>
      <c r="M2757">
        <v>14.1776608136903</v>
      </c>
      <c r="N2757">
        <v>58.648572129509901</v>
      </c>
      <c r="O2757">
        <v>50.5046431446425</v>
      </c>
      <c r="P2757">
        <v>-4.1323000518309401E-2</v>
      </c>
      <c r="Q2757">
        <v>0.41125957144276498</v>
      </c>
      <c r="R2757">
        <v>0.98839327657921705</v>
      </c>
      <c r="S2757" t="s">
        <v>6386</v>
      </c>
      <c r="T2757" t="s">
        <v>7256</v>
      </c>
      <c r="U2757" t="s">
        <v>7256</v>
      </c>
      <c r="V2757" t="s">
        <v>7256</v>
      </c>
      <c r="W2757">
        <v>95</v>
      </c>
      <c r="X2757" t="s">
        <v>10013</v>
      </c>
      <c r="Y2757">
        <v>0.65150043865534546</v>
      </c>
      <c r="Z2757" t="str">
        <f>HYPERLINK("Melting_Curves/meltCurve_sp_Q9P2E9_2_RRBP1_HUMAN_.pdf", "Melting_Curves/meltCurve_sp_Q9P2E9_2_RRBP1_HUMAN_.pdf")</f>
        <v>Melting_Curves/meltCurve_sp_Q9P2E9_2_RRBP1_HUMAN_.pdf</v>
      </c>
      <c r="AA2757" t="s">
        <v>13606</v>
      </c>
      <c r="AB2757" t="s">
        <v>17181</v>
      </c>
    </row>
    <row r="2758" spans="1:28" x14ac:dyDescent="0.25">
      <c r="A2758" t="s">
        <v>2762</v>
      </c>
      <c r="B2758">
        <v>0.98018197421672304</v>
      </c>
      <c r="C2758">
        <v>0.95170537305661895</v>
      </c>
      <c r="D2758">
        <v>0.93406586419767501</v>
      </c>
      <c r="E2758">
        <v>0.84765210357585097</v>
      </c>
      <c r="F2758">
        <v>0.78079402883045501</v>
      </c>
      <c r="G2758">
        <v>0.64780936705313796</v>
      </c>
      <c r="H2758">
        <v>0.58518884110112701</v>
      </c>
      <c r="I2758">
        <v>0.65475796348514603</v>
      </c>
      <c r="J2758">
        <v>0.70272066945481704</v>
      </c>
      <c r="K2758">
        <v>0.68534794926585696</v>
      </c>
      <c r="L2758">
        <v>933.27091075487897</v>
      </c>
      <c r="M2758">
        <v>18.516313602624798</v>
      </c>
      <c r="O2758">
        <v>49.825778122656601</v>
      </c>
      <c r="P2758">
        <v>-3.2653332091871899E-2</v>
      </c>
      <c r="Q2758">
        <v>0.64854648440435103</v>
      </c>
      <c r="R2758">
        <v>0.92425298949219703</v>
      </c>
      <c r="S2758" t="s">
        <v>6387</v>
      </c>
      <c r="T2758" t="s">
        <v>7256</v>
      </c>
      <c r="U2758" t="s">
        <v>7256</v>
      </c>
      <c r="V2758" t="s">
        <v>7256</v>
      </c>
      <c r="W2758">
        <v>96</v>
      </c>
      <c r="X2758" t="s">
        <v>10014</v>
      </c>
      <c r="Y2758">
        <v>0.7760709021859763</v>
      </c>
      <c r="Z2758" t="str">
        <f>HYPERLINK("Melting_Curves/meltCurve_sp_Q9P2E9_RRBP1_HUMAN_.pdf", "Melting_Curves/meltCurve_sp_Q9P2E9_RRBP1_HUMAN_.pdf")</f>
        <v>Melting_Curves/meltCurve_sp_Q9P2E9_RRBP1_HUMAN_.pdf</v>
      </c>
      <c r="AA2758" t="s">
        <v>13606</v>
      </c>
      <c r="AB2758" t="s">
        <v>17182</v>
      </c>
    </row>
    <row r="2759" spans="1:28" x14ac:dyDescent="0.25">
      <c r="A2759" t="s">
        <v>2763</v>
      </c>
      <c r="B2759">
        <v>0.98018197421672304</v>
      </c>
      <c r="C2759">
        <v>0.913312151337068</v>
      </c>
      <c r="D2759">
        <v>0.880839928243488</v>
      </c>
      <c r="E2759">
        <v>0.78003634147840595</v>
      </c>
      <c r="F2759">
        <v>0.58324654654404795</v>
      </c>
      <c r="G2759">
        <v>0.40106889490125103</v>
      </c>
      <c r="H2759">
        <v>0.46357380504453899</v>
      </c>
      <c r="I2759">
        <v>0.45978488319826399</v>
      </c>
      <c r="J2759">
        <v>0.56871265941361104</v>
      </c>
      <c r="K2759">
        <v>0.50025398349110595</v>
      </c>
      <c r="L2759">
        <v>1033.6380278783899</v>
      </c>
      <c r="M2759">
        <v>20.787713558708401</v>
      </c>
      <c r="N2759">
        <v>57.859919141812398</v>
      </c>
      <c r="O2759">
        <v>49.270234763407203</v>
      </c>
      <c r="P2759">
        <v>-5.5575856602285499E-2</v>
      </c>
      <c r="Q2759">
        <v>0.47311990640794899</v>
      </c>
      <c r="R2759">
        <v>0.92483734282299401</v>
      </c>
      <c r="S2759" t="s">
        <v>6388</v>
      </c>
      <c r="T2759" t="s">
        <v>7256</v>
      </c>
      <c r="U2759" t="s">
        <v>7256</v>
      </c>
      <c r="V2759" t="s">
        <v>7256</v>
      </c>
      <c r="W2759">
        <v>50</v>
      </c>
      <c r="X2759" t="s">
        <v>10015</v>
      </c>
      <c r="Y2759">
        <v>0.65069361892353805</v>
      </c>
      <c r="Z2759" t="str">
        <f>HYPERLINK("Melting_Curves/meltCurve_sp_Q9P2M7_CING_HUMAN_.pdf", "Melting_Curves/meltCurve_sp_Q9P2M7_CING_HUMAN_.pdf")</f>
        <v>Melting_Curves/meltCurve_sp_Q9P2M7_CING_HUMAN_.pdf</v>
      </c>
      <c r="AA2759" t="s">
        <v>13607</v>
      </c>
      <c r="AB2759" t="s">
        <v>17183</v>
      </c>
    </row>
    <row r="2760" spans="1:28" x14ac:dyDescent="0.25">
      <c r="A2760" t="s">
        <v>2764</v>
      </c>
      <c r="B2760">
        <v>0.98018197421672304</v>
      </c>
      <c r="C2760">
        <v>1.01572469122276</v>
      </c>
      <c r="D2760">
        <v>0.86277433190070996</v>
      </c>
      <c r="E2760">
        <v>0.37107606531693799</v>
      </c>
      <c r="F2760">
        <v>0.57387288034795703</v>
      </c>
      <c r="G2760">
        <v>0.34763878736259901</v>
      </c>
      <c r="H2760">
        <v>0.29968661369237898</v>
      </c>
      <c r="I2760">
        <v>0.24282887579719101</v>
      </c>
      <c r="J2760">
        <v>0.35454632103189099</v>
      </c>
      <c r="K2760">
        <v>0.31467936492471699</v>
      </c>
      <c r="L2760">
        <v>1949.8204703901499</v>
      </c>
      <c r="M2760">
        <v>41.127846718880903</v>
      </c>
      <c r="N2760">
        <v>48.815184894402599</v>
      </c>
      <c r="O2760">
        <v>47.297095550209697</v>
      </c>
      <c r="P2760">
        <v>-0.141931635727676</v>
      </c>
      <c r="Q2760">
        <v>0.34711469530380801</v>
      </c>
      <c r="R2760">
        <v>0.92094156597000998</v>
      </c>
      <c r="S2760" t="s">
        <v>6389</v>
      </c>
      <c r="T2760" t="s">
        <v>7256</v>
      </c>
      <c r="U2760" t="s">
        <v>7256</v>
      </c>
      <c r="V2760" t="s">
        <v>7256</v>
      </c>
      <c r="W2760">
        <v>5</v>
      </c>
      <c r="X2760" t="s">
        <v>10016</v>
      </c>
      <c r="Y2760">
        <v>0.51038225028642159</v>
      </c>
      <c r="Z2760" t="str">
        <f>HYPERLINK("Melting_Curves/meltCurve_sp_Q9P2N5_RBM27_HUMAN_.pdf", "Melting_Curves/meltCurve_sp_Q9P2N5_RBM27_HUMAN_.pdf")</f>
        <v>Melting_Curves/meltCurve_sp_Q9P2N5_RBM27_HUMAN_.pdf</v>
      </c>
      <c r="AA2760" t="s">
        <v>13608</v>
      </c>
      <c r="AB2760" t="s">
        <v>17184</v>
      </c>
    </row>
    <row r="2761" spans="1:28" x14ac:dyDescent="0.25">
      <c r="A2761" t="s">
        <v>2765</v>
      </c>
      <c r="B2761">
        <v>0.98018197421672304</v>
      </c>
      <c r="C2761">
        <v>0.99066867647269696</v>
      </c>
      <c r="D2761">
        <v>0.73274289005126902</v>
      </c>
      <c r="E2761">
        <v>0.32708010597888099</v>
      </c>
      <c r="F2761">
        <v>0.18680051764033101</v>
      </c>
      <c r="G2761">
        <v>0.12933499533969101</v>
      </c>
      <c r="H2761">
        <v>8.1168845676233697E-2</v>
      </c>
      <c r="I2761">
        <v>7.7272781088224995E-2</v>
      </c>
      <c r="J2761">
        <v>6.4750560647070493E-2</v>
      </c>
      <c r="K2761">
        <v>6.6733775904154302E-2</v>
      </c>
      <c r="L2761">
        <v>1110.8935684830401</v>
      </c>
      <c r="M2761">
        <v>23.1700093548538</v>
      </c>
      <c r="N2761">
        <v>48.301867273224701</v>
      </c>
      <c r="O2761">
        <v>47.5924613337381</v>
      </c>
      <c r="P2761">
        <v>-0.112146267465653</v>
      </c>
      <c r="Q2761">
        <v>7.85985839484869E-2</v>
      </c>
      <c r="R2761">
        <v>0.99688157676558498</v>
      </c>
      <c r="S2761" t="s">
        <v>6390</v>
      </c>
      <c r="T2761" t="s">
        <v>7256</v>
      </c>
      <c r="U2761" t="s">
        <v>7256</v>
      </c>
      <c r="V2761" t="s">
        <v>7256</v>
      </c>
      <c r="W2761">
        <v>10</v>
      </c>
      <c r="X2761" t="s">
        <v>10017</v>
      </c>
      <c r="Y2761">
        <v>0.33220436298381478</v>
      </c>
      <c r="Z2761" t="str">
        <f>HYPERLINK("Melting_Curves/meltCurve_sp_Q9P2R3_ANFY1_HUMAN_.pdf", "Melting_Curves/meltCurve_sp_Q9P2R3_ANFY1_HUMAN_.pdf")</f>
        <v>Melting_Curves/meltCurve_sp_Q9P2R3_ANFY1_HUMAN_.pdf</v>
      </c>
      <c r="AA2761" t="s">
        <v>13609</v>
      </c>
      <c r="AB2761" t="s">
        <v>17185</v>
      </c>
    </row>
    <row r="2762" spans="1:28" x14ac:dyDescent="0.25">
      <c r="A2762" t="s">
        <v>2766</v>
      </c>
      <c r="B2762">
        <v>0.98018197421672304</v>
      </c>
      <c r="C2762">
        <v>0.89595100428630103</v>
      </c>
      <c r="D2762">
        <v>0.84078122768738395</v>
      </c>
      <c r="E2762">
        <v>0.585654113863325</v>
      </c>
      <c r="F2762">
        <v>0.29321666116916201</v>
      </c>
      <c r="G2762">
        <v>0.15305663815312401</v>
      </c>
      <c r="H2762">
        <v>7.2194783604075705E-2</v>
      </c>
      <c r="I2762">
        <v>5.3890771390835097E-2</v>
      </c>
      <c r="J2762">
        <v>9.2698896360868296E-2</v>
      </c>
      <c r="K2762">
        <v>6.9445267029394894E-2</v>
      </c>
      <c r="L2762">
        <v>879.39088346562903</v>
      </c>
      <c r="M2762">
        <v>17.501875562292501</v>
      </c>
      <c r="N2762">
        <v>50.549494981875</v>
      </c>
      <c r="O2762">
        <v>49.603330191803202</v>
      </c>
      <c r="P2762">
        <v>-8.3807923993202901E-2</v>
      </c>
      <c r="Q2762">
        <v>4.9948056563550502E-2</v>
      </c>
      <c r="R2762">
        <v>0.99402466665029798</v>
      </c>
      <c r="S2762" t="s">
        <v>6391</v>
      </c>
      <c r="T2762" t="s">
        <v>7256</v>
      </c>
      <c r="U2762" t="s">
        <v>7256</v>
      </c>
      <c r="V2762" t="s">
        <v>7256</v>
      </c>
      <c r="W2762">
        <v>5</v>
      </c>
      <c r="X2762" t="s">
        <v>10018</v>
      </c>
      <c r="Y2762">
        <v>0.39142743286240961</v>
      </c>
      <c r="Z2762" t="str">
        <f>HYPERLINK("Melting_Curves/meltCurve_sp_Q9P2X3_IMPCT_HUMAN_.pdf", "Melting_Curves/meltCurve_sp_Q9P2X3_IMPCT_HUMAN_.pdf")</f>
        <v>Melting_Curves/meltCurve_sp_Q9P2X3_IMPCT_HUMAN_.pdf</v>
      </c>
      <c r="AA2762" t="s">
        <v>13610</v>
      </c>
      <c r="AB2762" t="s">
        <v>17186</v>
      </c>
    </row>
    <row r="2763" spans="1:28" x14ac:dyDescent="0.25">
      <c r="A2763" t="s">
        <v>2767</v>
      </c>
      <c r="B2763">
        <v>0.98018197421672304</v>
      </c>
      <c r="C2763">
        <v>0.96926817631409001</v>
      </c>
      <c r="D2763">
        <v>0.90659568431491</v>
      </c>
      <c r="E2763">
        <v>0.773476783445738</v>
      </c>
      <c r="F2763">
        <v>0.46695352223051101</v>
      </c>
      <c r="G2763">
        <v>0.11645179229342099</v>
      </c>
      <c r="H2763">
        <v>6.5718736509221803E-2</v>
      </c>
      <c r="I2763">
        <v>4.3351217326961101E-2</v>
      </c>
      <c r="J2763">
        <v>6.2830928306282799E-2</v>
      </c>
      <c r="K2763">
        <v>4.8610927643224999E-2</v>
      </c>
      <c r="L2763">
        <v>1276.3284958910899</v>
      </c>
      <c r="M2763">
        <v>24.383485303484001</v>
      </c>
      <c r="N2763">
        <v>52.513746751695898</v>
      </c>
      <c r="O2763">
        <v>51.995715527570397</v>
      </c>
      <c r="P2763">
        <v>-0.112796273998087</v>
      </c>
      <c r="Q2763">
        <v>3.7900316066675599E-2</v>
      </c>
      <c r="R2763">
        <v>0.99553748643978002</v>
      </c>
      <c r="S2763" t="s">
        <v>6392</v>
      </c>
      <c r="T2763" t="s">
        <v>7256</v>
      </c>
      <c r="U2763" t="s">
        <v>7256</v>
      </c>
      <c r="V2763" t="s">
        <v>7256</v>
      </c>
      <c r="W2763">
        <v>9</v>
      </c>
      <c r="X2763" t="s">
        <v>10019</v>
      </c>
      <c r="Y2763">
        <v>0.4430116313024276</v>
      </c>
      <c r="Z2763" t="str">
        <f>HYPERLINK("Melting_Curves/meltCurve_sp_Q9UBB4_ATX10_HUMAN_.pdf", "Melting_Curves/meltCurve_sp_Q9UBB4_ATX10_HUMAN_.pdf")</f>
        <v>Melting_Curves/meltCurve_sp_Q9UBB4_ATX10_HUMAN_.pdf</v>
      </c>
      <c r="AA2763" t="s">
        <v>13611</v>
      </c>
      <c r="AB2763" t="s">
        <v>17187</v>
      </c>
    </row>
    <row r="2764" spans="1:28" x14ac:dyDescent="0.25">
      <c r="A2764" t="s">
        <v>2768</v>
      </c>
      <c r="B2764">
        <v>0.98018197421672304</v>
      </c>
      <c r="C2764">
        <v>0.90492989610463503</v>
      </c>
      <c r="D2764">
        <v>0.87148208923798198</v>
      </c>
      <c r="E2764">
        <v>0.519652941705394</v>
      </c>
      <c r="F2764">
        <v>0.27369370481774202</v>
      </c>
      <c r="G2764">
        <v>0.20797694984923501</v>
      </c>
      <c r="H2764">
        <v>0.18672378147025001</v>
      </c>
      <c r="I2764">
        <v>0.180419181557884</v>
      </c>
      <c r="J2764">
        <v>0.21882435193178501</v>
      </c>
      <c r="K2764">
        <v>0.227579413853366</v>
      </c>
      <c r="L2764">
        <v>1198.8907289757101</v>
      </c>
      <c r="M2764">
        <v>24.47687304179</v>
      </c>
      <c r="N2764">
        <v>49.987195087240899</v>
      </c>
      <c r="O2764">
        <v>48.657126998055197</v>
      </c>
      <c r="P2764">
        <v>-0.10129283105367499</v>
      </c>
      <c r="Q2764">
        <v>0.19457915396848499</v>
      </c>
      <c r="R2764">
        <v>0.99116821156711998</v>
      </c>
      <c r="S2764" t="s">
        <v>6393</v>
      </c>
      <c r="T2764" t="s">
        <v>7256</v>
      </c>
      <c r="U2764" t="s">
        <v>7256</v>
      </c>
      <c r="V2764" t="s">
        <v>7256</v>
      </c>
      <c r="W2764">
        <v>2</v>
      </c>
      <c r="X2764" t="s">
        <v>10020</v>
      </c>
      <c r="Y2764">
        <v>0.44313755559615681</v>
      </c>
      <c r="Z2764" t="str">
        <f>HYPERLINK("Melting_Curves/meltCurve_sp_Q9UBB5_MBD2_HUMAN_.pdf", "Melting_Curves/meltCurve_sp_Q9UBB5_MBD2_HUMAN_.pdf")</f>
        <v>Melting_Curves/meltCurve_sp_Q9UBB5_MBD2_HUMAN_.pdf</v>
      </c>
      <c r="AA2764" t="s">
        <v>13612</v>
      </c>
      <c r="AB2764" t="s">
        <v>17188</v>
      </c>
    </row>
    <row r="2765" spans="1:28" x14ac:dyDescent="0.25">
      <c r="A2765" t="s">
        <v>2769</v>
      </c>
      <c r="B2765">
        <v>0.98018197421672304</v>
      </c>
      <c r="C2765">
        <v>0.93793655399179798</v>
      </c>
      <c r="D2765">
        <v>0.87510991831625895</v>
      </c>
      <c r="E2765">
        <v>0.78021086385334104</v>
      </c>
      <c r="F2765">
        <v>0.59162186734990296</v>
      </c>
      <c r="G2765">
        <v>0.43870996610853502</v>
      </c>
      <c r="H2765">
        <v>0.34210105825621601</v>
      </c>
      <c r="I2765">
        <v>0.26089273280657099</v>
      </c>
      <c r="J2765">
        <v>0.18527626827405599</v>
      </c>
      <c r="K2765">
        <v>0.13306962515595699</v>
      </c>
      <c r="L2765">
        <v>517.42310315330406</v>
      </c>
      <c r="M2765">
        <v>9.2962665373048896</v>
      </c>
      <c r="N2765">
        <v>55.900460055684903</v>
      </c>
      <c r="O2765">
        <v>53.2656340607411</v>
      </c>
      <c r="P2765">
        <v>-4.2801276825410003E-2</v>
      </c>
      <c r="Q2765">
        <v>1.96607476808917E-2</v>
      </c>
      <c r="R2765">
        <v>0.99642562944483404</v>
      </c>
      <c r="S2765" t="s">
        <v>6394</v>
      </c>
      <c r="T2765" t="s">
        <v>7256</v>
      </c>
      <c r="U2765" t="s">
        <v>7256</v>
      </c>
      <c r="V2765" t="s">
        <v>7256</v>
      </c>
      <c r="W2765">
        <v>11</v>
      </c>
      <c r="X2765" t="s">
        <v>10021</v>
      </c>
      <c r="Y2765">
        <v>0.55381672336432408</v>
      </c>
      <c r="Z2765" t="str">
        <f>HYPERLINK("Melting_Curves/meltCurve_sp_Q9UBC2_3_EP15R_HUMAN_.pdf", "Melting_Curves/meltCurve_sp_Q9UBC2_3_EP15R_HUMAN_.pdf")</f>
        <v>Melting_Curves/meltCurve_sp_Q9UBC2_3_EP15R_HUMAN_.pdf</v>
      </c>
      <c r="AA2765" t="s">
        <v>13613</v>
      </c>
      <c r="AB2765" t="s">
        <v>17189</v>
      </c>
    </row>
    <row r="2766" spans="1:28" x14ac:dyDescent="0.25">
      <c r="A2766" t="s">
        <v>2770</v>
      </c>
      <c r="B2766">
        <v>0.98018197421672304</v>
      </c>
      <c r="C2766">
        <v>0.975019239446826</v>
      </c>
      <c r="D2766">
        <v>0.89849891917717895</v>
      </c>
      <c r="E2766">
        <v>0.76053348837110701</v>
      </c>
      <c r="F2766">
        <v>0.50784156424168703</v>
      </c>
      <c r="G2766">
        <v>0.25630958695589401</v>
      </c>
      <c r="H2766">
        <v>0.110805235520504</v>
      </c>
      <c r="I2766">
        <v>7.5843637797459104E-2</v>
      </c>
      <c r="J2766">
        <v>7.9913083827200804E-2</v>
      </c>
      <c r="K2766">
        <v>5.27996241315788E-2</v>
      </c>
      <c r="L2766">
        <v>901.23485517696099</v>
      </c>
      <c r="M2766">
        <v>17.032741627928001</v>
      </c>
      <c r="N2766">
        <v>53.143521183188597</v>
      </c>
      <c r="O2766">
        <v>52.198731706343203</v>
      </c>
      <c r="P2766">
        <v>-7.8663320415596802E-2</v>
      </c>
      <c r="Q2766">
        <v>3.5769578070765397E-2</v>
      </c>
      <c r="R2766">
        <v>0.99828726484729302</v>
      </c>
      <c r="S2766" t="s">
        <v>6395</v>
      </c>
      <c r="T2766" t="s">
        <v>7256</v>
      </c>
      <c r="U2766" t="s">
        <v>7256</v>
      </c>
      <c r="V2766" t="s">
        <v>7256</v>
      </c>
      <c r="W2766">
        <v>13</v>
      </c>
      <c r="X2766" t="s">
        <v>10022</v>
      </c>
      <c r="Y2766">
        <v>0.46802901135385222</v>
      </c>
      <c r="Z2766" t="str">
        <f>HYPERLINK("Melting_Curves/meltCurve_sp_Q9UBE0_SAE1_HUMAN_.pdf", "Melting_Curves/meltCurve_sp_Q9UBE0_SAE1_HUMAN_.pdf")</f>
        <v>Melting_Curves/meltCurve_sp_Q9UBE0_SAE1_HUMAN_.pdf</v>
      </c>
      <c r="AA2766" t="s">
        <v>13614</v>
      </c>
      <c r="AB2766" t="s">
        <v>17190</v>
      </c>
    </row>
    <row r="2767" spans="1:28" x14ac:dyDescent="0.25">
      <c r="A2767" t="s">
        <v>2771</v>
      </c>
      <c r="B2767">
        <v>0.98018197421672304</v>
      </c>
      <c r="C2767">
        <v>0.95148866238473095</v>
      </c>
      <c r="D2767">
        <v>0.86751832287792896</v>
      </c>
      <c r="E2767">
        <v>0.64072047847548197</v>
      </c>
      <c r="F2767">
        <v>0.31897949661545899</v>
      </c>
      <c r="G2767">
        <v>0.106548927961507</v>
      </c>
      <c r="H2767">
        <v>3.7709044308518701E-2</v>
      </c>
      <c r="I2767">
        <v>3.0186658433778601E-2</v>
      </c>
      <c r="J2767">
        <v>5.0859586329713199E-2</v>
      </c>
      <c r="K2767">
        <v>1.40056608564685E-2</v>
      </c>
      <c r="L2767">
        <v>1017.88118115266</v>
      </c>
      <c r="M2767">
        <v>19.946381519131801</v>
      </c>
      <c r="N2767">
        <v>51.100546067988297</v>
      </c>
      <c r="O2767">
        <v>50.526241862936899</v>
      </c>
      <c r="P2767">
        <v>-9.7372365486084106E-2</v>
      </c>
      <c r="Q2767">
        <v>1.3415366163820301E-2</v>
      </c>
      <c r="R2767">
        <v>0.99704824241566903</v>
      </c>
      <c r="S2767" t="s">
        <v>6396</v>
      </c>
      <c r="T2767" t="s">
        <v>7256</v>
      </c>
      <c r="U2767" t="s">
        <v>7256</v>
      </c>
      <c r="V2767" t="s">
        <v>7256</v>
      </c>
      <c r="W2767">
        <v>2</v>
      </c>
      <c r="X2767" t="s">
        <v>10023</v>
      </c>
      <c r="Y2767">
        <v>0.38994137839709858</v>
      </c>
      <c r="Z2767" t="str">
        <f>HYPERLINK("Melting_Curves/meltCurve_sp_Q9UBF2_COPG2_HUMAN_.pdf", "Melting_Curves/meltCurve_sp_Q9UBF2_COPG2_HUMAN_.pdf")</f>
        <v>Melting_Curves/meltCurve_sp_Q9UBF2_COPG2_HUMAN_.pdf</v>
      </c>
      <c r="AA2767" t="s">
        <v>13615</v>
      </c>
      <c r="AB2767" t="s">
        <v>17191</v>
      </c>
    </row>
    <row r="2768" spans="1:28" x14ac:dyDescent="0.25">
      <c r="A2768" t="s">
        <v>2772</v>
      </c>
      <c r="B2768">
        <v>0.98018197421672304</v>
      </c>
      <c r="C2768">
        <v>0.92502778134326202</v>
      </c>
      <c r="D2768">
        <v>0.865944943498971</v>
      </c>
      <c r="E2768">
        <v>0.71618129491565696</v>
      </c>
      <c r="F2768">
        <v>0.59852616244061796</v>
      </c>
      <c r="G2768">
        <v>0.43024777911066803</v>
      </c>
      <c r="H2768">
        <v>0.36974834303270898</v>
      </c>
      <c r="I2768">
        <v>0.327392009982299</v>
      </c>
      <c r="J2768">
        <v>0.485177483610649</v>
      </c>
      <c r="K2768">
        <v>0.54641143936398096</v>
      </c>
      <c r="L2768">
        <v>863.21773352498099</v>
      </c>
      <c r="M2768">
        <v>17.388574436278301</v>
      </c>
      <c r="N2768">
        <v>55.489949577463598</v>
      </c>
      <c r="O2768">
        <v>49.000213980780103</v>
      </c>
      <c r="P2768">
        <v>-5.1460769487407902E-2</v>
      </c>
      <c r="Q2768">
        <v>0.419976482809715</v>
      </c>
      <c r="R2768">
        <v>0.91941298621670897</v>
      </c>
      <c r="S2768" t="s">
        <v>6397</v>
      </c>
      <c r="T2768" t="s">
        <v>7256</v>
      </c>
      <c r="U2768" t="s">
        <v>7256</v>
      </c>
      <c r="V2768" t="s">
        <v>7256</v>
      </c>
      <c r="W2768">
        <v>2</v>
      </c>
      <c r="X2768" t="s">
        <v>10024</v>
      </c>
      <c r="Y2768">
        <v>0.61703515391418029</v>
      </c>
      <c r="Z2768" t="str">
        <f>HYPERLINK("Melting_Curves/meltCurve_sp_Q9UBF6_RBX2_HUMAN_.pdf", "Melting_Curves/meltCurve_sp_Q9UBF6_RBX2_HUMAN_.pdf")</f>
        <v>Melting_Curves/meltCurve_sp_Q9UBF6_RBX2_HUMAN_.pdf</v>
      </c>
      <c r="AA2768" t="s">
        <v>13616</v>
      </c>
      <c r="AB2768" t="s">
        <v>17192</v>
      </c>
    </row>
    <row r="2769" spans="1:28" x14ac:dyDescent="0.25">
      <c r="A2769" t="s">
        <v>2773</v>
      </c>
      <c r="B2769">
        <v>0.98018197421672304</v>
      </c>
      <c r="C2769">
        <v>0.92612327879800105</v>
      </c>
      <c r="D2769">
        <v>0.81741303450910596</v>
      </c>
      <c r="E2769">
        <v>0.44596877603797003</v>
      </c>
      <c r="F2769">
        <v>0.240682766477997</v>
      </c>
      <c r="G2769">
        <v>9.7281274960074604E-2</v>
      </c>
      <c r="H2769">
        <v>7.7447613577522903E-2</v>
      </c>
      <c r="I2769">
        <v>5.1501579842809099E-2</v>
      </c>
      <c r="J2769">
        <v>7.2172775063998898E-2</v>
      </c>
      <c r="K2769">
        <v>3.4771374407775002E-2</v>
      </c>
      <c r="L2769">
        <v>953.41680495001503</v>
      </c>
      <c r="M2769">
        <v>19.375828774317799</v>
      </c>
      <c r="N2769">
        <v>49.454503996783302</v>
      </c>
      <c r="O2769">
        <v>48.691349866029903</v>
      </c>
      <c r="P2769">
        <v>-9.4880713256986104E-2</v>
      </c>
      <c r="Q2769">
        <v>4.6296373012617999E-2</v>
      </c>
      <c r="R2769">
        <v>0.99879158323246198</v>
      </c>
      <c r="S2769" t="s">
        <v>6398</v>
      </c>
      <c r="T2769" t="s">
        <v>7256</v>
      </c>
      <c r="U2769" t="s">
        <v>7256</v>
      </c>
      <c r="V2769" t="s">
        <v>7256</v>
      </c>
      <c r="W2769">
        <v>3</v>
      </c>
      <c r="X2769" t="s">
        <v>10025</v>
      </c>
      <c r="Y2769">
        <v>0.35318561223351941</v>
      </c>
      <c r="Z2769" t="str">
        <f>HYPERLINK("Melting_Curves/meltCurve_sp_Q9UBK8_2_MTRR_HUMAN_.pdf", "Melting_Curves/meltCurve_sp_Q9UBK8_2_MTRR_HUMAN_.pdf")</f>
        <v>Melting_Curves/meltCurve_sp_Q9UBK8_2_MTRR_HUMAN_.pdf</v>
      </c>
      <c r="AA2769" t="s">
        <v>13617</v>
      </c>
      <c r="AB2769" t="s">
        <v>17193</v>
      </c>
    </row>
    <row r="2770" spans="1:28" x14ac:dyDescent="0.25">
      <c r="A2770" t="s">
        <v>2774</v>
      </c>
      <c r="B2770">
        <v>0.98018197421672304</v>
      </c>
      <c r="C2770">
        <v>0.92195603151468397</v>
      </c>
      <c r="D2770">
        <v>0.87145237105778395</v>
      </c>
      <c r="E2770">
        <v>0.63639665112160604</v>
      </c>
      <c r="F2770">
        <v>0.45618505915768198</v>
      </c>
      <c r="G2770">
        <v>0.255196638996114</v>
      </c>
      <c r="H2770">
        <v>0.17526568896634601</v>
      </c>
      <c r="I2770">
        <v>0.184092384622597</v>
      </c>
      <c r="J2770">
        <v>0.19315306819196201</v>
      </c>
      <c r="K2770">
        <v>0.24026909155367099</v>
      </c>
      <c r="L2770">
        <v>873.285113160641</v>
      </c>
      <c r="M2770">
        <v>17.271056855556701</v>
      </c>
      <c r="N2770">
        <v>51.879443401480501</v>
      </c>
      <c r="O2770">
        <v>49.900230053326602</v>
      </c>
      <c r="P2770">
        <v>-7.1184892236712899E-2</v>
      </c>
      <c r="Q2770">
        <v>0.17736679121263799</v>
      </c>
      <c r="R2770">
        <v>0.991635571163059</v>
      </c>
      <c r="S2770" t="s">
        <v>6399</v>
      </c>
      <c r="T2770" t="s">
        <v>7256</v>
      </c>
      <c r="U2770" t="s">
        <v>7256</v>
      </c>
      <c r="V2770" t="s">
        <v>7256</v>
      </c>
      <c r="W2770">
        <v>1</v>
      </c>
      <c r="X2770" t="s">
        <v>10026</v>
      </c>
      <c r="Y2770">
        <v>0.48205716137805688</v>
      </c>
      <c r="Z2770" t="str">
        <f>HYPERLINK("Melting_Curves/meltCurve_sp_Q9UBL3_2_ASH2L_HUMAN_.pdf", "Melting_Curves/meltCurve_sp_Q9UBL3_2_ASH2L_HUMAN_.pdf")</f>
        <v>Melting_Curves/meltCurve_sp_Q9UBL3_2_ASH2L_HUMAN_.pdf</v>
      </c>
      <c r="AA2770" t="s">
        <v>13618</v>
      </c>
      <c r="AB2770" t="s">
        <v>17194</v>
      </c>
    </row>
    <row r="2771" spans="1:28" x14ac:dyDescent="0.25">
      <c r="A2771" t="s">
        <v>2775</v>
      </c>
      <c r="B2771">
        <v>0.98018197421672304</v>
      </c>
      <c r="C2771">
        <v>0.95263602918021095</v>
      </c>
      <c r="D2771">
        <v>0.84647321234528305</v>
      </c>
      <c r="E2771">
        <v>0.57772413504345999</v>
      </c>
      <c r="F2771">
        <v>0.41787367622832999</v>
      </c>
      <c r="G2771">
        <v>0.310196797884082</v>
      </c>
      <c r="H2771">
        <v>0.25683948457033501</v>
      </c>
      <c r="I2771">
        <v>0.22045892650162299</v>
      </c>
      <c r="J2771">
        <v>0.22606441066418601</v>
      </c>
      <c r="K2771">
        <v>0.106916611844363</v>
      </c>
      <c r="L2771">
        <v>737.76592103507801</v>
      </c>
      <c r="M2771">
        <v>14.6939845993943</v>
      </c>
      <c r="N2771">
        <v>51.678382333918002</v>
      </c>
      <c r="O2771">
        <v>49.306274847442999</v>
      </c>
      <c r="P2771">
        <v>-6.1786743193649601E-2</v>
      </c>
      <c r="Q2771">
        <v>0.17077889110542099</v>
      </c>
      <c r="R2771">
        <v>0.990050674421183</v>
      </c>
      <c r="S2771" t="s">
        <v>6400</v>
      </c>
      <c r="T2771" t="s">
        <v>7256</v>
      </c>
      <c r="U2771" t="s">
        <v>7256</v>
      </c>
      <c r="V2771" t="s">
        <v>7256</v>
      </c>
      <c r="W2771">
        <v>11</v>
      </c>
      <c r="X2771" t="s">
        <v>10027</v>
      </c>
      <c r="Y2771">
        <v>0.47331348254969308</v>
      </c>
      <c r="Z2771" t="str">
        <f>HYPERLINK("Melting_Curves/meltCurve_sp_Q9UBN7_HDAC6_HUMAN_.pdf", "Melting_Curves/meltCurve_sp_Q9UBN7_HDAC6_HUMAN_.pdf")</f>
        <v>Melting_Curves/meltCurve_sp_Q9UBN7_HDAC6_HUMAN_.pdf</v>
      </c>
      <c r="AA2771" t="s">
        <v>13619</v>
      </c>
      <c r="AB2771" t="s">
        <v>17195</v>
      </c>
    </row>
    <row r="2772" spans="1:28" x14ac:dyDescent="0.25">
      <c r="A2772" t="s">
        <v>2776</v>
      </c>
      <c r="B2772">
        <v>0.98018197421672304</v>
      </c>
      <c r="C2772">
        <v>1.00612005077789</v>
      </c>
      <c r="D2772">
        <v>0.91059597001456505</v>
      </c>
      <c r="E2772">
        <v>0.82574593066176805</v>
      </c>
      <c r="F2772">
        <v>0.61293903129814498</v>
      </c>
      <c r="G2772">
        <v>0.18752336255518701</v>
      </c>
      <c r="H2772">
        <v>0.15161755242227801</v>
      </c>
      <c r="I2772">
        <v>9.3746843815125894E-2</v>
      </c>
      <c r="J2772">
        <v>0.11813667423426601</v>
      </c>
      <c r="K2772">
        <v>0.21206838838466899</v>
      </c>
      <c r="L2772">
        <v>1458.9461595661201</v>
      </c>
      <c r="M2772">
        <v>27.520411875461999</v>
      </c>
      <c r="N2772">
        <v>53.5903689877509</v>
      </c>
      <c r="O2772">
        <v>52.7356934860858</v>
      </c>
      <c r="P2772">
        <v>-0.113733871612881</v>
      </c>
      <c r="Q2772">
        <v>0.128242766450929</v>
      </c>
      <c r="R2772">
        <v>0.98470072355631599</v>
      </c>
      <c r="S2772" t="s">
        <v>6401</v>
      </c>
      <c r="T2772" t="s">
        <v>7256</v>
      </c>
      <c r="U2772" t="s">
        <v>7256</v>
      </c>
      <c r="V2772" t="s">
        <v>7256</v>
      </c>
      <c r="W2772">
        <v>3</v>
      </c>
      <c r="X2772" t="s">
        <v>10028</v>
      </c>
      <c r="Y2772">
        <v>0.51307534350885875</v>
      </c>
      <c r="Z2772" t="str">
        <f>HYPERLINK("Melting_Curves/meltCurve_sp_Q9UBP6_TRMB_HUMAN_.pdf", "Melting_Curves/meltCurve_sp_Q9UBP6_TRMB_HUMAN_.pdf")</f>
        <v>Melting_Curves/meltCurve_sp_Q9UBP6_TRMB_HUMAN_.pdf</v>
      </c>
      <c r="AA2772" t="s">
        <v>13620</v>
      </c>
      <c r="AB2772" t="s">
        <v>17196</v>
      </c>
    </row>
    <row r="2773" spans="1:28" x14ac:dyDescent="0.25">
      <c r="A2773" t="s">
        <v>2777</v>
      </c>
      <c r="B2773">
        <v>0.98018197421672304</v>
      </c>
      <c r="C2773">
        <v>0.95514368872153399</v>
      </c>
      <c r="D2773">
        <v>0.91761432417988198</v>
      </c>
      <c r="E2773">
        <v>0.80056159242478397</v>
      </c>
      <c r="F2773">
        <v>0.70934334594161597</v>
      </c>
      <c r="G2773">
        <v>0.4216299511503</v>
      </c>
      <c r="H2773">
        <v>0.14324692201383399</v>
      </c>
      <c r="I2773">
        <v>6.0509322473479003E-2</v>
      </c>
      <c r="J2773">
        <v>7.0351596678218803E-2</v>
      </c>
      <c r="K2773">
        <v>4.08513022316698E-2</v>
      </c>
      <c r="L2773">
        <v>885.93814426302902</v>
      </c>
      <c r="M2773">
        <v>16.0083242153176</v>
      </c>
      <c r="N2773">
        <v>55.3423413145767</v>
      </c>
      <c r="O2773">
        <v>54.500336091908899</v>
      </c>
      <c r="P2773">
        <v>-7.34379750633532E-2</v>
      </c>
      <c r="Q2773">
        <v>0</v>
      </c>
      <c r="R2773">
        <v>0.99161195600279695</v>
      </c>
      <c r="S2773" t="s">
        <v>6402</v>
      </c>
      <c r="T2773" t="s">
        <v>7256</v>
      </c>
      <c r="U2773" t="s">
        <v>7256</v>
      </c>
      <c r="V2773" t="s">
        <v>7256</v>
      </c>
      <c r="W2773">
        <v>6</v>
      </c>
      <c r="X2773" t="s">
        <v>10029</v>
      </c>
      <c r="Y2773">
        <v>0.52896318862754521</v>
      </c>
      <c r="Z2773" t="str">
        <f>HYPERLINK("Melting_Curves/meltCurve_sp_Q9UBQ0_VPS29_HUMAN_.pdf", "Melting_Curves/meltCurve_sp_Q9UBQ0_VPS29_HUMAN_.pdf")</f>
        <v>Melting_Curves/meltCurve_sp_Q9UBQ0_VPS29_HUMAN_.pdf</v>
      </c>
      <c r="AA2773" t="s">
        <v>13621</v>
      </c>
      <c r="AB2773" t="s">
        <v>17197</v>
      </c>
    </row>
    <row r="2774" spans="1:28" x14ac:dyDescent="0.25">
      <c r="A2774" t="s">
        <v>2778</v>
      </c>
      <c r="B2774">
        <v>0.98018197421672304</v>
      </c>
      <c r="C2774">
        <v>0.90072182027877001</v>
      </c>
      <c r="D2774">
        <v>0.96526294545878399</v>
      </c>
      <c r="E2774">
        <v>0.61694403339385195</v>
      </c>
      <c r="F2774">
        <v>0.16513339071734101</v>
      </c>
      <c r="G2774">
        <v>7.5148658832214998E-2</v>
      </c>
      <c r="H2774">
        <v>3.8903202888003502E-2</v>
      </c>
      <c r="I2774">
        <v>3.0737941910877899E-2</v>
      </c>
      <c r="J2774">
        <v>3.08562469046724E-2</v>
      </c>
      <c r="K2774">
        <v>1.85797700437801E-2</v>
      </c>
      <c r="L2774">
        <v>1883.4024587701199</v>
      </c>
      <c r="M2774">
        <v>37.277105873487002</v>
      </c>
      <c r="N2774">
        <v>50.619641968322497</v>
      </c>
      <c r="O2774">
        <v>50.379642940716799</v>
      </c>
      <c r="P2774">
        <v>-0.178716599031393</v>
      </c>
      <c r="Q2774">
        <v>3.3867958759278602E-2</v>
      </c>
      <c r="R2774">
        <v>0.99316690145221698</v>
      </c>
      <c r="S2774" t="s">
        <v>6403</v>
      </c>
      <c r="T2774" t="s">
        <v>7256</v>
      </c>
      <c r="U2774" t="s">
        <v>7256</v>
      </c>
      <c r="V2774" t="s">
        <v>7256</v>
      </c>
      <c r="W2774">
        <v>16</v>
      </c>
      <c r="X2774" t="s">
        <v>10030</v>
      </c>
      <c r="Y2774">
        <v>0.37668915676219422</v>
      </c>
      <c r="Z2774" t="str">
        <f>HYPERLINK("Melting_Curves/meltCurve_sp_Q9UBQ7_GRHPR_HUMAN_.pdf", "Melting_Curves/meltCurve_sp_Q9UBQ7_GRHPR_HUMAN_.pdf")</f>
        <v>Melting_Curves/meltCurve_sp_Q9UBQ7_GRHPR_HUMAN_.pdf</v>
      </c>
      <c r="AA2774" t="s">
        <v>13622</v>
      </c>
      <c r="AB2774" t="s">
        <v>17198</v>
      </c>
    </row>
    <row r="2775" spans="1:28" x14ac:dyDescent="0.25">
      <c r="A2775" t="s">
        <v>2779</v>
      </c>
      <c r="B2775">
        <v>0.98018197421672304</v>
      </c>
      <c r="C2775">
        <v>0.80415119497524301</v>
      </c>
      <c r="D2775">
        <v>0.96406089440141096</v>
      </c>
      <c r="E2775">
        <v>0.68188523986513205</v>
      </c>
      <c r="F2775">
        <v>0.22965679957467899</v>
      </c>
      <c r="G2775">
        <v>0.130175673860571</v>
      </c>
      <c r="H2775">
        <v>6.3615703599408394E-2</v>
      </c>
      <c r="I2775">
        <v>4.1420322300515497E-2</v>
      </c>
      <c r="J2775">
        <v>4.2035967705948397E-2</v>
      </c>
      <c r="K2775">
        <v>3.080787675518E-2</v>
      </c>
      <c r="L2775">
        <v>1658.7186402616701</v>
      </c>
      <c r="M2775">
        <v>32.572114554374203</v>
      </c>
      <c r="N2775">
        <v>51.093350086641003</v>
      </c>
      <c r="O2775">
        <v>50.733704268211497</v>
      </c>
      <c r="P2775">
        <v>-0.15231677140639099</v>
      </c>
      <c r="Q2775">
        <v>5.1021738929409297E-2</v>
      </c>
      <c r="R2775">
        <v>0.97187503488910398</v>
      </c>
      <c r="S2775" t="s">
        <v>6404</v>
      </c>
      <c r="T2775" t="s">
        <v>7256</v>
      </c>
      <c r="U2775" t="s">
        <v>7256</v>
      </c>
      <c r="V2775" t="s">
        <v>7256</v>
      </c>
      <c r="W2775">
        <v>20</v>
      </c>
      <c r="X2775" t="s">
        <v>10031</v>
      </c>
      <c r="Y2775">
        <v>0.40164406274530368</v>
      </c>
      <c r="Z2775" t="str">
        <f>HYPERLINK("Melting_Curves/meltCurve_sp_Q9UBR1_BUP1_HUMAN_.pdf", "Melting_Curves/meltCurve_sp_Q9UBR1_BUP1_HUMAN_.pdf")</f>
        <v>Melting_Curves/meltCurve_sp_Q9UBR1_BUP1_HUMAN_.pdf</v>
      </c>
      <c r="AA2775" t="s">
        <v>13623</v>
      </c>
      <c r="AB2775" t="s">
        <v>17199</v>
      </c>
    </row>
    <row r="2776" spans="1:28" x14ac:dyDescent="0.25">
      <c r="A2776" t="s">
        <v>2780</v>
      </c>
      <c r="B2776">
        <v>0.98018197421672304</v>
      </c>
      <c r="C2776">
        <v>0.93755810844889997</v>
      </c>
      <c r="D2776">
        <v>0.93641484841706102</v>
      </c>
      <c r="E2776">
        <v>0.81988817035311901</v>
      </c>
      <c r="F2776">
        <v>0.79420670080431299</v>
      </c>
      <c r="G2776">
        <v>0.68828772578898501</v>
      </c>
      <c r="H2776">
        <v>0.432614783105636</v>
      </c>
      <c r="I2776">
        <v>0.38379420836167</v>
      </c>
      <c r="J2776">
        <v>0.17981048626125401</v>
      </c>
      <c r="K2776">
        <v>7.9044455633170002E-2</v>
      </c>
      <c r="L2776">
        <v>671.21429157767795</v>
      </c>
      <c r="M2776">
        <v>11.2603183531703</v>
      </c>
      <c r="N2776">
        <v>59.608820171492802</v>
      </c>
      <c r="O2776">
        <v>57.821585560268304</v>
      </c>
      <c r="P2776">
        <v>-4.8700626893100299E-2</v>
      </c>
      <c r="Q2776">
        <v>0</v>
      </c>
      <c r="R2776">
        <v>0.97319790793406702</v>
      </c>
      <c r="S2776" t="s">
        <v>6405</v>
      </c>
      <c r="T2776" t="s">
        <v>7256</v>
      </c>
      <c r="U2776" t="s">
        <v>7256</v>
      </c>
      <c r="V2776" t="s">
        <v>7256</v>
      </c>
      <c r="W2776">
        <v>8</v>
      </c>
      <c r="X2776" t="s">
        <v>10032</v>
      </c>
      <c r="Y2776">
        <v>0.65656402973017214</v>
      </c>
      <c r="Z2776" t="str">
        <f>HYPERLINK("Melting_Curves/meltCurve_sp_Q9UBR2_CATZ_HUMAN_.pdf", "Melting_Curves/meltCurve_sp_Q9UBR2_CATZ_HUMAN_.pdf")</f>
        <v>Melting_Curves/meltCurve_sp_Q9UBR2_CATZ_HUMAN_.pdf</v>
      </c>
      <c r="AA2776" t="s">
        <v>13624</v>
      </c>
      <c r="AB2776" t="s">
        <v>17200</v>
      </c>
    </row>
    <row r="2777" spans="1:28" x14ac:dyDescent="0.25">
      <c r="A2777" t="s">
        <v>2781</v>
      </c>
      <c r="B2777">
        <v>0.98018197421672304</v>
      </c>
      <c r="C2777">
        <v>1.09867230079042</v>
      </c>
      <c r="D2777">
        <v>1.0693485030282599</v>
      </c>
      <c r="E2777">
        <v>0.80673256915117497</v>
      </c>
      <c r="F2777">
        <v>0.59071380768960502</v>
      </c>
      <c r="G2777">
        <v>0.25731950305836698</v>
      </c>
      <c r="H2777">
        <v>0.109009398321883</v>
      </c>
      <c r="I2777">
        <v>5.3024695565339099E-2</v>
      </c>
      <c r="J2777">
        <v>2.0756629806042402E-2</v>
      </c>
      <c r="K2777">
        <v>1.74127070830143E-2</v>
      </c>
      <c r="L2777">
        <v>1141.8231834136</v>
      </c>
      <c r="M2777">
        <v>21.198527244106</v>
      </c>
      <c r="N2777">
        <v>53.953144754063999</v>
      </c>
      <c r="O2777">
        <v>53.390871093714701</v>
      </c>
      <c r="P2777">
        <v>-9.7542600209415797E-2</v>
      </c>
      <c r="Q2777">
        <v>1.7337445262605399E-2</v>
      </c>
      <c r="R2777">
        <v>0.98857476823735202</v>
      </c>
      <c r="S2777" t="s">
        <v>6406</v>
      </c>
      <c r="T2777" t="s">
        <v>7256</v>
      </c>
      <c r="U2777" t="s">
        <v>7256</v>
      </c>
      <c r="V2777" t="s">
        <v>7256</v>
      </c>
      <c r="W2777">
        <v>3</v>
      </c>
      <c r="X2777" t="s">
        <v>10033</v>
      </c>
      <c r="Y2777">
        <v>0.48359056770038239</v>
      </c>
      <c r="Z2777" t="str">
        <f>HYPERLINK("Melting_Curves/meltCurve_sp_Q9UBS4_DJB11_HUMAN_.pdf", "Melting_Curves/meltCurve_sp_Q9UBS4_DJB11_HUMAN_.pdf")</f>
        <v>Melting_Curves/meltCurve_sp_Q9UBS4_DJB11_HUMAN_.pdf</v>
      </c>
      <c r="AA2777" t="s">
        <v>13625</v>
      </c>
      <c r="AB2777" t="s">
        <v>17201</v>
      </c>
    </row>
    <row r="2778" spans="1:28" x14ac:dyDescent="0.25">
      <c r="A2778" t="s">
        <v>2782</v>
      </c>
      <c r="B2778">
        <v>0.98018197421672304</v>
      </c>
      <c r="C2778">
        <v>0.94163678979161303</v>
      </c>
      <c r="D2778">
        <v>0.93498942129280105</v>
      </c>
      <c r="E2778">
        <v>0.77014264650993403</v>
      </c>
      <c r="F2778">
        <v>0.487227223516773</v>
      </c>
      <c r="G2778">
        <v>0.186761448335025</v>
      </c>
      <c r="H2778">
        <v>0.10937718352175101</v>
      </c>
      <c r="I2778">
        <v>7.4622595653934101E-2</v>
      </c>
      <c r="J2778">
        <v>8.4262133351726096E-2</v>
      </c>
      <c r="K2778">
        <v>7.2162407727713596E-2</v>
      </c>
      <c r="L2778">
        <v>1142.5673018201601</v>
      </c>
      <c r="M2778">
        <v>21.782465492712099</v>
      </c>
      <c r="N2778">
        <v>52.788050148933301</v>
      </c>
      <c r="O2778">
        <v>52.017453651747097</v>
      </c>
      <c r="P2778">
        <v>-9.7941737592406902E-2</v>
      </c>
      <c r="Q2778">
        <v>6.4465714931353099E-2</v>
      </c>
      <c r="R2778">
        <v>0.99715561961649501</v>
      </c>
      <c r="S2778" t="s">
        <v>6407</v>
      </c>
      <c r="T2778" t="s">
        <v>7256</v>
      </c>
      <c r="U2778" t="s">
        <v>7256</v>
      </c>
      <c r="V2778" t="s">
        <v>7256</v>
      </c>
      <c r="W2778">
        <v>7</v>
      </c>
      <c r="X2778" t="s">
        <v>10034</v>
      </c>
      <c r="Y2778">
        <v>0.46391122125148387</v>
      </c>
      <c r="Z2778" t="str">
        <f>HYPERLINK("Melting_Curves/meltCurve_sp_Q9UBS8_RNF14_HUMAN_.pdf", "Melting_Curves/meltCurve_sp_Q9UBS8_RNF14_HUMAN_.pdf")</f>
        <v>Melting_Curves/meltCurve_sp_Q9UBS8_RNF14_HUMAN_.pdf</v>
      </c>
      <c r="AA2778" t="s">
        <v>13626</v>
      </c>
      <c r="AB2778" t="s">
        <v>17202</v>
      </c>
    </row>
    <row r="2779" spans="1:28" x14ac:dyDescent="0.25">
      <c r="A2779" t="s">
        <v>2783</v>
      </c>
      <c r="B2779">
        <v>0.98018197421672304</v>
      </c>
      <c r="C2779">
        <v>1.0008234035411701</v>
      </c>
      <c r="D2779">
        <v>0.90134908999408003</v>
      </c>
      <c r="E2779">
        <v>0.71159825439150204</v>
      </c>
      <c r="F2779">
        <v>0.391289250576703</v>
      </c>
      <c r="G2779">
        <v>0.20741367405738501</v>
      </c>
      <c r="H2779">
        <v>7.9241290835892597E-2</v>
      </c>
      <c r="I2779">
        <v>5.86554288089082E-2</v>
      </c>
      <c r="J2779">
        <v>5.5900551676986203E-2</v>
      </c>
      <c r="K2779">
        <v>4.4028223533511199E-2</v>
      </c>
      <c r="L2779">
        <v>1002.5490818137999</v>
      </c>
      <c r="M2779">
        <v>19.3331529807386</v>
      </c>
      <c r="N2779">
        <v>52.076427176801701</v>
      </c>
      <c r="O2779">
        <v>51.311215273014597</v>
      </c>
      <c r="P2779">
        <v>-9.0505854842905006E-2</v>
      </c>
      <c r="Q2779">
        <v>3.9206368086441103E-2</v>
      </c>
      <c r="R2779">
        <v>0.997718006062145</v>
      </c>
      <c r="S2779" t="s">
        <v>6408</v>
      </c>
      <c r="T2779" t="s">
        <v>7256</v>
      </c>
      <c r="U2779" t="s">
        <v>7256</v>
      </c>
      <c r="V2779" t="s">
        <v>7256</v>
      </c>
      <c r="W2779">
        <v>13</v>
      </c>
      <c r="X2779" t="s">
        <v>10035</v>
      </c>
      <c r="Y2779">
        <v>0.43306397742130992</v>
      </c>
      <c r="Z2779" t="str">
        <f>HYPERLINK("Melting_Curves/meltCurve_sp_Q9UBT2_SAE2_HUMAN_.pdf", "Melting_Curves/meltCurve_sp_Q9UBT2_SAE2_HUMAN_.pdf")</f>
        <v>Melting_Curves/meltCurve_sp_Q9UBT2_SAE2_HUMAN_.pdf</v>
      </c>
      <c r="AA2779" t="s">
        <v>13627</v>
      </c>
      <c r="AB2779" t="s">
        <v>17203</v>
      </c>
    </row>
    <row r="2780" spans="1:28" x14ac:dyDescent="0.25">
      <c r="A2780" t="s">
        <v>2784</v>
      </c>
      <c r="B2780">
        <v>0.98018197421672304</v>
      </c>
      <c r="C2780">
        <v>0.96517868367474202</v>
      </c>
      <c r="D2780">
        <v>0.89723216966437602</v>
      </c>
      <c r="E2780">
        <v>0.74002298627667196</v>
      </c>
      <c r="F2780">
        <v>0.64695004286403501</v>
      </c>
      <c r="G2780">
        <v>0.28266363703737402</v>
      </c>
      <c r="H2780">
        <v>0.18465576463442401</v>
      </c>
      <c r="I2780">
        <v>0.145312759572852</v>
      </c>
      <c r="J2780">
        <v>0.13560090448824699</v>
      </c>
      <c r="K2780">
        <v>9.6070452764682499E-2</v>
      </c>
      <c r="L2780">
        <v>813.32926796145398</v>
      </c>
      <c r="M2780">
        <v>15.185810787269</v>
      </c>
      <c r="N2780">
        <v>54.102902032563897</v>
      </c>
      <c r="O2780">
        <v>52.655500993422798</v>
      </c>
      <c r="P2780">
        <v>-6.6997893014793197E-2</v>
      </c>
      <c r="Q2780">
        <v>7.0851579202408893E-2</v>
      </c>
      <c r="R2780">
        <v>0.99113179434517296</v>
      </c>
      <c r="S2780" t="s">
        <v>6409</v>
      </c>
      <c r="T2780" t="s">
        <v>7256</v>
      </c>
      <c r="U2780" t="s">
        <v>7256</v>
      </c>
      <c r="V2780" t="s">
        <v>7256</v>
      </c>
      <c r="W2780">
        <v>4</v>
      </c>
      <c r="X2780" t="s">
        <v>10036</v>
      </c>
      <c r="Y2780">
        <v>0.50996406058635879</v>
      </c>
      <c r="Z2780" t="str">
        <f>HYPERLINK("Melting_Curves/meltCurve_sp_Q9UBV8_PEF1_HUMAN_.pdf", "Melting_Curves/meltCurve_sp_Q9UBV8_PEF1_HUMAN_.pdf")</f>
        <v>Melting_Curves/meltCurve_sp_Q9UBV8_PEF1_HUMAN_.pdf</v>
      </c>
      <c r="AA2780" t="s">
        <v>13628</v>
      </c>
      <c r="AB2780" t="s">
        <v>17204</v>
      </c>
    </row>
    <row r="2781" spans="1:28" x14ac:dyDescent="0.25">
      <c r="A2781" t="s">
        <v>2785</v>
      </c>
      <c r="B2781">
        <v>0.98018197421672304</v>
      </c>
      <c r="C2781">
        <v>0.90583784903842302</v>
      </c>
      <c r="D2781">
        <v>0.90473875384698699</v>
      </c>
      <c r="E2781">
        <v>0.80770796326028604</v>
      </c>
      <c r="F2781">
        <v>0.64317019645260998</v>
      </c>
      <c r="G2781">
        <v>0.28748902836925799</v>
      </c>
      <c r="H2781">
        <v>9.3998108117137893E-2</v>
      </c>
      <c r="I2781">
        <v>6.5398557923635206E-2</v>
      </c>
      <c r="J2781">
        <v>6.3474291603568905E-2</v>
      </c>
      <c r="K2781">
        <v>5.5623852093331101E-2</v>
      </c>
      <c r="L2781">
        <v>964.19259904851504</v>
      </c>
      <c r="M2781">
        <v>17.814782151257099</v>
      </c>
      <c r="N2781">
        <v>54.220346239149897</v>
      </c>
      <c r="O2781">
        <v>53.455038247445202</v>
      </c>
      <c r="P2781">
        <v>-8.2011933297226502E-2</v>
      </c>
      <c r="Q2781">
        <v>1.5710946123316399E-2</v>
      </c>
      <c r="R2781">
        <v>0.989706463287371</v>
      </c>
      <c r="S2781" t="s">
        <v>6410</v>
      </c>
      <c r="T2781" t="s">
        <v>7256</v>
      </c>
      <c r="U2781" t="s">
        <v>7256</v>
      </c>
      <c r="V2781" t="s">
        <v>7256</v>
      </c>
      <c r="W2781">
        <v>8</v>
      </c>
      <c r="X2781" t="s">
        <v>10037</v>
      </c>
      <c r="Y2781">
        <v>0.49501991222533559</v>
      </c>
      <c r="Z2781" t="str">
        <f>HYPERLINK("Melting_Curves/meltCurve_sp_Q9UBW8_CSN7A_HUMAN_.pdf", "Melting_Curves/meltCurve_sp_Q9UBW8_CSN7A_HUMAN_.pdf")</f>
        <v>Melting_Curves/meltCurve_sp_Q9UBW8_CSN7A_HUMAN_.pdf</v>
      </c>
      <c r="AA2781" t="s">
        <v>13629</v>
      </c>
      <c r="AB2781" t="s">
        <v>17205</v>
      </c>
    </row>
    <row r="2782" spans="1:28" x14ac:dyDescent="0.25">
      <c r="A2782" t="s">
        <v>2786</v>
      </c>
      <c r="B2782">
        <v>0.98018197421672304</v>
      </c>
      <c r="C2782">
        <v>0.999329089319966</v>
      </c>
      <c r="D2782">
        <v>0.76858458037397503</v>
      </c>
      <c r="E2782">
        <v>0.61281783025807002</v>
      </c>
      <c r="F2782">
        <v>0.47824161179309899</v>
      </c>
      <c r="G2782">
        <v>0.28321245269855899</v>
      </c>
      <c r="H2782">
        <v>0.141989992913718</v>
      </c>
      <c r="I2782">
        <v>0.107313159271094</v>
      </c>
      <c r="J2782">
        <v>6.4273221049917298E-2</v>
      </c>
      <c r="K2782">
        <v>8.7016507618659394E-2</v>
      </c>
      <c r="L2782">
        <v>621.27312590246004</v>
      </c>
      <c r="M2782">
        <v>11.957854403389501</v>
      </c>
      <c r="N2782">
        <v>52.1264075276084</v>
      </c>
      <c r="O2782">
        <v>50.566161693523</v>
      </c>
      <c r="P2782">
        <v>-5.79957680488732E-2</v>
      </c>
      <c r="Q2782">
        <v>1.9253188152813801E-2</v>
      </c>
      <c r="R2782">
        <v>0.99106117020895501</v>
      </c>
      <c r="S2782" t="s">
        <v>6411</v>
      </c>
      <c r="T2782" t="s">
        <v>7256</v>
      </c>
      <c r="U2782" t="s">
        <v>7256</v>
      </c>
      <c r="V2782" t="s">
        <v>7256</v>
      </c>
      <c r="W2782">
        <v>1</v>
      </c>
      <c r="X2782" t="s">
        <v>10038</v>
      </c>
      <c r="Y2782">
        <v>0.44032952375967949</v>
      </c>
      <c r="Z2782" t="str">
        <f>HYPERLINK("Melting_Curves/meltCurve_sp_Q9UBX1_CATF_HUMAN_.pdf", "Melting_Curves/meltCurve_sp_Q9UBX1_CATF_HUMAN_.pdf")</f>
        <v>Melting_Curves/meltCurve_sp_Q9UBX1_CATF_HUMAN_.pdf</v>
      </c>
      <c r="AA2782" t="s">
        <v>13630</v>
      </c>
      <c r="AB2782" t="s">
        <v>17206</v>
      </c>
    </row>
    <row r="2783" spans="1:28" x14ac:dyDescent="0.25">
      <c r="A2783" t="s">
        <v>2787</v>
      </c>
      <c r="B2783">
        <v>0.98018197421672304</v>
      </c>
      <c r="C2783">
        <v>0.89438595797192499</v>
      </c>
      <c r="D2783">
        <v>0.80458961034365895</v>
      </c>
      <c r="E2783">
        <v>0.364118486047534</v>
      </c>
      <c r="F2783">
        <v>0.118357587356962</v>
      </c>
      <c r="G2783">
        <v>6.9407459044798406E-2</v>
      </c>
      <c r="H2783">
        <v>4.3483251852528597E-2</v>
      </c>
      <c r="I2783">
        <v>3.3666100507633703E-2</v>
      </c>
      <c r="J2783">
        <v>3.8452506332057698E-2</v>
      </c>
      <c r="K2783">
        <v>2.9308480043070701E-2</v>
      </c>
      <c r="L2783">
        <v>1114.69226278922</v>
      </c>
      <c r="M2783">
        <v>22.984535182039</v>
      </c>
      <c r="N2783">
        <v>48.6276995816199</v>
      </c>
      <c r="O2783">
        <v>48.134842575076703</v>
      </c>
      <c r="P2783">
        <v>-0.115815165613391</v>
      </c>
      <c r="Q2783">
        <v>2.9844838966552999E-2</v>
      </c>
      <c r="R2783">
        <v>0.99618537436809396</v>
      </c>
      <c r="S2783" t="s">
        <v>6412</v>
      </c>
      <c r="T2783" t="s">
        <v>7256</v>
      </c>
      <c r="U2783" t="s">
        <v>7256</v>
      </c>
      <c r="V2783" t="s">
        <v>7256</v>
      </c>
      <c r="W2783">
        <v>44</v>
      </c>
      <c r="X2783" t="s">
        <v>10039</v>
      </c>
      <c r="Y2783">
        <v>0.31486638617238222</v>
      </c>
      <c r="Z2783" t="str">
        <f>HYPERLINK("Melting_Curves/meltCurve_sp_Q9UDR5_AASS_HUMAN_.pdf", "Melting_Curves/meltCurve_sp_Q9UDR5_AASS_HUMAN_.pdf")</f>
        <v>Melting_Curves/meltCurve_sp_Q9UDR5_AASS_HUMAN_.pdf</v>
      </c>
      <c r="AA2783" t="s">
        <v>13631</v>
      </c>
      <c r="AB2783" t="s">
        <v>17207</v>
      </c>
    </row>
    <row r="2784" spans="1:28" x14ac:dyDescent="0.25">
      <c r="A2784" t="s">
        <v>2788</v>
      </c>
      <c r="B2784">
        <v>0.98018197421672304</v>
      </c>
      <c r="C2784">
        <v>0.93248102018135604</v>
      </c>
      <c r="D2784">
        <v>0.88708732201979001</v>
      </c>
      <c r="E2784">
        <v>0.74661009377652499</v>
      </c>
      <c r="F2784">
        <v>0.56798630393071203</v>
      </c>
      <c r="G2784">
        <v>0.172305109719702</v>
      </c>
      <c r="H2784">
        <v>8.4614604346186201E-2</v>
      </c>
      <c r="I2784">
        <v>5.90198191606678E-2</v>
      </c>
      <c r="J2784">
        <v>8.8954873272705404E-2</v>
      </c>
      <c r="K2784">
        <v>5.6728676093963502E-2</v>
      </c>
      <c r="L2784">
        <v>996.40006087419204</v>
      </c>
      <c r="M2784">
        <v>18.8499849401767</v>
      </c>
      <c r="N2784">
        <v>53.058202451848302</v>
      </c>
      <c r="O2784">
        <v>52.275330998100003</v>
      </c>
      <c r="P2784">
        <v>-8.7078572897879694E-2</v>
      </c>
      <c r="Q2784">
        <v>3.4084324200407398E-2</v>
      </c>
      <c r="R2784">
        <v>0.98883164172666105</v>
      </c>
      <c r="S2784" t="s">
        <v>6413</v>
      </c>
      <c r="T2784" t="s">
        <v>7256</v>
      </c>
      <c r="U2784" t="s">
        <v>7256</v>
      </c>
      <c r="V2784" t="s">
        <v>7256</v>
      </c>
      <c r="W2784">
        <v>3</v>
      </c>
      <c r="X2784" t="s">
        <v>10040</v>
      </c>
      <c r="Y2784">
        <v>0.4628245106684894</v>
      </c>
      <c r="Z2784" t="str">
        <f>HYPERLINK("Melting_Curves/meltCurve_sp_Q9UDX3_2_S14L4_HUMAN_.pdf", "Melting_Curves/meltCurve_sp_Q9UDX3_2_S14L4_HUMAN_.pdf")</f>
        <v>Melting_Curves/meltCurve_sp_Q9UDX3_2_S14L4_HUMAN_.pdf</v>
      </c>
      <c r="AA2784" t="s">
        <v>13632</v>
      </c>
      <c r="AB2784" t="s">
        <v>17208</v>
      </c>
    </row>
    <row r="2785" spans="1:28" x14ac:dyDescent="0.25">
      <c r="A2785" t="s">
        <v>2789</v>
      </c>
      <c r="B2785">
        <v>0.98018197421672304</v>
      </c>
      <c r="C2785">
        <v>1.0111670718415999</v>
      </c>
      <c r="D2785">
        <v>0.916167663047605</v>
      </c>
      <c r="E2785">
        <v>0.56268372626722496</v>
      </c>
      <c r="F2785">
        <v>0.27188993953773</v>
      </c>
      <c r="G2785">
        <v>0.16759777328323899</v>
      </c>
      <c r="H2785">
        <v>0.11906533424021699</v>
      </c>
      <c r="I2785">
        <v>0.11057519576873499</v>
      </c>
      <c r="J2785">
        <v>0.15111730203404899</v>
      </c>
      <c r="K2785">
        <v>0.14557958980640401</v>
      </c>
      <c r="L2785">
        <v>1381.39263329913</v>
      </c>
      <c r="M2785">
        <v>27.662016716816801</v>
      </c>
      <c r="N2785">
        <v>50.492781033829999</v>
      </c>
      <c r="O2785">
        <v>49.679448251412602</v>
      </c>
      <c r="P2785">
        <v>-0.120968855147636</v>
      </c>
      <c r="Q2785">
        <v>0.130994395431939</v>
      </c>
      <c r="R2785">
        <v>0.998222165041179</v>
      </c>
      <c r="S2785" t="s">
        <v>6414</v>
      </c>
      <c r="T2785" t="s">
        <v>7256</v>
      </c>
      <c r="U2785" t="s">
        <v>7256</v>
      </c>
      <c r="V2785" t="s">
        <v>7256</v>
      </c>
      <c r="W2785">
        <v>20</v>
      </c>
      <c r="X2785" t="s">
        <v>10041</v>
      </c>
      <c r="Y2785">
        <v>0.42520212985011008</v>
      </c>
      <c r="Z2785" t="str">
        <f>HYPERLINK("Melting_Curves/meltCurve_sp_Q9UDY2_3_ZO2_HUMAN_.pdf", "Melting_Curves/meltCurve_sp_Q9UDY2_3_ZO2_HUMAN_.pdf")</f>
        <v>Melting_Curves/meltCurve_sp_Q9UDY2_3_ZO2_HUMAN_.pdf</v>
      </c>
      <c r="AA2785" t="s">
        <v>13633</v>
      </c>
      <c r="AB2785" t="s">
        <v>17209</v>
      </c>
    </row>
    <row r="2786" spans="1:28" x14ac:dyDescent="0.25">
      <c r="A2786" t="s">
        <v>2790</v>
      </c>
      <c r="B2786">
        <v>0.98018197421672304</v>
      </c>
      <c r="C2786">
        <v>0.96104284746319102</v>
      </c>
      <c r="D2786">
        <v>0.97905023502461996</v>
      </c>
      <c r="E2786">
        <v>0.79898820435770401</v>
      </c>
      <c r="F2786">
        <v>0.74017120148744597</v>
      </c>
      <c r="G2786">
        <v>0.59151944964724101</v>
      </c>
      <c r="H2786">
        <v>0.45293181749838501</v>
      </c>
      <c r="I2786">
        <v>0.40137387664018398</v>
      </c>
      <c r="J2786">
        <v>0.59382336900584998</v>
      </c>
      <c r="K2786">
        <v>0.70950558263485797</v>
      </c>
      <c r="L2786">
        <v>1138.5330082468199</v>
      </c>
      <c r="M2786">
        <v>22.209791894563001</v>
      </c>
      <c r="O2786">
        <v>50.852504322004101</v>
      </c>
      <c r="P2786">
        <v>-5.00647894642713E-2</v>
      </c>
      <c r="Q2786">
        <v>0.54148783416159596</v>
      </c>
      <c r="R2786">
        <v>0.83441532037425703</v>
      </c>
      <c r="S2786" t="s">
        <v>6415</v>
      </c>
      <c r="T2786" t="s">
        <v>7256</v>
      </c>
      <c r="U2786" t="s">
        <v>7256</v>
      </c>
      <c r="V2786" t="s">
        <v>7256</v>
      </c>
      <c r="W2786">
        <v>2</v>
      </c>
      <c r="X2786" t="s">
        <v>10042</v>
      </c>
      <c r="Y2786">
        <v>0.71884584457546719</v>
      </c>
      <c r="Z2786" t="str">
        <f>HYPERLINK("Melting_Curves/meltCurve_sp_Q9UEE9_CFDP1_HUMAN_.pdf", "Melting_Curves/meltCurve_sp_Q9UEE9_CFDP1_HUMAN_.pdf")</f>
        <v>Melting_Curves/meltCurve_sp_Q9UEE9_CFDP1_HUMAN_.pdf</v>
      </c>
      <c r="AA2786" t="s">
        <v>13634</v>
      </c>
      <c r="AB2786" t="s">
        <v>17210</v>
      </c>
    </row>
    <row r="2787" spans="1:28" x14ac:dyDescent="0.25">
      <c r="A2787" t="s">
        <v>2791</v>
      </c>
      <c r="B2787">
        <v>0.98018197421672304</v>
      </c>
      <c r="C2787">
        <v>1.0131194315023899</v>
      </c>
      <c r="D2787">
        <v>0.90244140983648702</v>
      </c>
      <c r="E2787">
        <v>0.79915397154308998</v>
      </c>
      <c r="F2787">
        <v>0.86677345087028501</v>
      </c>
      <c r="G2787">
        <v>0.70955169652201699</v>
      </c>
      <c r="H2787">
        <v>0.55051268253420105</v>
      </c>
      <c r="I2787">
        <v>0.58986734183113998</v>
      </c>
      <c r="J2787">
        <v>0.61947336677766096</v>
      </c>
      <c r="K2787">
        <v>0.76056298437651904</v>
      </c>
      <c r="L2787">
        <v>731.16092577740903</v>
      </c>
      <c r="M2787">
        <v>14.2592976508821</v>
      </c>
      <c r="O2787">
        <v>50.299218993546603</v>
      </c>
      <c r="P2787">
        <v>-2.6566608754334801E-2</v>
      </c>
      <c r="Q2787">
        <v>0.62519470513552799</v>
      </c>
      <c r="R2787">
        <v>0.80525464719985096</v>
      </c>
      <c r="S2787" t="s">
        <v>6416</v>
      </c>
      <c r="T2787" t="s">
        <v>7256</v>
      </c>
      <c r="U2787" t="s">
        <v>7256</v>
      </c>
      <c r="V2787" t="s">
        <v>7256</v>
      </c>
      <c r="W2787">
        <v>4</v>
      </c>
      <c r="X2787" t="s">
        <v>10043</v>
      </c>
      <c r="Y2787">
        <v>0.77537893025845173</v>
      </c>
      <c r="Z2787" t="str">
        <f>HYPERLINK("Melting_Curves/meltCurve_sp_Q9UEU0_VTI1B_HUMAN_.pdf", "Melting_Curves/meltCurve_sp_Q9UEU0_VTI1B_HUMAN_.pdf")</f>
        <v>Melting_Curves/meltCurve_sp_Q9UEU0_VTI1B_HUMAN_.pdf</v>
      </c>
      <c r="AA2787" t="s">
        <v>13635</v>
      </c>
      <c r="AB2787" t="s">
        <v>17211</v>
      </c>
    </row>
    <row r="2788" spans="1:28" x14ac:dyDescent="0.25">
      <c r="A2788" t="s">
        <v>2792</v>
      </c>
      <c r="B2788">
        <v>0.98018197421672304</v>
      </c>
      <c r="C2788">
        <v>0.97663059799683805</v>
      </c>
      <c r="D2788">
        <v>0.86224089712954899</v>
      </c>
      <c r="E2788">
        <v>0.73651491715829698</v>
      </c>
      <c r="F2788">
        <v>0.53683637570897302</v>
      </c>
      <c r="G2788">
        <v>0.34962494723486398</v>
      </c>
      <c r="H2788">
        <v>0.30710147611841199</v>
      </c>
      <c r="I2788">
        <v>0.25434760299803899</v>
      </c>
      <c r="J2788">
        <v>0.214972503032896</v>
      </c>
      <c r="K2788">
        <v>9.29533801950755E-2</v>
      </c>
      <c r="L2788">
        <v>621.36888813110704</v>
      </c>
      <c r="M2788">
        <v>11.698009256789099</v>
      </c>
      <c r="N2788">
        <v>54.2707107955559</v>
      </c>
      <c r="O2788">
        <v>51.636487751423402</v>
      </c>
      <c r="P2788">
        <v>-5.0417248661358598E-2</v>
      </c>
      <c r="Q2788">
        <v>0.110044629418759</v>
      </c>
      <c r="R2788">
        <v>0.98820924510788599</v>
      </c>
      <c r="S2788" t="s">
        <v>6417</v>
      </c>
      <c r="T2788" t="s">
        <v>7256</v>
      </c>
      <c r="U2788" t="s">
        <v>7256</v>
      </c>
      <c r="V2788" t="s">
        <v>7256</v>
      </c>
      <c r="W2788">
        <v>5</v>
      </c>
      <c r="X2788" t="s">
        <v>10044</v>
      </c>
      <c r="Y2788">
        <v>0.52498140886946942</v>
      </c>
      <c r="Z2788" t="str">
        <f>HYPERLINK("Melting_Curves/meltCurve_sp_Q9UEY8_2_ADDG_HUMAN_.pdf", "Melting_Curves/meltCurve_sp_Q9UEY8_2_ADDG_HUMAN_.pdf")</f>
        <v>Melting_Curves/meltCurve_sp_Q9UEY8_2_ADDG_HUMAN_.pdf</v>
      </c>
      <c r="AA2788" t="s">
        <v>13636</v>
      </c>
      <c r="AB2788" t="s">
        <v>17212</v>
      </c>
    </row>
    <row r="2789" spans="1:28" x14ac:dyDescent="0.25">
      <c r="A2789" t="s">
        <v>2793</v>
      </c>
      <c r="B2789">
        <v>0.98018197421672304</v>
      </c>
      <c r="C2789">
        <v>0.77807539109296298</v>
      </c>
      <c r="D2789">
        <v>0.86972742752394605</v>
      </c>
      <c r="E2789">
        <v>0.70850528369612398</v>
      </c>
      <c r="F2789">
        <v>0.55356868836693096</v>
      </c>
      <c r="G2789">
        <v>0.33341883605705303</v>
      </c>
      <c r="H2789">
        <v>0.25076026957445202</v>
      </c>
      <c r="I2789">
        <v>0.25292327358880701</v>
      </c>
      <c r="J2789">
        <v>0.16359249202137999</v>
      </c>
      <c r="K2789">
        <v>0.17319036401841501</v>
      </c>
      <c r="L2789">
        <v>495.38220747317303</v>
      </c>
      <c r="M2789">
        <v>9.3279537186665404</v>
      </c>
      <c r="N2789">
        <v>53.866932328040001</v>
      </c>
      <c r="O2789">
        <v>50.837829642942701</v>
      </c>
      <c r="P2789">
        <v>-4.3071313157819903E-2</v>
      </c>
      <c r="Q2789">
        <v>6.1631456190310602E-2</v>
      </c>
      <c r="R2789">
        <v>0.96805861745928501</v>
      </c>
      <c r="S2789" t="s">
        <v>6418</v>
      </c>
      <c r="T2789" t="s">
        <v>7256</v>
      </c>
      <c r="U2789" t="s">
        <v>7256</v>
      </c>
      <c r="V2789" t="s">
        <v>7256</v>
      </c>
      <c r="W2789">
        <v>8</v>
      </c>
      <c r="X2789" t="s">
        <v>10045</v>
      </c>
      <c r="Y2789">
        <v>0.50523185524784042</v>
      </c>
      <c r="Z2789" t="str">
        <f>HYPERLINK("Melting_Curves/meltCurve_sp_Q9UFN0_NPS3A_HUMAN_.pdf", "Melting_Curves/meltCurve_sp_Q9UFN0_NPS3A_HUMAN_.pdf")</f>
        <v>Melting_Curves/meltCurve_sp_Q9UFN0_NPS3A_HUMAN_.pdf</v>
      </c>
      <c r="AA2789" t="s">
        <v>13637</v>
      </c>
      <c r="AB2789" t="s">
        <v>17213</v>
      </c>
    </row>
    <row r="2790" spans="1:28" x14ac:dyDescent="0.25">
      <c r="A2790" t="s">
        <v>2794</v>
      </c>
      <c r="B2790">
        <v>0.98018197421672304</v>
      </c>
      <c r="C2790">
        <v>1.0019239148111301</v>
      </c>
      <c r="D2790">
        <v>0.86776277796713897</v>
      </c>
      <c r="E2790">
        <v>0.72485295275290196</v>
      </c>
      <c r="F2790">
        <v>0.53845802368262796</v>
      </c>
      <c r="G2790">
        <v>0.31561084569053399</v>
      </c>
      <c r="H2790">
        <v>0.27040960779675</v>
      </c>
      <c r="I2790">
        <v>0.28567729808064801</v>
      </c>
      <c r="J2790">
        <v>0.35220922016283701</v>
      </c>
      <c r="K2790">
        <v>0.37543628883646901</v>
      </c>
      <c r="L2790">
        <v>1054.53859940898</v>
      </c>
      <c r="M2790">
        <v>20.790679128480399</v>
      </c>
      <c r="N2790">
        <v>53.143093312678701</v>
      </c>
      <c r="O2790">
        <v>50.259431610077698</v>
      </c>
      <c r="P2790">
        <v>-7.1762135400670904E-2</v>
      </c>
      <c r="Q2790">
        <v>0.30610747947559702</v>
      </c>
      <c r="R2790">
        <v>0.97642076042202097</v>
      </c>
      <c r="S2790" t="s">
        <v>6419</v>
      </c>
      <c r="T2790" t="s">
        <v>7256</v>
      </c>
      <c r="U2790" t="s">
        <v>7256</v>
      </c>
      <c r="V2790" t="s">
        <v>7256</v>
      </c>
      <c r="W2790">
        <v>2</v>
      </c>
      <c r="X2790" t="s">
        <v>10046</v>
      </c>
      <c r="Y2790">
        <v>0.5630508413551828</v>
      </c>
      <c r="Z2790" t="str">
        <f>HYPERLINK("Melting_Curves/meltCurve_sp_Q9UFW8_CGBP1_HUMAN_.pdf", "Melting_Curves/meltCurve_sp_Q9UFW8_CGBP1_HUMAN_.pdf")</f>
        <v>Melting_Curves/meltCurve_sp_Q9UFW8_CGBP1_HUMAN_.pdf</v>
      </c>
      <c r="AA2790" t="s">
        <v>13638</v>
      </c>
      <c r="AB2790" t="s">
        <v>17214</v>
      </c>
    </row>
    <row r="2791" spans="1:28" x14ac:dyDescent="0.25">
      <c r="A2791" t="s">
        <v>2795</v>
      </c>
      <c r="B2791">
        <v>0.98018197421672304</v>
      </c>
      <c r="C2791">
        <v>0.97398423758199104</v>
      </c>
      <c r="D2791">
        <v>0.88216561640704105</v>
      </c>
      <c r="E2791">
        <v>0.73163424133799604</v>
      </c>
      <c r="F2791">
        <v>0.54325989817804599</v>
      </c>
      <c r="G2791">
        <v>0.30306536962117903</v>
      </c>
      <c r="H2791">
        <v>9.1497469818765206E-2</v>
      </c>
      <c r="I2791">
        <v>6.5282794791341303E-2</v>
      </c>
      <c r="J2791">
        <v>5.8803475564803802E-2</v>
      </c>
      <c r="K2791">
        <v>3.34076834583696E-2</v>
      </c>
      <c r="L2791">
        <v>790.26434938670195</v>
      </c>
      <c r="M2791">
        <v>14.8012816099384</v>
      </c>
      <c r="N2791">
        <v>53.391619223259198</v>
      </c>
      <c r="O2791">
        <v>52.445411813073598</v>
      </c>
      <c r="P2791">
        <v>-7.0563132498667094E-2</v>
      </c>
      <c r="Q2791">
        <v>0</v>
      </c>
      <c r="R2791">
        <v>0.99701812455810102</v>
      </c>
      <c r="S2791" t="s">
        <v>6420</v>
      </c>
      <c r="T2791" t="s">
        <v>7256</v>
      </c>
      <c r="U2791" t="s">
        <v>7256</v>
      </c>
      <c r="V2791" t="s">
        <v>7256</v>
      </c>
      <c r="W2791">
        <v>1</v>
      </c>
      <c r="X2791" t="s">
        <v>10047</v>
      </c>
      <c r="Y2791">
        <v>0.46791455778627339</v>
      </c>
      <c r="Z2791" t="str">
        <f>HYPERLINK("Melting_Curves/meltCurve_sp_Q9UGC7_RF1ML_HUMAN_.pdf", "Melting_Curves/meltCurve_sp_Q9UGC7_RF1ML_HUMAN_.pdf")</f>
        <v>Melting_Curves/meltCurve_sp_Q9UGC7_RF1ML_HUMAN_.pdf</v>
      </c>
      <c r="AA2791" t="s">
        <v>13639</v>
      </c>
      <c r="AB2791" t="s">
        <v>17215</v>
      </c>
    </row>
    <row r="2792" spans="1:28" x14ac:dyDescent="0.25">
      <c r="A2792" t="s">
        <v>2796</v>
      </c>
      <c r="B2792">
        <v>0.98018197421672304</v>
      </c>
      <c r="C2792">
        <v>0.89782309297098595</v>
      </c>
      <c r="D2792">
        <v>0.90704124171967604</v>
      </c>
      <c r="E2792">
        <v>0.80788375047752303</v>
      </c>
      <c r="F2792">
        <v>0.71838357825241494</v>
      </c>
      <c r="G2792">
        <v>0.42789500254547702</v>
      </c>
      <c r="H2792">
        <v>0.146719570033293</v>
      </c>
      <c r="I2792">
        <v>9.2008125881717306E-2</v>
      </c>
      <c r="J2792">
        <v>8.5258828263288094E-2</v>
      </c>
      <c r="K2792">
        <v>7.4505592934407394E-2</v>
      </c>
      <c r="L2792">
        <v>828.22954207571195</v>
      </c>
      <c r="M2792">
        <v>14.929278016655401</v>
      </c>
      <c r="N2792">
        <v>55.476864986803399</v>
      </c>
      <c r="O2792">
        <v>54.510033813316298</v>
      </c>
      <c r="P2792">
        <v>-6.8477367552335897E-2</v>
      </c>
      <c r="Q2792">
        <v>0</v>
      </c>
      <c r="R2792">
        <v>0.98491877619116397</v>
      </c>
      <c r="S2792" t="s">
        <v>6421</v>
      </c>
      <c r="T2792" t="s">
        <v>7256</v>
      </c>
      <c r="U2792" t="s">
        <v>7256</v>
      </c>
      <c r="V2792" t="s">
        <v>7256</v>
      </c>
      <c r="W2792">
        <v>14</v>
      </c>
      <c r="X2792" t="s">
        <v>10048</v>
      </c>
      <c r="Y2792">
        <v>0.53457090411992214</v>
      </c>
      <c r="Z2792" t="str">
        <f>HYPERLINK("Melting_Curves/meltCurve_sp_Q9UGI8_TES_HUMAN_.pdf", "Melting_Curves/meltCurve_sp_Q9UGI8_TES_HUMAN_.pdf")</f>
        <v>Melting_Curves/meltCurve_sp_Q9UGI8_TES_HUMAN_.pdf</v>
      </c>
      <c r="AA2792" t="s">
        <v>13640</v>
      </c>
      <c r="AB2792" t="s">
        <v>17216</v>
      </c>
    </row>
    <row r="2793" spans="1:28" x14ac:dyDescent="0.25">
      <c r="A2793" t="s">
        <v>2797</v>
      </c>
      <c r="B2793">
        <v>0.98018197421672304</v>
      </c>
      <c r="C2793">
        <v>0.96148164443085704</v>
      </c>
      <c r="D2793">
        <v>0.86411226462285495</v>
      </c>
      <c r="E2793">
        <v>0.71485812070225896</v>
      </c>
      <c r="F2793">
        <v>0.48314266620365098</v>
      </c>
      <c r="G2793">
        <v>0.32864548584865</v>
      </c>
      <c r="H2793">
        <v>0.281371202957372</v>
      </c>
      <c r="I2793">
        <v>0.30326701654345001</v>
      </c>
      <c r="J2793">
        <v>0.27831864076289498</v>
      </c>
      <c r="K2793">
        <v>0.52747963764744399</v>
      </c>
      <c r="L2793">
        <v>1105.69713499314</v>
      </c>
      <c r="M2793">
        <v>22.090866540872899</v>
      </c>
      <c r="N2793">
        <v>52.6898817416821</v>
      </c>
      <c r="O2793">
        <v>49.647489044517897</v>
      </c>
      <c r="P2793">
        <v>-7.4026722272597295E-2</v>
      </c>
      <c r="Q2793">
        <v>0.33453761725103098</v>
      </c>
      <c r="R2793">
        <v>0.92712764662222302</v>
      </c>
      <c r="S2793" t="s">
        <v>6422</v>
      </c>
      <c r="T2793" t="s">
        <v>7256</v>
      </c>
      <c r="U2793" t="s">
        <v>7256</v>
      </c>
      <c r="V2793" t="s">
        <v>7256</v>
      </c>
      <c r="W2793">
        <v>3</v>
      </c>
      <c r="X2793" t="s">
        <v>10049</v>
      </c>
      <c r="Y2793">
        <v>0.56513518207973135</v>
      </c>
      <c r="Z2793" t="str">
        <f>HYPERLINK("Melting_Curves/meltCurve_sp_Q9UGJ0_3_AAKG2_HUMAN_.pdf", "Melting_Curves/meltCurve_sp_Q9UGJ0_3_AAKG2_HUMAN_.pdf")</f>
        <v>Melting_Curves/meltCurve_sp_Q9UGJ0_3_AAKG2_HUMAN_.pdf</v>
      </c>
      <c r="AA2793" t="s">
        <v>13641</v>
      </c>
      <c r="AB2793" t="s">
        <v>17217</v>
      </c>
    </row>
    <row r="2794" spans="1:28" x14ac:dyDescent="0.25">
      <c r="A2794" t="s">
        <v>2798</v>
      </c>
      <c r="B2794">
        <v>0.98018197421672304</v>
      </c>
      <c r="C2794">
        <v>0.98435587323991502</v>
      </c>
      <c r="D2794">
        <v>0.92108383956498696</v>
      </c>
      <c r="E2794">
        <v>0.76024809599183796</v>
      </c>
      <c r="F2794">
        <v>0.60424553597580899</v>
      </c>
      <c r="G2794">
        <v>0.409040877476051</v>
      </c>
      <c r="H2794">
        <v>0.40184928382812801</v>
      </c>
      <c r="I2794">
        <v>0.39271959090182501</v>
      </c>
      <c r="J2794">
        <v>0.47047633808828199</v>
      </c>
      <c r="K2794">
        <v>0.56210985767261201</v>
      </c>
      <c r="L2794">
        <v>1256.5605689424499</v>
      </c>
      <c r="M2794">
        <v>24.896319476550602</v>
      </c>
      <c r="N2794">
        <v>55.345725368795399</v>
      </c>
      <c r="O2794">
        <v>50.149485986135502</v>
      </c>
      <c r="P2794">
        <v>-6.8984049374195902E-2</v>
      </c>
      <c r="Q2794">
        <v>0.44418012539193602</v>
      </c>
      <c r="R2794">
        <v>0.95014407031356696</v>
      </c>
      <c r="S2794" t="s">
        <v>6423</v>
      </c>
      <c r="T2794" t="s">
        <v>7256</v>
      </c>
      <c r="U2794" t="s">
        <v>7256</v>
      </c>
      <c r="V2794" t="s">
        <v>7256</v>
      </c>
      <c r="W2794">
        <v>6</v>
      </c>
      <c r="X2794" t="s">
        <v>10050</v>
      </c>
      <c r="Y2794">
        <v>0.64322740000366574</v>
      </c>
      <c r="Z2794" t="str">
        <f>HYPERLINK("Melting_Curves/meltCurve_sp_Q9UGP4_LIMD1_HUMAN_.pdf", "Melting_Curves/meltCurve_sp_Q9UGP4_LIMD1_HUMAN_.pdf")</f>
        <v>Melting_Curves/meltCurve_sp_Q9UGP4_LIMD1_HUMAN_.pdf</v>
      </c>
      <c r="AA2794" t="s">
        <v>13642</v>
      </c>
      <c r="AB2794" t="s">
        <v>17218</v>
      </c>
    </row>
    <row r="2795" spans="1:28" x14ac:dyDescent="0.25">
      <c r="A2795" t="s">
        <v>2799</v>
      </c>
      <c r="B2795">
        <v>0.98018197421672304</v>
      </c>
      <c r="C2795">
        <v>0.84114309874769699</v>
      </c>
      <c r="D2795">
        <v>0.81305668147815202</v>
      </c>
      <c r="E2795">
        <v>0.62337062317978797</v>
      </c>
      <c r="F2795">
        <v>0.30756225413558502</v>
      </c>
      <c r="G2795">
        <v>0.14335424870663899</v>
      </c>
      <c r="H2795">
        <v>9.1571436134070996E-2</v>
      </c>
      <c r="I2795">
        <v>8.2170627992496095E-2</v>
      </c>
      <c r="J2795">
        <v>4.8035290433588403E-2</v>
      </c>
      <c r="K2795">
        <v>0.10650849710287701</v>
      </c>
      <c r="L2795">
        <v>767.090368232581</v>
      </c>
      <c r="M2795">
        <v>15.240908394958399</v>
      </c>
      <c r="N2795">
        <v>50.624499853788997</v>
      </c>
      <c r="O2795">
        <v>49.4883838366923</v>
      </c>
      <c r="P2795">
        <v>-7.3743906869062903E-2</v>
      </c>
      <c r="Q2795">
        <v>4.22826979135374E-2</v>
      </c>
      <c r="R2795">
        <v>0.98294952254030399</v>
      </c>
      <c r="S2795" t="s">
        <v>6424</v>
      </c>
      <c r="T2795" t="s">
        <v>7256</v>
      </c>
      <c r="U2795" t="s">
        <v>7256</v>
      </c>
      <c r="V2795" t="s">
        <v>7256</v>
      </c>
      <c r="W2795">
        <v>2</v>
      </c>
      <c r="X2795" t="s">
        <v>10051</v>
      </c>
      <c r="Y2795">
        <v>0.39406942034559178</v>
      </c>
      <c r="Z2795" t="str">
        <f>HYPERLINK("Melting_Curves/meltCurve_sp_Q9UH65_SWP70_HUMAN_.pdf", "Melting_Curves/meltCurve_sp_Q9UH65_SWP70_HUMAN_.pdf")</f>
        <v>Melting_Curves/meltCurve_sp_Q9UH65_SWP70_HUMAN_.pdf</v>
      </c>
      <c r="AA2795" t="s">
        <v>13643</v>
      </c>
      <c r="AB2795" t="s">
        <v>17219</v>
      </c>
    </row>
    <row r="2796" spans="1:28" x14ac:dyDescent="0.25">
      <c r="A2796" t="s">
        <v>2800</v>
      </c>
      <c r="B2796">
        <v>0.98018197421672304</v>
      </c>
      <c r="C2796">
        <v>0.93722620328843298</v>
      </c>
      <c r="D2796">
        <v>0.79746535871219804</v>
      </c>
      <c r="E2796">
        <v>0.63420887296175998</v>
      </c>
      <c r="F2796">
        <v>0.42414749702152899</v>
      </c>
      <c r="G2796">
        <v>0.38085924275669097</v>
      </c>
      <c r="H2796">
        <v>0.28814967006787101</v>
      </c>
      <c r="I2796">
        <v>0.153021138698378</v>
      </c>
      <c r="J2796">
        <v>0.20389389619648501</v>
      </c>
      <c r="K2796">
        <v>7.1814799987562905E-2</v>
      </c>
      <c r="L2796">
        <v>526.97438562259902</v>
      </c>
      <c r="M2796">
        <v>10.1182890762247</v>
      </c>
      <c r="N2796">
        <v>52.799681063281497</v>
      </c>
      <c r="O2796">
        <v>50.169850695958601</v>
      </c>
      <c r="P2796">
        <v>-4.7200153580814697E-2</v>
      </c>
      <c r="Q2796">
        <v>6.4298886881369893E-2</v>
      </c>
      <c r="R2796">
        <v>0.98218559956986196</v>
      </c>
      <c r="S2796" t="s">
        <v>6425</v>
      </c>
      <c r="T2796" t="s">
        <v>7256</v>
      </c>
      <c r="U2796" t="s">
        <v>7256</v>
      </c>
      <c r="V2796" t="s">
        <v>7256</v>
      </c>
      <c r="W2796">
        <v>1</v>
      </c>
      <c r="X2796" t="s">
        <v>10052</v>
      </c>
      <c r="Y2796">
        <v>0.47591979184423688</v>
      </c>
      <c r="Z2796" t="str">
        <f>HYPERLINK("Melting_Curves/meltCurve_sp_Q9UHA4_LTOR3_HUMAN_.pdf", "Melting_Curves/meltCurve_sp_Q9UHA4_LTOR3_HUMAN_.pdf")</f>
        <v>Melting_Curves/meltCurve_sp_Q9UHA4_LTOR3_HUMAN_.pdf</v>
      </c>
      <c r="AA2796" t="s">
        <v>13644</v>
      </c>
      <c r="AB2796" t="s">
        <v>17220</v>
      </c>
    </row>
    <row r="2797" spans="1:28" x14ac:dyDescent="0.25">
      <c r="A2797" t="s">
        <v>2801</v>
      </c>
      <c r="B2797">
        <v>0.98018197421672304</v>
      </c>
      <c r="C2797">
        <v>0.98017961390444697</v>
      </c>
      <c r="D2797">
        <v>0.94777394018564498</v>
      </c>
      <c r="E2797">
        <v>0.87031951887473302</v>
      </c>
      <c r="F2797">
        <v>0.75908526113508801</v>
      </c>
      <c r="G2797">
        <v>0.55864908953582904</v>
      </c>
      <c r="H2797">
        <v>0.5107250132826</v>
      </c>
      <c r="I2797">
        <v>0.51828644413746705</v>
      </c>
      <c r="J2797">
        <v>0.79523298652600305</v>
      </c>
      <c r="K2797">
        <v>0.62014042034914496</v>
      </c>
      <c r="L2797">
        <v>1525.7819865291201</v>
      </c>
      <c r="M2797">
        <v>29.629241868614098</v>
      </c>
      <c r="O2797">
        <v>51.2629483411067</v>
      </c>
      <c r="P2797">
        <v>-5.7746295609338603E-2</v>
      </c>
      <c r="Q2797">
        <v>0.600364380569538</v>
      </c>
      <c r="R2797">
        <v>0.80992681921343301</v>
      </c>
      <c r="S2797" t="s">
        <v>6426</v>
      </c>
      <c r="T2797" t="s">
        <v>7256</v>
      </c>
      <c r="U2797" t="s">
        <v>7256</v>
      </c>
      <c r="V2797" t="s">
        <v>7256</v>
      </c>
      <c r="W2797">
        <v>10</v>
      </c>
      <c r="X2797" t="s">
        <v>10053</v>
      </c>
      <c r="Y2797">
        <v>0.75609887982883095</v>
      </c>
      <c r="Z2797" t="str">
        <f>HYPERLINK("Melting_Curves/meltCurve_sp_Q9UHB6_LIMA1_HUMAN_.pdf", "Melting_Curves/meltCurve_sp_Q9UHB6_LIMA1_HUMAN_.pdf")</f>
        <v>Melting_Curves/meltCurve_sp_Q9UHB6_LIMA1_HUMAN_.pdf</v>
      </c>
      <c r="AA2797" t="s">
        <v>13645</v>
      </c>
      <c r="AB2797" t="s">
        <v>17221</v>
      </c>
    </row>
    <row r="2798" spans="1:28" x14ac:dyDescent="0.25">
      <c r="A2798" t="s">
        <v>2802</v>
      </c>
      <c r="B2798">
        <v>0.98018197421672304</v>
      </c>
      <c r="C2798">
        <v>0.94386311807952294</v>
      </c>
      <c r="D2798">
        <v>0.86056634736464399</v>
      </c>
      <c r="E2798">
        <v>0.37763813257437301</v>
      </c>
      <c r="F2798">
        <v>0.19317964083897901</v>
      </c>
      <c r="G2798">
        <v>0.100491483952868</v>
      </c>
      <c r="H2798">
        <v>6.2099127353219999E-2</v>
      </c>
      <c r="I2798">
        <v>5.1057498878777099E-2</v>
      </c>
      <c r="J2798">
        <v>6.3205797623777801E-2</v>
      </c>
      <c r="K2798">
        <v>4.1292725458148001E-2</v>
      </c>
      <c r="L2798">
        <v>1218.5113776209</v>
      </c>
      <c r="M2798">
        <v>24.932316267437098</v>
      </c>
      <c r="N2798">
        <v>49.111827317367897</v>
      </c>
      <c r="O2798">
        <v>48.561616192522997</v>
      </c>
      <c r="P2798">
        <v>-0.12102120165918499</v>
      </c>
      <c r="Q2798">
        <v>5.7142514152608202E-2</v>
      </c>
      <c r="R2798">
        <v>0.997860412517386</v>
      </c>
      <c r="S2798" t="s">
        <v>6427</v>
      </c>
      <c r="T2798" t="s">
        <v>7256</v>
      </c>
      <c r="U2798" t="s">
        <v>7256</v>
      </c>
      <c r="V2798" t="s">
        <v>7256</v>
      </c>
      <c r="W2798">
        <v>10</v>
      </c>
      <c r="X2798" t="s">
        <v>10054</v>
      </c>
      <c r="Y2798">
        <v>0.34439671210233558</v>
      </c>
      <c r="Z2798" t="str">
        <f>HYPERLINK("Melting_Curves/meltCurve_sp_Q9UHB9_SRP68_HUMAN_.pdf", "Melting_Curves/meltCurve_sp_Q9UHB9_SRP68_HUMAN_.pdf")</f>
        <v>Melting_Curves/meltCurve_sp_Q9UHB9_SRP68_HUMAN_.pdf</v>
      </c>
      <c r="AA2798" t="s">
        <v>13646</v>
      </c>
      <c r="AB2798" t="s">
        <v>17222</v>
      </c>
    </row>
    <row r="2799" spans="1:28" x14ac:dyDescent="0.25">
      <c r="A2799" t="s">
        <v>2803</v>
      </c>
      <c r="B2799">
        <v>0.98018197421672304</v>
      </c>
      <c r="C2799">
        <v>0.90098850787733697</v>
      </c>
      <c r="D2799">
        <v>0.89586426295453103</v>
      </c>
      <c r="E2799">
        <v>0.79785276815679895</v>
      </c>
      <c r="F2799">
        <v>0.60177445091769</v>
      </c>
      <c r="G2799">
        <v>0.21708801040328399</v>
      </c>
      <c r="H2799">
        <v>9.6618542995265802E-2</v>
      </c>
      <c r="I2799">
        <v>7.2198422127647696E-2</v>
      </c>
      <c r="J2799">
        <v>0.114120287265415</v>
      </c>
      <c r="K2799">
        <v>6.10091459252773E-2</v>
      </c>
      <c r="L2799">
        <v>1068.41522654699</v>
      </c>
      <c r="M2799">
        <v>20.038179936318201</v>
      </c>
      <c r="N2799">
        <v>53.611202016625199</v>
      </c>
      <c r="O2799">
        <v>52.796466894097399</v>
      </c>
      <c r="P2799">
        <v>-8.9978104123338704E-2</v>
      </c>
      <c r="Q2799">
        <v>5.1735683395228903E-2</v>
      </c>
      <c r="R2799">
        <v>0.98583661986037796</v>
      </c>
      <c r="S2799" t="s">
        <v>6428</v>
      </c>
      <c r="T2799" t="s">
        <v>7256</v>
      </c>
      <c r="U2799" t="s">
        <v>7256</v>
      </c>
      <c r="V2799" t="s">
        <v>7256</v>
      </c>
      <c r="W2799">
        <v>3</v>
      </c>
      <c r="X2799" t="s">
        <v>10055</v>
      </c>
      <c r="Y2799">
        <v>0.4856938235689584</v>
      </c>
      <c r="Z2799" t="str">
        <f>HYPERLINK("Melting_Curves/meltCurve_sp_Q9UHD1_CHRD1_HUMAN_.pdf", "Melting_Curves/meltCurve_sp_Q9UHD1_CHRD1_HUMAN_.pdf")</f>
        <v>Melting_Curves/meltCurve_sp_Q9UHD1_CHRD1_HUMAN_.pdf</v>
      </c>
      <c r="AA2799" t="s">
        <v>13647</v>
      </c>
      <c r="AB2799" t="s">
        <v>17223</v>
      </c>
    </row>
    <row r="2800" spans="1:28" x14ac:dyDescent="0.25">
      <c r="A2800" t="s">
        <v>2804</v>
      </c>
      <c r="B2800">
        <v>0.98018197421672304</v>
      </c>
      <c r="C2800">
        <v>1.013798277761</v>
      </c>
      <c r="D2800">
        <v>0.94867941816650103</v>
      </c>
      <c r="E2800">
        <v>0.80685361741842698</v>
      </c>
      <c r="F2800">
        <v>0.56361390132049904</v>
      </c>
      <c r="G2800">
        <v>0.23285006728098301</v>
      </c>
      <c r="H2800">
        <v>0.160007278078201</v>
      </c>
      <c r="I2800">
        <v>0.15119532342821601</v>
      </c>
      <c r="J2800">
        <v>0.175462930069061</v>
      </c>
      <c r="K2800">
        <v>0.17738653387257799</v>
      </c>
      <c r="L2800">
        <v>1336.65479374862</v>
      </c>
      <c r="M2800">
        <v>25.4070576249986</v>
      </c>
      <c r="N2800">
        <v>53.379547907460299</v>
      </c>
      <c r="O2800">
        <v>52.286908053851597</v>
      </c>
      <c r="P2800">
        <v>-0.10284369623138299</v>
      </c>
      <c r="Q2800">
        <v>0.15341448162930299</v>
      </c>
      <c r="R2800">
        <v>0.99660700636126098</v>
      </c>
      <c r="S2800" t="s">
        <v>6429</v>
      </c>
      <c r="T2800" t="s">
        <v>7256</v>
      </c>
      <c r="U2800" t="s">
        <v>7256</v>
      </c>
      <c r="V2800" t="s">
        <v>7256</v>
      </c>
      <c r="W2800">
        <v>13</v>
      </c>
      <c r="X2800" t="s">
        <v>10056</v>
      </c>
      <c r="Y2800">
        <v>0.5167872702422508</v>
      </c>
      <c r="Z2800" t="str">
        <f>HYPERLINK("Melting_Curves/meltCurve_sp_Q9UHD8_SEPT9_HUMAN_.pdf", "Melting_Curves/meltCurve_sp_Q9UHD8_SEPT9_HUMAN_.pdf")</f>
        <v>Melting_Curves/meltCurve_sp_Q9UHD8_SEPT9_HUMAN_.pdf</v>
      </c>
      <c r="AA2800" t="s">
        <v>13648</v>
      </c>
      <c r="AB2800" t="s">
        <v>17224</v>
      </c>
    </row>
    <row r="2801" spans="1:28" x14ac:dyDescent="0.25">
      <c r="A2801" t="s">
        <v>2805</v>
      </c>
      <c r="B2801">
        <v>0.98018197421672304</v>
      </c>
      <c r="C2801">
        <v>0.93488104696339602</v>
      </c>
      <c r="D2801">
        <v>0.89989589095871003</v>
      </c>
      <c r="E2801">
        <v>0.87466066363786099</v>
      </c>
      <c r="F2801">
        <v>0.65119515693392405</v>
      </c>
      <c r="G2801">
        <v>0.53610449248525605</v>
      </c>
      <c r="H2801">
        <v>0.47912865887837602</v>
      </c>
      <c r="I2801">
        <v>0.569853984415711</v>
      </c>
      <c r="J2801">
        <v>0.53254688620368296</v>
      </c>
      <c r="K2801">
        <v>0.95701004876044105</v>
      </c>
      <c r="L2801">
        <v>2529.9269993417902</v>
      </c>
      <c r="M2801">
        <v>49.927821212886101</v>
      </c>
      <c r="O2801">
        <v>50.590596216245402</v>
      </c>
      <c r="P2801">
        <v>-9.5104104061143793E-2</v>
      </c>
      <c r="Q2801">
        <v>0.61453401593409795</v>
      </c>
      <c r="R2801">
        <v>0.56120833235371803</v>
      </c>
      <c r="S2801" t="s">
        <v>6430</v>
      </c>
      <c r="T2801" t="s">
        <v>7256</v>
      </c>
      <c r="U2801" t="s">
        <v>7256</v>
      </c>
      <c r="V2801" t="s">
        <v>7256</v>
      </c>
      <c r="W2801">
        <v>5</v>
      </c>
      <c r="X2801" t="s">
        <v>10057</v>
      </c>
      <c r="Y2801">
        <v>0.75251717907926918</v>
      </c>
      <c r="Z2801" t="str">
        <f>HYPERLINK("Melting_Curves/meltCurve_sp_Q9UHD9_UBQL2_HUMAN_.pdf", "Melting_Curves/meltCurve_sp_Q9UHD9_UBQL2_HUMAN_.pdf")</f>
        <v>Melting_Curves/meltCurve_sp_Q9UHD9_UBQL2_HUMAN_.pdf</v>
      </c>
      <c r="AA2801" t="s">
        <v>13649</v>
      </c>
      <c r="AB2801" t="s">
        <v>17225</v>
      </c>
    </row>
    <row r="2802" spans="1:28" x14ac:dyDescent="0.25">
      <c r="A2802" t="s">
        <v>2806</v>
      </c>
      <c r="B2802">
        <v>0.98018197421672304</v>
      </c>
      <c r="C2802">
        <v>0.981269403349464</v>
      </c>
      <c r="D2802">
        <v>0.90109418886024295</v>
      </c>
      <c r="E2802">
        <v>0.46129107303603301</v>
      </c>
      <c r="F2802">
        <v>0.184720129337721</v>
      </c>
      <c r="G2802">
        <v>0.111239594290942</v>
      </c>
      <c r="H2802">
        <v>5.5966189655410101E-2</v>
      </c>
      <c r="I2802">
        <v>4.8534513818109797E-2</v>
      </c>
      <c r="J2802">
        <v>5.72871449886284E-2</v>
      </c>
      <c r="K2802">
        <v>3.6904618211240602E-2</v>
      </c>
      <c r="L2802">
        <v>1334.79367319164</v>
      </c>
      <c r="M2802">
        <v>26.959702235839099</v>
      </c>
      <c r="N2802">
        <v>49.719162988353098</v>
      </c>
      <c r="O2802">
        <v>49.240696533433699</v>
      </c>
      <c r="P2802">
        <v>-0.12956353623731301</v>
      </c>
      <c r="Q2802">
        <v>5.3441332119815901E-2</v>
      </c>
      <c r="R2802">
        <v>0.99884143595064001</v>
      </c>
      <c r="S2802" t="s">
        <v>6431</v>
      </c>
      <c r="T2802" t="s">
        <v>7256</v>
      </c>
      <c r="U2802" t="s">
        <v>7256</v>
      </c>
      <c r="V2802" t="s">
        <v>7256</v>
      </c>
      <c r="W2802">
        <v>12</v>
      </c>
      <c r="X2802" t="s">
        <v>10058</v>
      </c>
      <c r="Y2802">
        <v>0.36074399813173569</v>
      </c>
      <c r="Z2802" t="str">
        <f>HYPERLINK("Melting_Curves/meltCurve_sp_Q9UHJ6_SHPK_HUMAN_.pdf", "Melting_Curves/meltCurve_sp_Q9UHJ6_SHPK_HUMAN_.pdf")</f>
        <v>Melting_Curves/meltCurve_sp_Q9UHJ6_SHPK_HUMAN_.pdf</v>
      </c>
      <c r="AA2802" t="s">
        <v>13650</v>
      </c>
      <c r="AB2802" t="s">
        <v>17226</v>
      </c>
    </row>
    <row r="2803" spans="1:28" x14ac:dyDescent="0.25">
      <c r="A2803" t="s">
        <v>2807</v>
      </c>
      <c r="B2803">
        <v>0.98018197421672304</v>
      </c>
      <c r="C2803">
        <v>0.98502843113511795</v>
      </c>
      <c r="D2803">
        <v>0.90062519916314898</v>
      </c>
      <c r="E2803">
        <v>0.81523070726920299</v>
      </c>
      <c r="F2803">
        <v>0.69055704137543605</v>
      </c>
      <c r="G2803">
        <v>0.55229628737820702</v>
      </c>
      <c r="H2803">
        <v>0.250930117412964</v>
      </c>
      <c r="I2803">
        <v>0.123107709645092</v>
      </c>
      <c r="J2803">
        <v>9.2270676082354203E-2</v>
      </c>
      <c r="K2803">
        <v>8.6261326758945003E-2</v>
      </c>
      <c r="L2803">
        <v>738.37448184483799</v>
      </c>
      <c r="M2803">
        <v>13.0847259422285</v>
      </c>
      <c r="N2803">
        <v>56.430259078135599</v>
      </c>
      <c r="O2803">
        <v>55.160997959975496</v>
      </c>
      <c r="P2803">
        <v>-5.9312635460859998E-2</v>
      </c>
      <c r="Q2803">
        <v>0</v>
      </c>
      <c r="R2803">
        <v>0.988575284943354</v>
      </c>
      <c r="S2803" t="s">
        <v>6432</v>
      </c>
      <c r="T2803" t="s">
        <v>7256</v>
      </c>
      <c r="U2803" t="s">
        <v>7256</v>
      </c>
      <c r="V2803" t="s">
        <v>7256</v>
      </c>
      <c r="W2803">
        <v>6</v>
      </c>
      <c r="X2803" t="s">
        <v>10059</v>
      </c>
      <c r="Y2803">
        <v>0.56606131092996537</v>
      </c>
      <c r="Z2803" t="str">
        <f>HYPERLINK("Melting_Curves/meltCurve_sp_Q9UHL4_DPP2_HUMAN_.pdf", "Melting_Curves/meltCurve_sp_Q9UHL4_DPP2_HUMAN_.pdf")</f>
        <v>Melting_Curves/meltCurve_sp_Q9UHL4_DPP2_HUMAN_.pdf</v>
      </c>
      <c r="AA2803" t="s">
        <v>13651</v>
      </c>
      <c r="AB2803" t="s">
        <v>17227</v>
      </c>
    </row>
    <row r="2804" spans="1:28" x14ac:dyDescent="0.25">
      <c r="A2804" t="s">
        <v>2808</v>
      </c>
      <c r="B2804">
        <v>0.98018197421672304</v>
      </c>
      <c r="C2804">
        <v>1.11227121127823</v>
      </c>
      <c r="D2804">
        <v>0.96613632437780805</v>
      </c>
      <c r="E2804">
        <v>0.70542787831569398</v>
      </c>
      <c r="F2804">
        <v>0.53134013981570605</v>
      </c>
      <c r="G2804">
        <v>0.38726597013223701</v>
      </c>
      <c r="H2804">
        <v>0.20694185475204299</v>
      </c>
      <c r="I2804">
        <v>0.216768121637161</v>
      </c>
      <c r="J2804">
        <v>0.191533719353189</v>
      </c>
      <c r="K2804">
        <v>0.23816782782568199</v>
      </c>
      <c r="L2804">
        <v>994.71929016964702</v>
      </c>
      <c r="M2804">
        <v>19.124594185727801</v>
      </c>
      <c r="N2804">
        <v>53.470231635632601</v>
      </c>
      <c r="O2804">
        <v>51.453894142288597</v>
      </c>
      <c r="P2804">
        <v>-7.4047601350120298E-2</v>
      </c>
      <c r="Q2804">
        <v>0.20314348185267</v>
      </c>
      <c r="R2804">
        <v>0.97870710879271405</v>
      </c>
      <c r="S2804" t="s">
        <v>6433</v>
      </c>
      <c r="T2804" t="s">
        <v>7256</v>
      </c>
      <c r="U2804" t="s">
        <v>7256</v>
      </c>
      <c r="V2804" t="s">
        <v>7256</v>
      </c>
      <c r="W2804">
        <v>2</v>
      </c>
      <c r="X2804" t="s">
        <v>10060</v>
      </c>
      <c r="Y2804">
        <v>0.53415797245528773</v>
      </c>
      <c r="Z2804" t="str">
        <f>HYPERLINK("Melting_Curves/meltCurve_sp_Q9UHN1_DPOG2_HUMAN_.pdf", "Melting_Curves/meltCurve_sp_Q9UHN1_DPOG2_HUMAN_.pdf")</f>
        <v>Melting_Curves/meltCurve_sp_Q9UHN1_DPOG2_HUMAN_.pdf</v>
      </c>
      <c r="AA2804" t="s">
        <v>13652</v>
      </c>
      <c r="AB2804" t="s">
        <v>17228</v>
      </c>
    </row>
    <row r="2805" spans="1:28" x14ac:dyDescent="0.25">
      <c r="A2805" t="s">
        <v>2809</v>
      </c>
      <c r="B2805">
        <v>0.98018197421672304</v>
      </c>
      <c r="C2805">
        <v>0.92262848776106299</v>
      </c>
      <c r="D2805">
        <v>0.90581771332034799</v>
      </c>
      <c r="E2805">
        <v>0.822673620106948</v>
      </c>
      <c r="F2805">
        <v>0.70075216908120097</v>
      </c>
      <c r="G2805">
        <v>0.48798436254226801</v>
      </c>
      <c r="H2805">
        <v>0.419968830181152</v>
      </c>
      <c r="I2805">
        <v>0.411139617563403</v>
      </c>
      <c r="J2805">
        <v>0.44636289555431402</v>
      </c>
      <c r="K2805">
        <v>0.519663187302007</v>
      </c>
      <c r="L2805">
        <v>943.06493601822206</v>
      </c>
      <c r="M2805">
        <v>18.187469209005201</v>
      </c>
      <c r="N2805">
        <v>58.230481953846201</v>
      </c>
      <c r="O2805">
        <v>51.237781351846401</v>
      </c>
      <c r="P2805">
        <v>-5.0425215590832302E-2</v>
      </c>
      <c r="Q2805">
        <v>0.43179476600319799</v>
      </c>
      <c r="R2805">
        <v>0.95786743848719202</v>
      </c>
      <c r="S2805" t="s">
        <v>6434</v>
      </c>
      <c r="T2805" t="s">
        <v>7256</v>
      </c>
      <c r="U2805" t="s">
        <v>7256</v>
      </c>
      <c r="V2805" t="s">
        <v>7256</v>
      </c>
      <c r="W2805">
        <v>5</v>
      </c>
      <c r="X2805" t="s">
        <v>10061</v>
      </c>
      <c r="Y2805">
        <v>0.66558882978446132</v>
      </c>
      <c r="Z2805" t="str">
        <f>HYPERLINK("Melting_Curves/meltCurve_sp_Q9UHV9_PFD2_HUMAN_.pdf", "Melting_Curves/meltCurve_sp_Q9UHV9_PFD2_HUMAN_.pdf")</f>
        <v>Melting_Curves/meltCurve_sp_Q9UHV9_PFD2_HUMAN_.pdf</v>
      </c>
      <c r="AA2805" t="s">
        <v>13653</v>
      </c>
      <c r="AB2805" t="s">
        <v>17229</v>
      </c>
    </row>
    <row r="2806" spans="1:28" x14ac:dyDescent="0.25">
      <c r="A2806" t="s">
        <v>2810</v>
      </c>
      <c r="B2806">
        <v>0.98018197421672304</v>
      </c>
      <c r="C2806">
        <v>0.94664616974886695</v>
      </c>
      <c r="D2806">
        <v>0.90647137099409902</v>
      </c>
      <c r="E2806">
        <v>0.75460961613116095</v>
      </c>
      <c r="F2806">
        <v>0.53797936718968298</v>
      </c>
      <c r="G2806">
        <v>0.21383896240381101</v>
      </c>
      <c r="H2806">
        <v>0.117231741338907</v>
      </c>
      <c r="I2806">
        <v>8.9887359355851307E-2</v>
      </c>
      <c r="J2806">
        <v>9.4849908627603202E-2</v>
      </c>
      <c r="K2806">
        <v>7.9068575687033099E-2</v>
      </c>
      <c r="L2806">
        <v>982.20708317550304</v>
      </c>
      <c r="M2806">
        <v>18.626948610697699</v>
      </c>
      <c r="N2806">
        <v>53.093330763182799</v>
      </c>
      <c r="O2806">
        <v>52.133953886869001</v>
      </c>
      <c r="P2806">
        <v>-8.3986960398439503E-2</v>
      </c>
      <c r="Q2806">
        <v>5.9774380824050101E-2</v>
      </c>
      <c r="R2806">
        <v>0.99584474320080596</v>
      </c>
      <c r="S2806" t="s">
        <v>6435</v>
      </c>
      <c r="T2806" t="s">
        <v>7256</v>
      </c>
      <c r="U2806" t="s">
        <v>7256</v>
      </c>
      <c r="V2806" t="s">
        <v>7256</v>
      </c>
      <c r="W2806">
        <v>10</v>
      </c>
      <c r="X2806" t="s">
        <v>10062</v>
      </c>
      <c r="Y2806">
        <v>0.47337949585540051</v>
      </c>
      <c r="Z2806" t="str">
        <f>HYPERLINK("Melting_Curves/meltCurve_sp_Q9UHX1_4_PUF60_HUMAN_.pdf", "Melting_Curves/meltCurve_sp_Q9UHX1_4_PUF60_HUMAN_.pdf")</f>
        <v>Melting_Curves/meltCurve_sp_Q9UHX1_4_PUF60_HUMAN_.pdf</v>
      </c>
      <c r="AA2806" t="s">
        <v>13654</v>
      </c>
      <c r="AB2806" t="s">
        <v>17230</v>
      </c>
    </row>
    <row r="2807" spans="1:28" x14ac:dyDescent="0.25">
      <c r="A2807" t="s">
        <v>2811</v>
      </c>
      <c r="B2807">
        <v>0.98018197421672304</v>
      </c>
      <c r="C2807">
        <v>0.83483927195610896</v>
      </c>
      <c r="D2807">
        <v>0.85572914905348096</v>
      </c>
      <c r="E2807">
        <v>0.754762347220991</v>
      </c>
      <c r="F2807">
        <v>0.60612654745983297</v>
      </c>
      <c r="G2807">
        <v>0.45136922358098303</v>
      </c>
      <c r="H2807">
        <v>0.26802976054465999</v>
      </c>
      <c r="I2807">
        <v>0.14340415431814699</v>
      </c>
      <c r="J2807">
        <v>9.8862919927465306E-2</v>
      </c>
      <c r="K2807">
        <v>4.8137008185080501E-2</v>
      </c>
      <c r="L2807">
        <v>577.68094026186202</v>
      </c>
      <c r="M2807">
        <v>10.530878644499399</v>
      </c>
      <c r="N2807">
        <v>54.855910841157801</v>
      </c>
      <c r="O2807">
        <v>52.988598810338203</v>
      </c>
      <c r="P2807">
        <v>-4.9704464954518003E-2</v>
      </c>
      <c r="Q2807">
        <v>0</v>
      </c>
      <c r="R2807">
        <v>0.98038296723652196</v>
      </c>
      <c r="S2807" t="s">
        <v>6436</v>
      </c>
      <c r="T2807" t="s">
        <v>7256</v>
      </c>
      <c r="U2807" t="s">
        <v>7256</v>
      </c>
      <c r="V2807" t="s">
        <v>7256</v>
      </c>
      <c r="W2807">
        <v>4</v>
      </c>
      <c r="X2807" t="s">
        <v>10063</v>
      </c>
      <c r="Y2807">
        <v>0.52107207730896254</v>
      </c>
      <c r="Z2807" t="str">
        <f>HYPERLINK("Melting_Curves/meltCurve_sp_Q9UHY7_ENOPH_HUMAN_.pdf", "Melting_Curves/meltCurve_sp_Q9UHY7_ENOPH_HUMAN_.pdf")</f>
        <v>Melting_Curves/meltCurve_sp_Q9UHY7_ENOPH_HUMAN_.pdf</v>
      </c>
      <c r="AA2807" t="s">
        <v>13655</v>
      </c>
      <c r="AB2807" t="s">
        <v>17231</v>
      </c>
    </row>
    <row r="2808" spans="1:28" x14ac:dyDescent="0.25">
      <c r="A2808" t="s">
        <v>2812</v>
      </c>
      <c r="B2808">
        <v>0.98018197421672304</v>
      </c>
      <c r="C2808">
        <v>0.97652153843525702</v>
      </c>
      <c r="D2808">
        <v>0.95109446077339099</v>
      </c>
      <c r="E2808">
        <v>0.83635672281080098</v>
      </c>
      <c r="F2808">
        <v>0.63735761055446005</v>
      </c>
      <c r="G2808">
        <v>0.35466253367901401</v>
      </c>
      <c r="H2808">
        <v>0.35217228995590799</v>
      </c>
      <c r="I2808">
        <v>0.27695638755831098</v>
      </c>
      <c r="J2808">
        <v>0.373489860796689</v>
      </c>
      <c r="K2808">
        <v>0.38806460781372498</v>
      </c>
      <c r="L2808">
        <v>1435.1248620573101</v>
      </c>
      <c r="M2808">
        <v>27.4542192558694</v>
      </c>
      <c r="N2808">
        <v>54.491948004908998</v>
      </c>
      <c r="O2808">
        <v>51.998400601946699</v>
      </c>
      <c r="P2808">
        <v>-8.7580542193165106E-2</v>
      </c>
      <c r="Q2808">
        <v>0.33649457916626302</v>
      </c>
      <c r="R2808">
        <v>0.98346512364314498</v>
      </c>
      <c r="S2808" t="s">
        <v>6437</v>
      </c>
      <c r="T2808" t="s">
        <v>7256</v>
      </c>
      <c r="U2808" t="s">
        <v>7256</v>
      </c>
      <c r="V2808" t="s">
        <v>7256</v>
      </c>
      <c r="W2808">
        <v>5</v>
      </c>
      <c r="X2808" t="s">
        <v>10064</v>
      </c>
      <c r="Y2808">
        <v>0.61301054447654624</v>
      </c>
      <c r="Z2808" t="str">
        <f>HYPERLINK("Melting_Curves/meltCurve_sp_Q9UI08_EVL_HUMAN_.pdf", "Melting_Curves/meltCurve_sp_Q9UI08_EVL_HUMAN_.pdf")</f>
        <v>Melting_Curves/meltCurve_sp_Q9UI08_EVL_HUMAN_.pdf</v>
      </c>
      <c r="AA2808" t="s">
        <v>13656</v>
      </c>
      <c r="AB2808" t="s">
        <v>17232</v>
      </c>
    </row>
    <row r="2809" spans="1:28" x14ac:dyDescent="0.25">
      <c r="A2809" t="s">
        <v>2813</v>
      </c>
      <c r="B2809">
        <v>0.98018197421672304</v>
      </c>
      <c r="C2809">
        <v>1.3496737611292899</v>
      </c>
      <c r="D2809">
        <v>1.14441283343209</v>
      </c>
      <c r="E2809">
        <v>0.89058733690023895</v>
      </c>
      <c r="F2809">
        <v>0.59369160593325898</v>
      </c>
      <c r="G2809">
        <v>0.307416388020681</v>
      </c>
      <c r="H2809">
        <v>0.46844299183801502</v>
      </c>
      <c r="I2809">
        <v>0.37957093172342499</v>
      </c>
      <c r="J2809">
        <v>0.45807421250174102</v>
      </c>
      <c r="K2809">
        <v>0.64750611056621099</v>
      </c>
      <c r="L2809">
        <v>2555.7452348397501</v>
      </c>
      <c r="M2809">
        <v>49.506109286347503</v>
      </c>
      <c r="N2809">
        <v>54.243481993901398</v>
      </c>
      <c r="O2809">
        <v>51.540820088704699</v>
      </c>
      <c r="P2809">
        <v>-0.13106774499113699</v>
      </c>
      <c r="Q2809">
        <v>0.45418188753204097</v>
      </c>
      <c r="R2809">
        <v>0.81043514886606205</v>
      </c>
      <c r="S2809" t="s">
        <v>6438</v>
      </c>
      <c r="T2809" t="s">
        <v>7256</v>
      </c>
      <c r="U2809" t="s">
        <v>7256</v>
      </c>
      <c r="V2809" t="s">
        <v>7256</v>
      </c>
      <c r="W2809">
        <v>7</v>
      </c>
      <c r="X2809" t="s">
        <v>10065</v>
      </c>
      <c r="Y2809">
        <v>0.66695151566902733</v>
      </c>
      <c r="Z2809" t="str">
        <f>HYPERLINK("Melting_Curves/meltCurve_sp_Q9UI10_3_EI2BD_HUMAN_.pdf", "Melting_Curves/meltCurve_sp_Q9UI10_3_EI2BD_HUMAN_.pdf")</f>
        <v>Melting_Curves/meltCurve_sp_Q9UI10_3_EI2BD_HUMAN_.pdf</v>
      </c>
      <c r="AA2809" t="s">
        <v>13657</v>
      </c>
      <c r="AB2809" t="s">
        <v>17233</v>
      </c>
    </row>
    <row r="2810" spans="1:28" x14ac:dyDescent="0.25">
      <c r="A2810" t="s">
        <v>2814</v>
      </c>
      <c r="B2810">
        <v>0.98018197421672304</v>
      </c>
      <c r="C2810">
        <v>1.09080750100169</v>
      </c>
      <c r="D2810">
        <v>0.91146067127514896</v>
      </c>
      <c r="E2810">
        <v>0.45045939421270398</v>
      </c>
      <c r="F2810">
        <v>0.19881889675865</v>
      </c>
      <c r="G2810">
        <v>0.16556619647405599</v>
      </c>
      <c r="H2810">
        <v>0.12983922335734999</v>
      </c>
      <c r="I2810">
        <v>0.120996820098697</v>
      </c>
      <c r="J2810">
        <v>0.21169277476686801</v>
      </c>
      <c r="K2810">
        <v>0.24299143225574199</v>
      </c>
      <c r="L2810">
        <v>1831.4944723389101</v>
      </c>
      <c r="M2810">
        <v>37.363036141147902</v>
      </c>
      <c r="N2810">
        <v>49.573219830576903</v>
      </c>
      <c r="O2810">
        <v>48.879103201411603</v>
      </c>
      <c r="P2810">
        <v>-0.15846872189315001</v>
      </c>
      <c r="Q2810">
        <v>0.17075397321986199</v>
      </c>
      <c r="R2810">
        <v>0.98413381155798496</v>
      </c>
      <c r="S2810" t="s">
        <v>6439</v>
      </c>
      <c r="T2810" t="s">
        <v>7256</v>
      </c>
      <c r="U2810" t="s">
        <v>7256</v>
      </c>
      <c r="V2810" t="s">
        <v>7256</v>
      </c>
      <c r="W2810">
        <v>6</v>
      </c>
      <c r="X2810" t="s">
        <v>10066</v>
      </c>
      <c r="Y2810">
        <v>0.42327934342223072</v>
      </c>
      <c r="Z2810" t="str">
        <f>HYPERLINK("Melting_Curves/meltCurve_sp_Q9UI10_EI2BD_HUMAN_.pdf", "Melting_Curves/meltCurve_sp_Q9UI10_EI2BD_HUMAN_.pdf")</f>
        <v>Melting_Curves/meltCurve_sp_Q9UI10_EI2BD_HUMAN_.pdf</v>
      </c>
      <c r="AA2810" t="s">
        <v>13657</v>
      </c>
      <c r="AB2810" t="s">
        <v>17234</v>
      </c>
    </row>
    <row r="2811" spans="1:28" x14ac:dyDescent="0.25">
      <c r="A2811" t="s">
        <v>2815</v>
      </c>
      <c r="B2811">
        <v>0.98018197421672304</v>
      </c>
      <c r="C2811">
        <v>0.94275437892754999</v>
      </c>
      <c r="D2811">
        <v>0.87855543906396505</v>
      </c>
      <c r="E2811">
        <v>0.75179688831930802</v>
      </c>
      <c r="F2811">
        <v>0.51288947505109805</v>
      </c>
      <c r="G2811">
        <v>0.12625168717975799</v>
      </c>
      <c r="H2811">
        <v>8.6716023668573894E-2</v>
      </c>
      <c r="I2811">
        <v>5.4040265489894497E-2</v>
      </c>
      <c r="J2811">
        <v>6.6677700044043303E-2</v>
      </c>
      <c r="K2811">
        <v>6.1851291859914302E-2</v>
      </c>
      <c r="L2811">
        <v>1090.63955114143</v>
      </c>
      <c r="M2811">
        <v>20.792507756500299</v>
      </c>
      <c r="N2811">
        <v>52.650738051845799</v>
      </c>
      <c r="O2811">
        <v>51.9755294354688</v>
      </c>
      <c r="P2811">
        <v>-9.6266317526937206E-2</v>
      </c>
      <c r="Q2811">
        <v>3.7469993266795398E-2</v>
      </c>
      <c r="R2811">
        <v>0.98999174948344004</v>
      </c>
      <c r="S2811" t="s">
        <v>6440</v>
      </c>
      <c r="T2811" t="s">
        <v>7256</v>
      </c>
      <c r="U2811" t="s">
        <v>7256</v>
      </c>
      <c r="V2811" t="s">
        <v>7256</v>
      </c>
      <c r="W2811">
        <v>6</v>
      </c>
      <c r="X2811" t="s">
        <v>10067</v>
      </c>
      <c r="Y2811">
        <v>0.44943856902476897</v>
      </c>
      <c r="Z2811" t="str">
        <f>HYPERLINK("Melting_Curves/meltCurve_sp_Q9UI12_2_VATH_HUMAN_.pdf", "Melting_Curves/meltCurve_sp_Q9UI12_2_VATH_HUMAN_.pdf")</f>
        <v>Melting_Curves/meltCurve_sp_Q9UI12_2_VATH_HUMAN_.pdf</v>
      </c>
      <c r="AA2811" t="s">
        <v>13658</v>
      </c>
      <c r="AB2811" t="s">
        <v>17235</v>
      </c>
    </row>
    <row r="2812" spans="1:28" x14ac:dyDescent="0.25">
      <c r="A2812" t="s">
        <v>2816</v>
      </c>
      <c r="B2812">
        <v>0.98018197421672304</v>
      </c>
      <c r="C2812">
        <v>0.98857246744984295</v>
      </c>
      <c r="D2812">
        <v>0.95710503842433403</v>
      </c>
      <c r="E2812">
        <v>0.81563536377468404</v>
      </c>
      <c r="F2812">
        <v>0.23179918105435299</v>
      </c>
      <c r="G2812">
        <v>0.11641093030921</v>
      </c>
      <c r="H2812">
        <v>5.9351184925633203E-2</v>
      </c>
      <c r="I2812">
        <v>4.4078061403617898E-2</v>
      </c>
      <c r="J2812">
        <v>5.2063539651630103E-2</v>
      </c>
      <c r="K2812">
        <v>3.5325230258307597E-2</v>
      </c>
      <c r="L2812">
        <v>2488.0996922224299</v>
      </c>
      <c r="M2812">
        <v>48.384159325521999</v>
      </c>
      <c r="N2812">
        <v>51.5567029243702</v>
      </c>
      <c r="O2812">
        <v>51.336232805355898</v>
      </c>
      <c r="P2812">
        <v>-0.22181420934523599</v>
      </c>
      <c r="Q2812">
        <v>5.8609677731679001E-2</v>
      </c>
      <c r="R2812">
        <v>0.99691475619411996</v>
      </c>
      <c r="S2812" t="s">
        <v>6441</v>
      </c>
      <c r="T2812" t="s">
        <v>7256</v>
      </c>
      <c r="U2812" t="s">
        <v>7256</v>
      </c>
      <c r="V2812" t="s">
        <v>7256</v>
      </c>
      <c r="W2812">
        <v>42</v>
      </c>
      <c r="X2812" t="s">
        <v>10068</v>
      </c>
      <c r="Y2812">
        <v>0.41936747773750099</v>
      </c>
      <c r="Z2812" t="str">
        <f>HYPERLINK("Melting_Curves/meltCurve_sp_Q9UI17_M2GD_HUMAN_.pdf", "Melting_Curves/meltCurve_sp_Q9UI17_M2GD_HUMAN_.pdf")</f>
        <v>Melting_Curves/meltCurve_sp_Q9UI17_M2GD_HUMAN_.pdf</v>
      </c>
      <c r="AA2812" t="s">
        <v>13659</v>
      </c>
      <c r="AB2812" t="s">
        <v>17236</v>
      </c>
    </row>
    <row r="2813" spans="1:28" x14ac:dyDescent="0.25">
      <c r="A2813" t="s">
        <v>2817</v>
      </c>
      <c r="B2813">
        <v>0.98018197421672304</v>
      </c>
      <c r="C2813">
        <v>0.87495710129840498</v>
      </c>
      <c r="D2813">
        <v>0.58828629495941698</v>
      </c>
      <c r="E2813">
        <v>0.206509084340191</v>
      </c>
      <c r="F2813">
        <v>0.11179161815841</v>
      </c>
      <c r="G2813">
        <v>6.2080640049663099E-2</v>
      </c>
      <c r="H2813">
        <v>3.7604410534115E-2</v>
      </c>
      <c r="I2813">
        <v>2.8647646736100599E-2</v>
      </c>
      <c r="J2813">
        <v>3.5212226433726297E-2</v>
      </c>
      <c r="K2813">
        <v>2.2952584675767999E-2</v>
      </c>
      <c r="L2813">
        <v>1012.58567688291</v>
      </c>
      <c r="M2813">
        <v>21.7117378812389</v>
      </c>
      <c r="N2813">
        <v>46.782841533805502</v>
      </c>
      <c r="O2813">
        <v>46.247483280217402</v>
      </c>
      <c r="P2813">
        <v>-0.113547295773979</v>
      </c>
      <c r="Q2813">
        <v>3.2568951181536403E-2</v>
      </c>
      <c r="R2813">
        <v>0.99956828615075399</v>
      </c>
      <c r="S2813" t="s">
        <v>6442</v>
      </c>
      <c r="T2813" t="s">
        <v>7256</v>
      </c>
      <c r="U2813" t="s">
        <v>7256</v>
      </c>
      <c r="V2813" t="s">
        <v>7256</v>
      </c>
      <c r="W2813">
        <v>18</v>
      </c>
      <c r="X2813" t="s">
        <v>10069</v>
      </c>
      <c r="Y2813">
        <v>0.258587693876495</v>
      </c>
      <c r="Z2813" t="str">
        <f>HYPERLINK("Melting_Curves/meltCurve_sp_Q9UI32_GLSL_HUMAN_.pdf", "Melting_Curves/meltCurve_sp_Q9UI32_GLSL_HUMAN_.pdf")</f>
        <v>Melting_Curves/meltCurve_sp_Q9UI32_GLSL_HUMAN_.pdf</v>
      </c>
      <c r="AA2813" t="s">
        <v>13660</v>
      </c>
      <c r="AB2813" t="s">
        <v>17237</v>
      </c>
    </row>
    <row r="2814" spans="1:28" x14ac:dyDescent="0.25">
      <c r="A2814" t="s">
        <v>2818</v>
      </c>
      <c r="B2814">
        <v>0.98018197421672304</v>
      </c>
      <c r="C2814">
        <v>0.92002752802450605</v>
      </c>
      <c r="D2814">
        <v>0.85966570374432505</v>
      </c>
      <c r="E2814">
        <v>0.75100685942636902</v>
      </c>
      <c r="F2814">
        <v>0.58715493268679997</v>
      </c>
      <c r="G2814">
        <v>0.14698188187583999</v>
      </c>
      <c r="H2814">
        <v>8.7871479984845902E-2</v>
      </c>
      <c r="I2814">
        <v>5.8221508461110398E-2</v>
      </c>
      <c r="J2814">
        <v>7.2859914796204905E-2</v>
      </c>
      <c r="K2814">
        <v>4.0507884873429198E-2</v>
      </c>
      <c r="L2814">
        <v>968.55811575662096</v>
      </c>
      <c r="M2814">
        <v>18.2836806401465</v>
      </c>
      <c r="N2814">
        <v>53.084215240878798</v>
      </c>
      <c r="O2814">
        <v>52.352408945917198</v>
      </c>
      <c r="P2814">
        <v>-8.5687181782522895E-2</v>
      </c>
      <c r="Q2814">
        <v>1.86391115758134E-2</v>
      </c>
      <c r="R2814">
        <v>0.98207307974254798</v>
      </c>
      <c r="S2814" t="s">
        <v>6443</v>
      </c>
      <c r="T2814" t="s">
        <v>7256</v>
      </c>
      <c r="U2814" t="s">
        <v>7256</v>
      </c>
      <c r="V2814" t="s">
        <v>7256</v>
      </c>
      <c r="W2814">
        <v>19</v>
      </c>
      <c r="X2814" t="s">
        <v>10070</v>
      </c>
      <c r="Y2814">
        <v>0.45871862959271859</v>
      </c>
      <c r="Z2814" t="str">
        <f>HYPERLINK("Melting_Curves/meltCurve_sp_Q9UIA9_XPO7_HUMAN_.pdf", "Melting_Curves/meltCurve_sp_Q9UIA9_XPO7_HUMAN_.pdf")</f>
        <v>Melting_Curves/meltCurve_sp_Q9UIA9_XPO7_HUMAN_.pdf</v>
      </c>
      <c r="AA2814" t="s">
        <v>13661</v>
      </c>
      <c r="AB2814" t="s">
        <v>17238</v>
      </c>
    </row>
    <row r="2815" spans="1:28" x14ac:dyDescent="0.25">
      <c r="A2815" t="s">
        <v>2819</v>
      </c>
      <c r="B2815">
        <v>0.98018197421672304</v>
      </c>
      <c r="C2815">
        <v>1.0269649249039501</v>
      </c>
      <c r="D2815">
        <v>0.74005176146802598</v>
      </c>
      <c r="E2815">
        <v>0.42714404088677599</v>
      </c>
      <c r="F2815">
        <v>0.11698771219100899</v>
      </c>
      <c r="G2815">
        <v>4.6257534070160401E-2</v>
      </c>
      <c r="H2815">
        <v>0</v>
      </c>
      <c r="I2815">
        <v>0</v>
      </c>
      <c r="J2815">
        <v>4.7018845298488897E-2</v>
      </c>
      <c r="K2815">
        <v>0</v>
      </c>
      <c r="L2815">
        <v>1070.8947034355199</v>
      </c>
      <c r="M2815">
        <v>21.920283864041402</v>
      </c>
      <c r="N2815">
        <v>48.870608080285898</v>
      </c>
      <c r="O2815">
        <v>48.4529265011749</v>
      </c>
      <c r="P2815">
        <v>-0.112685769237039</v>
      </c>
      <c r="Q2815">
        <v>3.6935516055346799E-3</v>
      </c>
      <c r="R2815">
        <v>0.99110777366795599</v>
      </c>
      <c r="S2815" t="s">
        <v>6444</v>
      </c>
      <c r="T2815" t="s">
        <v>7256</v>
      </c>
      <c r="U2815" t="s">
        <v>7256</v>
      </c>
      <c r="V2815" t="s">
        <v>7256</v>
      </c>
      <c r="W2815">
        <v>6</v>
      </c>
      <c r="X2815" t="s">
        <v>10071</v>
      </c>
      <c r="Y2815">
        <v>0.30931458647775389</v>
      </c>
      <c r="Z2815" t="str">
        <f>HYPERLINK("Melting_Curves/meltCurve_sp_Q9UID3_2_VPS51_HUMAN_.pdf", "Melting_Curves/meltCurve_sp_Q9UID3_2_VPS51_HUMAN_.pdf")</f>
        <v>Melting_Curves/meltCurve_sp_Q9UID3_2_VPS51_HUMAN_.pdf</v>
      </c>
      <c r="AA2815" t="s">
        <v>13662</v>
      </c>
      <c r="AB2815" t="s">
        <v>17239</v>
      </c>
    </row>
    <row r="2816" spans="1:28" x14ac:dyDescent="0.25">
      <c r="A2816" t="s">
        <v>2820</v>
      </c>
      <c r="B2816">
        <v>0.98018197421672304</v>
      </c>
      <c r="C2816">
        <v>0.92162977018689995</v>
      </c>
      <c r="D2816">
        <v>0.91159764335647697</v>
      </c>
      <c r="E2816">
        <v>0.85215243067829405</v>
      </c>
      <c r="F2816">
        <v>0.95630370533236297</v>
      </c>
      <c r="G2816">
        <v>0.86428389422228402</v>
      </c>
      <c r="H2816">
        <v>0.83994108340174101</v>
      </c>
      <c r="I2816">
        <v>1.01306632985531</v>
      </c>
      <c r="J2816">
        <v>1.09448858426203</v>
      </c>
      <c r="K2816">
        <v>1.37116407259844</v>
      </c>
      <c r="L2816">
        <v>4792.8371630195097</v>
      </c>
      <c r="M2816">
        <v>70.2629426720314</v>
      </c>
      <c r="O2816">
        <v>68.157654643168001</v>
      </c>
      <c r="P2816">
        <v>0.11156177315813701</v>
      </c>
      <c r="Q2816">
        <v>1.4328762558944701</v>
      </c>
      <c r="R2816">
        <v>0.63469854155175798</v>
      </c>
      <c r="S2816" t="s">
        <v>6445</v>
      </c>
      <c r="T2816" t="s">
        <v>7256</v>
      </c>
      <c r="U2816" t="s">
        <v>7256</v>
      </c>
      <c r="V2816" t="s">
        <v>7256</v>
      </c>
      <c r="W2816">
        <v>7</v>
      </c>
      <c r="X2816" t="s">
        <v>10072</v>
      </c>
      <c r="Y2816">
        <v>1.02747087702819</v>
      </c>
      <c r="Z2816" t="str">
        <f>HYPERLINK("Melting_Curves/meltCurve_sp_Q9UII2_ATIF1_HUMAN_.pdf", "Melting_Curves/meltCurve_sp_Q9UII2_ATIF1_HUMAN_.pdf")</f>
        <v>Melting_Curves/meltCurve_sp_Q9UII2_ATIF1_HUMAN_.pdf</v>
      </c>
      <c r="AA2816" t="s">
        <v>13663</v>
      </c>
      <c r="AB2816" t="s">
        <v>17240</v>
      </c>
    </row>
    <row r="2817" spans="1:28" x14ac:dyDescent="0.25">
      <c r="A2817" t="s">
        <v>2821</v>
      </c>
      <c r="B2817">
        <v>0.98018197421672304</v>
      </c>
      <c r="C2817">
        <v>1.0387503382632299</v>
      </c>
      <c r="D2817">
        <v>1.03193850698613</v>
      </c>
      <c r="E2817">
        <v>0.85929968432315196</v>
      </c>
      <c r="F2817">
        <v>0.73927697492460298</v>
      </c>
      <c r="G2817">
        <v>0.281933162887606</v>
      </c>
      <c r="H2817">
        <v>7.0167547473600503E-2</v>
      </c>
      <c r="I2817">
        <v>4.4835601907549698E-2</v>
      </c>
      <c r="J2817">
        <v>6.1739620605603299E-2</v>
      </c>
      <c r="K2817">
        <v>3.4675779707659199E-2</v>
      </c>
      <c r="L2817">
        <v>1408.48541557213</v>
      </c>
      <c r="M2817">
        <v>25.7294341505505</v>
      </c>
      <c r="N2817">
        <v>54.867826230145099</v>
      </c>
      <c r="O2817">
        <v>54.414709829816701</v>
      </c>
      <c r="P2817">
        <v>-0.11482954932503101</v>
      </c>
      <c r="Q2817">
        <v>2.8607990803235998E-2</v>
      </c>
      <c r="R2817">
        <v>0.99476938014497895</v>
      </c>
      <c r="S2817" t="s">
        <v>6446</v>
      </c>
      <c r="T2817" t="s">
        <v>7256</v>
      </c>
      <c r="U2817" t="s">
        <v>7256</v>
      </c>
      <c r="V2817" t="s">
        <v>7256</v>
      </c>
      <c r="W2817">
        <v>18</v>
      </c>
      <c r="X2817" t="s">
        <v>10073</v>
      </c>
      <c r="Y2817">
        <v>0.51449956385346118</v>
      </c>
      <c r="Z2817" t="str">
        <f>HYPERLINK("Melting_Curves/meltCurve_sp_Q9UIJ7_KAD3_HUMAN_.pdf", "Melting_Curves/meltCurve_sp_Q9UIJ7_KAD3_HUMAN_.pdf")</f>
        <v>Melting_Curves/meltCurve_sp_Q9UIJ7_KAD3_HUMAN_.pdf</v>
      </c>
      <c r="AA2817" t="s">
        <v>13664</v>
      </c>
      <c r="AB2817" t="s">
        <v>17241</v>
      </c>
    </row>
    <row r="2818" spans="1:28" x14ac:dyDescent="0.25">
      <c r="A2818" t="s">
        <v>2822</v>
      </c>
      <c r="B2818">
        <v>0.98018197421672304</v>
      </c>
      <c r="C2818">
        <v>0.95270551794897995</v>
      </c>
      <c r="D2818">
        <v>0.93107873984168898</v>
      </c>
      <c r="E2818">
        <v>0.733985726367548</v>
      </c>
      <c r="F2818">
        <v>0.428407422385227</v>
      </c>
      <c r="G2818">
        <v>0.18013585394612899</v>
      </c>
      <c r="H2818">
        <v>8.1913466429824403E-2</v>
      </c>
      <c r="I2818">
        <v>6.1570281981739299E-2</v>
      </c>
      <c r="J2818">
        <v>8.7488144107044599E-2</v>
      </c>
      <c r="K2818">
        <v>0</v>
      </c>
      <c r="L2818">
        <v>1056.53094588304</v>
      </c>
      <c r="M2818">
        <v>20.257426128316599</v>
      </c>
      <c r="N2818">
        <v>52.342970367450498</v>
      </c>
      <c r="O2818">
        <v>51.654966424189404</v>
      </c>
      <c r="P2818">
        <v>-9.4609623357084796E-2</v>
      </c>
      <c r="Q2818">
        <v>3.5039147545102803E-2</v>
      </c>
      <c r="R2818">
        <v>0.99641618207085003</v>
      </c>
      <c r="S2818" t="s">
        <v>6447</v>
      </c>
      <c r="T2818" t="s">
        <v>7256</v>
      </c>
      <c r="U2818" t="s">
        <v>7256</v>
      </c>
      <c r="V2818" t="s">
        <v>7256</v>
      </c>
      <c r="W2818">
        <v>1</v>
      </c>
      <c r="X2818" t="s">
        <v>10074</v>
      </c>
      <c r="Y2818">
        <v>0.43906047867552528</v>
      </c>
      <c r="Z2818" t="str">
        <f>HYPERLINK("Melting_Curves/meltCurve_sp_Q9UIV1_2_CNOT7_HUMAN_.pdf", "Melting_Curves/meltCurve_sp_Q9UIV1_2_CNOT7_HUMAN_.pdf")</f>
        <v>Melting_Curves/meltCurve_sp_Q9UIV1_2_CNOT7_HUMAN_.pdf</v>
      </c>
      <c r="AA2818" t="s">
        <v>13665</v>
      </c>
      <c r="AB2818" t="s">
        <v>17242</v>
      </c>
    </row>
    <row r="2819" spans="1:28" x14ac:dyDescent="0.25">
      <c r="A2819" t="s">
        <v>2823</v>
      </c>
      <c r="B2819">
        <v>0.98018197421672304</v>
      </c>
      <c r="C2819">
        <v>1.44174227741163</v>
      </c>
      <c r="D2819">
        <v>0.71211221326500795</v>
      </c>
      <c r="E2819">
        <v>0.52946679484514703</v>
      </c>
      <c r="F2819">
        <v>0.34630018102841498</v>
      </c>
      <c r="G2819">
        <v>0.21602549775601201</v>
      </c>
      <c r="H2819">
        <v>0.11830557775634</v>
      </c>
      <c r="I2819">
        <v>7.5572065505055602E-2</v>
      </c>
      <c r="J2819">
        <v>7.2807190430222199E-2</v>
      </c>
      <c r="K2819">
        <v>2.5995756883708601E-2</v>
      </c>
      <c r="L2819">
        <v>987.00007009369995</v>
      </c>
      <c r="M2819">
        <v>19.6563963913474</v>
      </c>
      <c r="N2819">
        <v>50.628777045500101</v>
      </c>
      <c r="O2819">
        <v>49.701629359936902</v>
      </c>
      <c r="P2819">
        <v>-9.1500398022906798E-2</v>
      </c>
      <c r="Q2819">
        <v>7.4589266654510294E-2</v>
      </c>
      <c r="R2819">
        <v>0.87006780323746402</v>
      </c>
      <c r="S2819" t="s">
        <v>6448</v>
      </c>
      <c r="T2819" t="s">
        <v>7256</v>
      </c>
      <c r="U2819" t="s">
        <v>7256</v>
      </c>
      <c r="V2819" t="s">
        <v>7256</v>
      </c>
      <c r="W2819">
        <v>2</v>
      </c>
      <c r="X2819" t="s">
        <v>10075</v>
      </c>
      <c r="Y2819">
        <v>0.40293069537049903</v>
      </c>
      <c r="Z2819" t="str">
        <f>HYPERLINK("Melting_Curves/meltCurve_sp_Q9UIX4_KCNG1_HUMAN_.pdf", "Melting_Curves/meltCurve_sp_Q9UIX4_KCNG1_HUMAN_.pdf")</f>
        <v>Melting_Curves/meltCurve_sp_Q9UIX4_KCNG1_HUMAN_.pdf</v>
      </c>
      <c r="AA2819" t="s">
        <v>13666</v>
      </c>
      <c r="AB2819" t="s">
        <v>17243</v>
      </c>
    </row>
    <row r="2820" spans="1:28" x14ac:dyDescent="0.25">
      <c r="A2820" t="s">
        <v>2824</v>
      </c>
      <c r="B2820">
        <v>0.98018197421672304</v>
      </c>
      <c r="C2820">
        <v>0.94377449572788696</v>
      </c>
      <c r="D2820">
        <v>0.84810532913877301</v>
      </c>
      <c r="E2820">
        <v>0.73465498270135599</v>
      </c>
      <c r="F2820">
        <v>0.50306033486820001</v>
      </c>
      <c r="G2820">
        <v>0.281409737244459</v>
      </c>
      <c r="H2820">
        <v>0.12237511083392399</v>
      </c>
      <c r="I2820">
        <v>0.11056196634528299</v>
      </c>
      <c r="J2820">
        <v>0.127147356873066</v>
      </c>
      <c r="K2820">
        <v>0.155020408205712</v>
      </c>
      <c r="L2820">
        <v>817.85835320256501</v>
      </c>
      <c r="M2820">
        <v>15.655784699488001</v>
      </c>
      <c r="N2820">
        <v>52.890556177735398</v>
      </c>
      <c r="O2820">
        <v>51.409969053016397</v>
      </c>
      <c r="P2820">
        <v>-6.9470425479007503E-2</v>
      </c>
      <c r="Q2820">
        <v>8.7579021682373706E-2</v>
      </c>
      <c r="R2820">
        <v>0.99048803109342598</v>
      </c>
      <c r="S2820" t="s">
        <v>6449</v>
      </c>
      <c r="T2820" t="s">
        <v>7256</v>
      </c>
      <c r="U2820" t="s">
        <v>7256</v>
      </c>
      <c r="V2820" t="s">
        <v>7256</v>
      </c>
      <c r="W2820">
        <v>3</v>
      </c>
      <c r="X2820" t="s">
        <v>10076</v>
      </c>
      <c r="Y2820">
        <v>0.4787990612879961</v>
      </c>
      <c r="Z2820" t="str">
        <f>HYPERLINK("Melting_Curves/meltCurve_sp_Q9UJ41_2_RABX5_HUMAN_.pdf", "Melting_Curves/meltCurve_sp_Q9UJ41_2_RABX5_HUMAN_.pdf")</f>
        <v>Melting_Curves/meltCurve_sp_Q9UJ41_2_RABX5_HUMAN_.pdf</v>
      </c>
      <c r="AA2820" t="s">
        <v>13667</v>
      </c>
      <c r="AB2820" t="s">
        <v>17244</v>
      </c>
    </row>
    <row r="2821" spans="1:28" x14ac:dyDescent="0.25">
      <c r="A2821" t="s">
        <v>2825</v>
      </c>
      <c r="B2821">
        <v>0.98018197421672304</v>
      </c>
      <c r="C2821">
        <v>0.95046593748595898</v>
      </c>
      <c r="D2821">
        <v>0.83555451702005501</v>
      </c>
      <c r="E2821">
        <v>0.49515796576955601</v>
      </c>
      <c r="F2821">
        <v>0.30316113274659601</v>
      </c>
      <c r="G2821">
        <v>0.140266048388443</v>
      </c>
      <c r="H2821">
        <v>5.7282543253731902E-2</v>
      </c>
      <c r="I2821">
        <v>4.7071914893160399E-2</v>
      </c>
      <c r="J2821">
        <v>4.5497626574685202E-2</v>
      </c>
      <c r="K2821">
        <v>4.1412827324275397E-2</v>
      </c>
      <c r="L2821">
        <v>874.07751698676202</v>
      </c>
      <c r="M2821">
        <v>17.494678767383</v>
      </c>
      <c r="N2821">
        <v>50.146937310244297</v>
      </c>
      <c r="O2821">
        <v>49.323382949091297</v>
      </c>
      <c r="P2821">
        <v>-8.5914811545723696E-2</v>
      </c>
      <c r="Q2821">
        <v>3.11624322735496E-2</v>
      </c>
      <c r="R2821">
        <v>0.99934448413024302</v>
      </c>
      <c r="S2821" t="s">
        <v>6450</v>
      </c>
      <c r="T2821" t="s">
        <v>7256</v>
      </c>
      <c r="U2821" t="s">
        <v>7256</v>
      </c>
      <c r="V2821" t="s">
        <v>7256</v>
      </c>
      <c r="W2821">
        <v>9</v>
      </c>
      <c r="X2821" t="s">
        <v>10077</v>
      </c>
      <c r="Y2821">
        <v>0.37034287726628728</v>
      </c>
      <c r="Z2821" t="str">
        <f>HYPERLINK("Melting_Curves/meltCurve_sp_Q9UJ68_5_MSRA_HUMAN_.pdf", "Melting_Curves/meltCurve_sp_Q9UJ68_5_MSRA_HUMAN_.pdf")</f>
        <v>Melting_Curves/meltCurve_sp_Q9UJ68_5_MSRA_HUMAN_.pdf</v>
      </c>
      <c r="AA2821" t="s">
        <v>13668</v>
      </c>
      <c r="AB2821" t="s">
        <v>17245</v>
      </c>
    </row>
    <row r="2822" spans="1:28" x14ac:dyDescent="0.25">
      <c r="A2822" t="s">
        <v>2826</v>
      </c>
      <c r="B2822">
        <v>0.98018197421672304</v>
      </c>
      <c r="C2822">
        <v>0.92492587417877903</v>
      </c>
      <c r="D2822">
        <v>0.944341179483417</v>
      </c>
      <c r="E2822">
        <v>0.79675087964982505</v>
      </c>
      <c r="F2822">
        <v>0.73728351530918301</v>
      </c>
      <c r="G2822">
        <v>0.44332783097272499</v>
      </c>
      <c r="H2822">
        <v>0.208110201686346</v>
      </c>
      <c r="I2822">
        <v>0.16355283412428001</v>
      </c>
      <c r="J2822">
        <v>0.16244636611778801</v>
      </c>
      <c r="K2822">
        <v>0.164711339533123</v>
      </c>
      <c r="L2822">
        <v>864.63933954133097</v>
      </c>
      <c r="M2822">
        <v>15.716121227516</v>
      </c>
      <c r="N2822">
        <v>55.803995293990702</v>
      </c>
      <c r="O2822">
        <v>54.148446974890099</v>
      </c>
      <c r="P2822">
        <v>-6.5345905801981699E-2</v>
      </c>
      <c r="Q2822">
        <v>9.95027066612926E-2</v>
      </c>
      <c r="R2822">
        <v>0.986928888624795</v>
      </c>
      <c r="S2822" t="s">
        <v>6451</v>
      </c>
      <c r="T2822" t="s">
        <v>7256</v>
      </c>
      <c r="U2822" t="s">
        <v>7256</v>
      </c>
      <c r="V2822" t="s">
        <v>7256</v>
      </c>
      <c r="W2822">
        <v>4</v>
      </c>
      <c r="X2822" t="s">
        <v>10078</v>
      </c>
      <c r="Y2822">
        <v>0.56671220250629384</v>
      </c>
      <c r="Z2822" t="str">
        <f>HYPERLINK("Melting_Curves/meltCurve_sp_Q9UJ70_NAGK_HUMAN_.pdf", "Melting_Curves/meltCurve_sp_Q9UJ70_NAGK_HUMAN_.pdf")</f>
        <v>Melting_Curves/meltCurve_sp_Q9UJ70_NAGK_HUMAN_.pdf</v>
      </c>
      <c r="AA2822" t="s">
        <v>13669</v>
      </c>
      <c r="AB2822" t="s">
        <v>17246</v>
      </c>
    </row>
    <row r="2823" spans="1:28" x14ac:dyDescent="0.25">
      <c r="A2823" t="s">
        <v>2827</v>
      </c>
      <c r="B2823">
        <v>0.98018197421672304</v>
      </c>
      <c r="C2823">
        <v>1.02070049377188</v>
      </c>
      <c r="D2823">
        <v>0.99394946088458402</v>
      </c>
      <c r="E2823">
        <v>0.82477963477367799</v>
      </c>
      <c r="F2823">
        <v>0.62649422945677202</v>
      </c>
      <c r="G2823">
        <v>0.41404980948842601</v>
      </c>
      <c r="H2823">
        <v>0.15019290193943499</v>
      </c>
      <c r="I2823">
        <v>4.5484194459980698E-2</v>
      </c>
      <c r="J2823">
        <v>0.11457919908040901</v>
      </c>
      <c r="K2823">
        <v>3.5757369804541098E-2</v>
      </c>
      <c r="L2823">
        <v>906.59007102849898</v>
      </c>
      <c r="M2823">
        <v>16.497707742572899</v>
      </c>
      <c r="N2823">
        <v>55.037190008942503</v>
      </c>
      <c r="O2823">
        <v>54.164118983213399</v>
      </c>
      <c r="P2823">
        <v>-7.5197276889561404E-2</v>
      </c>
      <c r="Q2823">
        <v>1.2538914369354301E-2</v>
      </c>
      <c r="R2823">
        <v>0.99231764914406395</v>
      </c>
      <c r="S2823" t="s">
        <v>6452</v>
      </c>
      <c r="T2823" t="s">
        <v>7256</v>
      </c>
      <c r="U2823" t="s">
        <v>7256</v>
      </c>
      <c r="V2823" t="s">
        <v>7256</v>
      </c>
      <c r="W2823">
        <v>2</v>
      </c>
      <c r="X2823" t="s">
        <v>10079</v>
      </c>
      <c r="Y2823">
        <v>0.52183245476680462</v>
      </c>
      <c r="Z2823" t="str">
        <f>HYPERLINK("Melting_Curves/meltCurve_sp_Q9UJA5_2_TRM6_HUMAN_.pdf", "Melting_Curves/meltCurve_sp_Q9UJA5_2_TRM6_HUMAN_.pdf")</f>
        <v>Melting_Curves/meltCurve_sp_Q9UJA5_2_TRM6_HUMAN_.pdf</v>
      </c>
      <c r="AA2823" t="s">
        <v>13670</v>
      </c>
      <c r="AB2823" t="s">
        <v>17247</v>
      </c>
    </row>
    <row r="2824" spans="1:28" x14ac:dyDescent="0.25">
      <c r="A2824" t="s">
        <v>2828</v>
      </c>
      <c r="B2824">
        <v>0.98018197421672304</v>
      </c>
      <c r="C2824">
        <v>1.0344710097418901</v>
      </c>
      <c r="D2824">
        <v>0.95518072733252002</v>
      </c>
      <c r="E2824">
        <v>0.83003217472656299</v>
      </c>
      <c r="F2824">
        <v>0.89573954982538895</v>
      </c>
      <c r="G2824">
        <v>0.73643289927348798</v>
      </c>
      <c r="H2824">
        <v>0.41465162179397802</v>
      </c>
      <c r="I2824">
        <v>0.24293200086985101</v>
      </c>
      <c r="J2824">
        <v>9.1456953323965903E-2</v>
      </c>
      <c r="K2824">
        <v>6.7002700884371297E-2</v>
      </c>
      <c r="L2824">
        <v>1029.74101454476</v>
      </c>
      <c r="M2824">
        <v>17.241774196475301</v>
      </c>
      <c r="N2824">
        <v>59.723611044935602</v>
      </c>
      <c r="O2824">
        <v>58.937572438524199</v>
      </c>
      <c r="P2824">
        <v>-7.31400217638591E-2</v>
      </c>
      <c r="Q2824">
        <v>0</v>
      </c>
      <c r="R2824">
        <v>0.98081968697107702</v>
      </c>
      <c r="S2824" t="s">
        <v>6453</v>
      </c>
      <c r="T2824" t="s">
        <v>7256</v>
      </c>
      <c r="U2824" t="s">
        <v>7256</v>
      </c>
      <c r="V2824" t="s">
        <v>7256</v>
      </c>
      <c r="W2824">
        <v>3</v>
      </c>
      <c r="X2824" t="s">
        <v>10080</v>
      </c>
      <c r="Y2824">
        <v>0.66632954524924159</v>
      </c>
      <c r="Z2824" t="str">
        <f>HYPERLINK("Melting_Curves/meltCurve_sp_Q9UJC5_SH3L2_HUMAN_.pdf", "Melting_Curves/meltCurve_sp_Q9UJC5_SH3L2_HUMAN_.pdf")</f>
        <v>Melting_Curves/meltCurve_sp_Q9UJC5_SH3L2_HUMAN_.pdf</v>
      </c>
      <c r="AA2824" t="s">
        <v>13671</v>
      </c>
      <c r="AB2824" t="s">
        <v>17248</v>
      </c>
    </row>
    <row r="2825" spans="1:28" x14ac:dyDescent="0.25">
      <c r="A2825" t="s">
        <v>2829</v>
      </c>
      <c r="B2825">
        <v>0.98018197421672304</v>
      </c>
      <c r="C2825">
        <v>0.86758310817625806</v>
      </c>
      <c r="D2825">
        <v>0.91905597466036704</v>
      </c>
      <c r="E2825">
        <v>0.79407379341501705</v>
      </c>
      <c r="F2825">
        <v>0.76500791615035901</v>
      </c>
      <c r="G2825">
        <v>0.57650341261453497</v>
      </c>
      <c r="H2825">
        <v>0.55239320341423503</v>
      </c>
      <c r="I2825">
        <v>0.52052236841568</v>
      </c>
      <c r="J2825">
        <v>0.66607005727649604</v>
      </c>
      <c r="K2825">
        <v>0.66817617785197003</v>
      </c>
      <c r="L2825">
        <v>664.72994688757399</v>
      </c>
      <c r="M2825">
        <v>13.412219134536</v>
      </c>
      <c r="O2825">
        <v>48.498655501708399</v>
      </c>
      <c r="P2825">
        <v>-2.88624295194677E-2</v>
      </c>
      <c r="Q2825">
        <v>0.58259865607956396</v>
      </c>
      <c r="R2825">
        <v>0.83431853288717905</v>
      </c>
      <c r="S2825" t="s">
        <v>6454</v>
      </c>
      <c r="T2825" t="s">
        <v>7256</v>
      </c>
      <c r="U2825" t="s">
        <v>7256</v>
      </c>
      <c r="V2825" t="s">
        <v>7256</v>
      </c>
      <c r="W2825">
        <v>3</v>
      </c>
      <c r="X2825" t="s">
        <v>10081</v>
      </c>
      <c r="Y2825">
        <v>0.72794625855759632</v>
      </c>
      <c r="Z2825" t="str">
        <f>HYPERLINK("Melting_Curves/meltCurve_sp_Q9UJM3_ERRFI_HUMAN_.pdf", "Melting_Curves/meltCurve_sp_Q9UJM3_ERRFI_HUMAN_.pdf")</f>
        <v>Melting_Curves/meltCurve_sp_Q9UJM3_ERRFI_HUMAN_.pdf</v>
      </c>
      <c r="AA2825" t="s">
        <v>13672</v>
      </c>
      <c r="AB2825" t="s">
        <v>17249</v>
      </c>
    </row>
    <row r="2826" spans="1:28" x14ac:dyDescent="0.25">
      <c r="A2826" t="s">
        <v>2830</v>
      </c>
      <c r="B2826">
        <v>0.98018197421672304</v>
      </c>
      <c r="C2826">
        <v>0.99948148161311601</v>
      </c>
      <c r="D2826">
        <v>0.95333015645345198</v>
      </c>
      <c r="E2826">
        <v>0.79004143781820602</v>
      </c>
      <c r="F2826">
        <v>0.26554692120722301</v>
      </c>
      <c r="G2826">
        <v>0.116590131509571</v>
      </c>
      <c r="H2826">
        <v>5.4606117054273901E-2</v>
      </c>
      <c r="I2826">
        <v>4.2602604665456803E-2</v>
      </c>
      <c r="J2826">
        <v>4.1733060904736899E-2</v>
      </c>
      <c r="K2826">
        <v>2.9782757740164902E-2</v>
      </c>
      <c r="L2826">
        <v>2073.5160005020002</v>
      </c>
      <c r="M2826">
        <v>40.274522693904402</v>
      </c>
      <c r="N2826">
        <v>51.622551608632399</v>
      </c>
      <c r="O2826">
        <v>51.358117903981899</v>
      </c>
      <c r="P2826">
        <v>-0.186042980678544</v>
      </c>
      <c r="Q2826">
        <v>5.1033075633674103E-2</v>
      </c>
      <c r="R2826">
        <v>0.99715692895858898</v>
      </c>
      <c r="S2826" t="s">
        <v>6455</v>
      </c>
      <c r="T2826" t="s">
        <v>7256</v>
      </c>
      <c r="U2826" t="s">
        <v>7256</v>
      </c>
      <c r="V2826" t="s">
        <v>7256</v>
      </c>
      <c r="W2826">
        <v>24</v>
      </c>
      <c r="X2826" t="s">
        <v>10082</v>
      </c>
      <c r="Y2826">
        <v>0.41764541011580442</v>
      </c>
      <c r="Z2826" t="str">
        <f>HYPERLINK("Melting_Curves/meltCurve_sp_Q9UJM8_HAOX1_HUMAN_.pdf", "Melting_Curves/meltCurve_sp_Q9UJM8_HAOX1_HUMAN_.pdf")</f>
        <v>Melting_Curves/meltCurve_sp_Q9UJM8_HAOX1_HUMAN_.pdf</v>
      </c>
      <c r="AA2826" t="s">
        <v>13673</v>
      </c>
      <c r="AB2826" t="s">
        <v>17250</v>
      </c>
    </row>
    <row r="2827" spans="1:28" x14ac:dyDescent="0.25">
      <c r="A2827" t="s">
        <v>2831</v>
      </c>
      <c r="B2827">
        <v>0.98018197421672304</v>
      </c>
      <c r="C2827">
        <v>1.0888601967931499</v>
      </c>
      <c r="D2827">
        <v>1.07884364430337</v>
      </c>
      <c r="E2827">
        <v>0.93362924533901603</v>
      </c>
      <c r="F2827">
        <v>0.83621041712203603</v>
      </c>
      <c r="G2827">
        <v>0.64761118232140702</v>
      </c>
      <c r="H2827">
        <v>0.54709822448773704</v>
      </c>
      <c r="I2827">
        <v>0.63350764844025598</v>
      </c>
      <c r="J2827">
        <v>0.71984129704722699</v>
      </c>
      <c r="K2827">
        <v>0.85580525911508798</v>
      </c>
      <c r="L2827">
        <v>2253.5041837211602</v>
      </c>
      <c r="M2827">
        <v>42.818662587894401</v>
      </c>
      <c r="O2827">
        <v>52.514616747380799</v>
      </c>
      <c r="P2827">
        <v>-6.5174142773521196E-2</v>
      </c>
      <c r="Q2827">
        <v>0.68027123408481105</v>
      </c>
      <c r="R2827">
        <v>0.783430041842198</v>
      </c>
      <c r="S2827" t="s">
        <v>6456</v>
      </c>
      <c r="T2827" t="s">
        <v>7256</v>
      </c>
      <c r="U2827" t="s">
        <v>7256</v>
      </c>
      <c r="V2827" t="s">
        <v>7256</v>
      </c>
      <c r="W2827">
        <v>17</v>
      </c>
      <c r="X2827" t="s">
        <v>10083</v>
      </c>
      <c r="Y2827">
        <v>0.815880173966816</v>
      </c>
      <c r="Z2827" t="str">
        <f>HYPERLINK("Melting_Curves/meltCurve_sp_Q9UJU6_DBNL_HUMAN_.pdf", "Melting_Curves/meltCurve_sp_Q9UJU6_DBNL_HUMAN_.pdf")</f>
        <v>Melting_Curves/meltCurve_sp_Q9UJU6_DBNL_HUMAN_.pdf</v>
      </c>
      <c r="AA2827" t="s">
        <v>13674</v>
      </c>
      <c r="AB2827" t="s">
        <v>17251</v>
      </c>
    </row>
    <row r="2828" spans="1:28" x14ac:dyDescent="0.25">
      <c r="A2828" t="s">
        <v>2832</v>
      </c>
      <c r="B2828">
        <v>0.98018197421672304</v>
      </c>
      <c r="C2828">
        <v>0.92645675637249603</v>
      </c>
      <c r="D2828">
        <v>0.87242420326533798</v>
      </c>
      <c r="E2828">
        <v>0.66109190486311598</v>
      </c>
      <c r="F2828">
        <v>0.51418622330644803</v>
      </c>
      <c r="G2828">
        <v>0.31421067676437803</v>
      </c>
      <c r="H2828">
        <v>0.26188545601433799</v>
      </c>
      <c r="I2828">
        <v>0.188030484367013</v>
      </c>
      <c r="J2828">
        <v>0.100728411733288</v>
      </c>
      <c r="K2828">
        <v>7.2914582980739301E-2</v>
      </c>
      <c r="L2828">
        <v>573.06436322723005</v>
      </c>
      <c r="M2828">
        <v>10.778756826428999</v>
      </c>
      <c r="N2828">
        <v>53.415747710633802</v>
      </c>
      <c r="O2828">
        <v>51.4341905686776</v>
      </c>
      <c r="P2828">
        <v>-5.1122643918914398E-2</v>
      </c>
      <c r="Q2828">
        <v>2.4565482150191099E-2</v>
      </c>
      <c r="R2828">
        <v>0.99546625345455797</v>
      </c>
      <c r="S2828" t="s">
        <v>6457</v>
      </c>
      <c r="T2828" t="s">
        <v>7256</v>
      </c>
      <c r="U2828" t="s">
        <v>7256</v>
      </c>
      <c r="V2828" t="s">
        <v>7256</v>
      </c>
      <c r="W2828">
        <v>7</v>
      </c>
      <c r="X2828" t="s">
        <v>10084</v>
      </c>
      <c r="Y2828">
        <v>0.48323378591241151</v>
      </c>
      <c r="Z2828" t="str">
        <f>HYPERLINK("Melting_Curves/meltCurve_sp_Q9UJW0_DCTN4_HUMAN_.pdf", "Melting_Curves/meltCurve_sp_Q9UJW0_DCTN4_HUMAN_.pdf")</f>
        <v>Melting_Curves/meltCurve_sp_Q9UJW0_DCTN4_HUMAN_.pdf</v>
      </c>
      <c r="AA2828" t="s">
        <v>13675</v>
      </c>
      <c r="AB2828" t="s">
        <v>17252</v>
      </c>
    </row>
    <row r="2829" spans="1:28" x14ac:dyDescent="0.25">
      <c r="A2829" t="s">
        <v>2833</v>
      </c>
      <c r="B2829">
        <v>0.98018197421672304</v>
      </c>
      <c r="C2829">
        <v>0.93788972898103995</v>
      </c>
      <c r="D2829">
        <v>0.88694108893351298</v>
      </c>
      <c r="E2829">
        <v>0.740922806194387</v>
      </c>
      <c r="F2829">
        <v>0.49452966676761201</v>
      </c>
      <c r="G2829">
        <v>0.24236345068132101</v>
      </c>
      <c r="H2829">
        <v>0.11606393831907701</v>
      </c>
      <c r="I2829">
        <v>0.12661248158278399</v>
      </c>
      <c r="J2829">
        <v>0.114263525298974</v>
      </c>
      <c r="K2829">
        <v>0.110056396060618</v>
      </c>
      <c r="L2829">
        <v>918.99427627138505</v>
      </c>
      <c r="M2829">
        <v>17.583329210159398</v>
      </c>
      <c r="N2829">
        <v>52.813381826121201</v>
      </c>
      <c r="O2829">
        <v>51.603126217978897</v>
      </c>
      <c r="P2829">
        <v>-7.8082925604487194E-2</v>
      </c>
      <c r="Q2829">
        <v>8.3426125571544496E-2</v>
      </c>
      <c r="R2829">
        <v>0.99524439478280402</v>
      </c>
      <c r="S2829" t="s">
        <v>6458</v>
      </c>
      <c r="T2829" t="s">
        <v>7256</v>
      </c>
      <c r="U2829" t="s">
        <v>7256</v>
      </c>
      <c r="V2829" t="s">
        <v>7256</v>
      </c>
      <c r="W2829">
        <v>4</v>
      </c>
      <c r="X2829" t="s">
        <v>10085</v>
      </c>
      <c r="Y2829">
        <v>0.47395491823264102</v>
      </c>
      <c r="Z2829" t="str">
        <f>HYPERLINK("Melting_Curves/meltCurve_sp_Q9UJY5_4_GGA1_HUMAN_.pdf", "Melting_Curves/meltCurve_sp_Q9UJY5_4_GGA1_HUMAN_.pdf")</f>
        <v>Melting_Curves/meltCurve_sp_Q9UJY5_4_GGA1_HUMAN_.pdf</v>
      </c>
      <c r="AA2829" t="s">
        <v>13676</v>
      </c>
      <c r="AB2829" t="s">
        <v>17253</v>
      </c>
    </row>
    <row r="2830" spans="1:28" x14ac:dyDescent="0.25">
      <c r="A2830" t="s">
        <v>2834</v>
      </c>
      <c r="B2830">
        <v>0.98018197421672304</v>
      </c>
      <c r="C2830">
        <v>0.99046959567016701</v>
      </c>
      <c r="D2830">
        <v>0.81458758438099999</v>
      </c>
      <c r="E2830">
        <v>0.55449531377481298</v>
      </c>
      <c r="F2830">
        <v>0.29047933941158199</v>
      </c>
      <c r="G2830">
        <v>0.109109833319657</v>
      </c>
      <c r="H2830">
        <v>2.1603697280041401E-2</v>
      </c>
      <c r="I2830">
        <v>1.91972069914975E-2</v>
      </c>
      <c r="J2830">
        <v>2.0750672495054301E-2</v>
      </c>
      <c r="K2830">
        <v>0</v>
      </c>
      <c r="L2830">
        <v>906.39081070552299</v>
      </c>
      <c r="M2830">
        <v>17.983775970856001</v>
      </c>
      <c r="N2830">
        <v>50.4004600824167</v>
      </c>
      <c r="O2830">
        <v>49.789675589165199</v>
      </c>
      <c r="P2830">
        <v>-9.0303195917064705E-2</v>
      </c>
      <c r="Q2830">
        <v>0</v>
      </c>
      <c r="R2830">
        <v>0.99798461118299098</v>
      </c>
      <c r="S2830" t="s">
        <v>6459</v>
      </c>
      <c r="T2830" t="s">
        <v>7256</v>
      </c>
      <c r="U2830" t="s">
        <v>7256</v>
      </c>
      <c r="V2830" t="s">
        <v>7256</v>
      </c>
      <c r="W2830">
        <v>2</v>
      </c>
      <c r="X2830" t="s">
        <v>10086</v>
      </c>
      <c r="Y2830">
        <v>0.36367930473233417</v>
      </c>
      <c r="Z2830" t="str">
        <f>HYPERLINK("Melting_Curves/meltCurve_sp_Q9UK22_FBX2_HUMAN_.pdf", "Melting_Curves/meltCurve_sp_Q9UK22_FBX2_HUMAN_.pdf")</f>
        <v>Melting_Curves/meltCurve_sp_Q9UK22_FBX2_HUMAN_.pdf</v>
      </c>
      <c r="AA2830" t="s">
        <v>13677</v>
      </c>
      <c r="AB2830" t="s">
        <v>17254</v>
      </c>
    </row>
    <row r="2831" spans="1:28" x14ac:dyDescent="0.25">
      <c r="A2831" t="s">
        <v>2835</v>
      </c>
      <c r="B2831">
        <v>0.98018197421672304</v>
      </c>
      <c r="C2831">
        <v>0.96364289891455501</v>
      </c>
      <c r="D2831">
        <v>0.82044175448895595</v>
      </c>
      <c r="E2831">
        <v>0.68107002957362806</v>
      </c>
      <c r="F2831">
        <v>0.29052003529723502</v>
      </c>
      <c r="G2831">
        <v>0.15925501981014401</v>
      </c>
      <c r="H2831">
        <v>9.0947717744738907E-2</v>
      </c>
      <c r="I2831">
        <v>6.1651397307470199E-2</v>
      </c>
      <c r="J2831">
        <v>7.1745393372411398E-2</v>
      </c>
      <c r="K2831">
        <v>4.5570093409424403E-2</v>
      </c>
      <c r="L2831">
        <v>954.61193990743504</v>
      </c>
      <c r="M2831">
        <v>18.764712622780099</v>
      </c>
      <c r="N2831">
        <v>51.129659621248202</v>
      </c>
      <c r="O2831">
        <v>50.305528538541701</v>
      </c>
      <c r="P2831">
        <v>-8.9061598011200199E-2</v>
      </c>
      <c r="Q2831">
        <v>4.4994269872308097E-2</v>
      </c>
      <c r="R2831">
        <v>0.98947320669672301</v>
      </c>
      <c r="S2831" t="s">
        <v>6460</v>
      </c>
      <c r="T2831" t="s">
        <v>7256</v>
      </c>
      <c r="U2831" t="s">
        <v>7256</v>
      </c>
      <c r="V2831" t="s">
        <v>7256</v>
      </c>
      <c r="W2831">
        <v>3</v>
      </c>
      <c r="X2831" t="s">
        <v>10087</v>
      </c>
      <c r="Y2831">
        <v>0.4060449182560058</v>
      </c>
      <c r="Z2831" t="str">
        <f>HYPERLINK("Melting_Curves/meltCurve_sp_Q9UK41_VPS28_HUMAN_.pdf", "Melting_Curves/meltCurve_sp_Q9UK41_VPS28_HUMAN_.pdf")</f>
        <v>Melting_Curves/meltCurve_sp_Q9UK41_VPS28_HUMAN_.pdf</v>
      </c>
      <c r="AA2831" t="s">
        <v>13678</v>
      </c>
      <c r="AB2831" t="s">
        <v>17255</v>
      </c>
    </row>
    <row r="2832" spans="1:28" x14ac:dyDescent="0.25">
      <c r="A2832" t="s">
        <v>2836</v>
      </c>
      <c r="B2832">
        <v>0.98018197421672304</v>
      </c>
      <c r="C2832">
        <v>0.91535405821160998</v>
      </c>
      <c r="D2832">
        <v>0.81412409589836299</v>
      </c>
      <c r="E2832">
        <v>0.67805262213943795</v>
      </c>
      <c r="F2832">
        <v>0.49721349630561301</v>
      </c>
      <c r="G2832">
        <v>0.22857925271954299</v>
      </c>
      <c r="H2832">
        <v>9.4393232985274605E-2</v>
      </c>
      <c r="I2832">
        <v>6.8614207300801006E-2</v>
      </c>
      <c r="J2832">
        <v>3.78077988377752E-2</v>
      </c>
      <c r="K2832">
        <v>0</v>
      </c>
      <c r="L2832">
        <v>717.18113455839</v>
      </c>
      <c r="M2832">
        <v>13.7098445101833</v>
      </c>
      <c r="N2832">
        <v>52.311373358543598</v>
      </c>
      <c r="O2832">
        <v>51.236091707919201</v>
      </c>
      <c r="P2832">
        <v>-6.69050517930041E-2</v>
      </c>
      <c r="Q2832">
        <v>0</v>
      </c>
      <c r="R2832">
        <v>0.99355259595833001</v>
      </c>
      <c r="S2832" t="s">
        <v>6461</v>
      </c>
      <c r="T2832" t="s">
        <v>7256</v>
      </c>
      <c r="U2832" t="s">
        <v>7256</v>
      </c>
      <c r="V2832" t="s">
        <v>7256</v>
      </c>
      <c r="W2832">
        <v>1</v>
      </c>
      <c r="X2832" t="s">
        <v>10088</v>
      </c>
      <c r="Y2832">
        <v>0.43553906875613962</v>
      </c>
      <c r="Z2832" t="str">
        <f>HYPERLINK("Melting_Curves/meltCurve_sp_Q9UK59_DBR1_HUMAN_.pdf", "Melting_Curves/meltCurve_sp_Q9UK59_DBR1_HUMAN_.pdf")</f>
        <v>Melting_Curves/meltCurve_sp_Q9UK59_DBR1_HUMAN_.pdf</v>
      </c>
      <c r="AA2832" t="s">
        <v>13679</v>
      </c>
      <c r="AB2832" t="s">
        <v>17256</v>
      </c>
    </row>
    <row r="2833" spans="1:28" x14ac:dyDescent="0.25">
      <c r="A2833" t="s">
        <v>2837</v>
      </c>
      <c r="B2833">
        <v>0.98018197421672304</v>
      </c>
      <c r="C2833">
        <v>0.95767505048575796</v>
      </c>
      <c r="D2833">
        <v>0.84582921562427504</v>
      </c>
      <c r="E2833">
        <v>0.70380641500535301</v>
      </c>
      <c r="F2833">
        <v>0.54618467421274697</v>
      </c>
      <c r="G2833">
        <v>0.26791001229745598</v>
      </c>
      <c r="H2833">
        <v>7.9674668957990802E-2</v>
      </c>
      <c r="I2833">
        <v>4.6694574544278299E-2</v>
      </c>
      <c r="J2833">
        <v>3.5653312229087998E-2</v>
      </c>
      <c r="K2833">
        <v>3.96643152293297E-2</v>
      </c>
      <c r="L2833">
        <v>779.16407494865996</v>
      </c>
      <c r="M2833">
        <v>14.7058666012</v>
      </c>
      <c r="N2833">
        <v>52.983221147722801</v>
      </c>
      <c r="O2833">
        <v>52.032410234506301</v>
      </c>
      <c r="P2833">
        <v>-7.0664957083235294E-2</v>
      </c>
      <c r="Q2833">
        <v>0</v>
      </c>
      <c r="R2833">
        <v>0.99377434081132898</v>
      </c>
      <c r="S2833" t="s">
        <v>6462</v>
      </c>
      <c r="T2833" t="s">
        <v>7256</v>
      </c>
      <c r="U2833" t="s">
        <v>7256</v>
      </c>
      <c r="V2833" t="s">
        <v>7256</v>
      </c>
      <c r="W2833">
        <v>4</v>
      </c>
      <c r="X2833" t="s">
        <v>10089</v>
      </c>
      <c r="Y2833">
        <v>0.45490534344798361</v>
      </c>
      <c r="Z2833" t="str">
        <f>HYPERLINK("Melting_Curves/meltCurve_sp_Q9UK99_2_FBX3_HUMAN_.pdf", "Melting_Curves/meltCurve_sp_Q9UK99_2_FBX3_HUMAN_.pdf")</f>
        <v>Melting_Curves/meltCurve_sp_Q9UK99_2_FBX3_HUMAN_.pdf</v>
      </c>
      <c r="AA2833" t="s">
        <v>13680</v>
      </c>
      <c r="AB2833" t="s">
        <v>17257</v>
      </c>
    </row>
    <row r="2834" spans="1:28" x14ac:dyDescent="0.25">
      <c r="A2834" t="s">
        <v>2838</v>
      </c>
      <c r="B2834">
        <v>0.98018197421672304</v>
      </c>
      <c r="C2834">
        <v>0.84080658330102098</v>
      </c>
      <c r="D2834">
        <v>0.99868822479135499</v>
      </c>
      <c r="E2834">
        <v>0.834821298411345</v>
      </c>
      <c r="F2834">
        <v>0.67677825007257097</v>
      </c>
      <c r="G2834">
        <v>0.44097203865031298</v>
      </c>
      <c r="H2834">
        <v>0.52528532012289098</v>
      </c>
      <c r="I2834">
        <v>0.47682877347367197</v>
      </c>
      <c r="J2834">
        <v>0.52854789177956196</v>
      </c>
      <c r="K2834">
        <v>0.63484035219125401</v>
      </c>
      <c r="L2834">
        <v>1678.87688001268</v>
      </c>
      <c r="M2834">
        <v>32.790008093572602</v>
      </c>
      <c r="O2834">
        <v>51.011560162116602</v>
      </c>
      <c r="P2834">
        <v>-7.6739347827865706E-2</v>
      </c>
      <c r="Q2834">
        <v>0.52246723039121401</v>
      </c>
      <c r="R2834">
        <v>0.86688022741182702</v>
      </c>
      <c r="S2834" t="s">
        <v>6463</v>
      </c>
      <c r="T2834" t="s">
        <v>7256</v>
      </c>
      <c r="U2834" t="s">
        <v>7256</v>
      </c>
      <c r="V2834" t="s">
        <v>7256</v>
      </c>
      <c r="W2834">
        <v>1</v>
      </c>
      <c r="X2834" t="s">
        <v>10090</v>
      </c>
      <c r="Y2834">
        <v>0.70328060458646313</v>
      </c>
      <c r="Z2834" t="str">
        <f>HYPERLINK("Melting_Curves/meltCurve_sp_Q9UKB3_2_DJC12_HUMAN_.pdf", "Melting_Curves/meltCurve_sp_Q9UKB3_2_DJC12_HUMAN_.pdf")</f>
        <v>Melting_Curves/meltCurve_sp_Q9UKB3_2_DJC12_HUMAN_.pdf</v>
      </c>
      <c r="AA2834" t="s">
        <v>13681</v>
      </c>
      <c r="AB2834" t="s">
        <v>17258</v>
      </c>
    </row>
    <row r="2835" spans="1:28" x14ac:dyDescent="0.25">
      <c r="A2835" t="s">
        <v>2839</v>
      </c>
      <c r="B2835">
        <v>0.98018197421672304</v>
      </c>
      <c r="C2835">
        <v>0.77915556415433096</v>
      </c>
      <c r="D2835">
        <v>0.82132086513019398</v>
      </c>
      <c r="E2835">
        <v>0.61617695420293495</v>
      </c>
      <c r="F2835">
        <v>0.46326084585994098</v>
      </c>
      <c r="G2835">
        <v>0.27952783410534499</v>
      </c>
      <c r="H2835">
        <v>0.22209332174927199</v>
      </c>
      <c r="I2835">
        <v>0.12915214367470901</v>
      </c>
      <c r="J2835">
        <v>0.114875789322293</v>
      </c>
      <c r="K2835">
        <v>0.118043979803214</v>
      </c>
      <c r="L2835">
        <v>489.98364590110202</v>
      </c>
      <c r="M2835">
        <v>9.4392779007625993</v>
      </c>
      <c r="N2835">
        <v>52.058423248801198</v>
      </c>
      <c r="O2835">
        <v>49.739244743399702</v>
      </c>
      <c r="P2835">
        <v>-4.6838140765637797E-2</v>
      </c>
      <c r="Q2835">
        <v>1.3364116421681499E-2</v>
      </c>
      <c r="R2835">
        <v>0.98248903513846997</v>
      </c>
      <c r="S2835" t="s">
        <v>6464</v>
      </c>
      <c r="T2835" t="s">
        <v>7256</v>
      </c>
      <c r="U2835" t="s">
        <v>7256</v>
      </c>
      <c r="V2835" t="s">
        <v>7256</v>
      </c>
      <c r="W2835">
        <v>2</v>
      </c>
      <c r="X2835" t="s">
        <v>10091</v>
      </c>
      <c r="Y2835">
        <v>0.44521447616545262</v>
      </c>
      <c r="Z2835" t="str">
        <f>HYPERLINK("Melting_Curves/meltCurve_sp_Q9UKE5_8_TNIK_HUMAN_.pdf", "Melting_Curves/meltCurve_sp_Q9UKE5_8_TNIK_HUMAN_.pdf")</f>
        <v>Melting_Curves/meltCurve_sp_Q9UKE5_8_TNIK_HUMAN_.pdf</v>
      </c>
      <c r="AA2835" t="s">
        <v>13682</v>
      </c>
      <c r="AB2835" t="s">
        <v>17259</v>
      </c>
    </row>
    <row r="2836" spans="1:28" x14ac:dyDescent="0.25">
      <c r="A2836" t="s">
        <v>2840</v>
      </c>
      <c r="B2836">
        <v>0.98018197421672304</v>
      </c>
      <c r="C2836">
        <v>0.84220364038530504</v>
      </c>
      <c r="D2836">
        <v>0.88887445353677796</v>
      </c>
      <c r="E2836">
        <v>0.79894693845860398</v>
      </c>
      <c r="F2836">
        <v>0.501979889764955</v>
      </c>
      <c r="G2836">
        <v>0.27090078933154499</v>
      </c>
      <c r="H2836">
        <v>9.0777158168247302E-2</v>
      </c>
      <c r="I2836">
        <v>6.0465178077965101E-2</v>
      </c>
      <c r="J2836">
        <v>5.90824563120547E-2</v>
      </c>
      <c r="K2836">
        <v>4.9173134794319902E-2</v>
      </c>
      <c r="L2836">
        <v>825.53810563544005</v>
      </c>
      <c r="M2836">
        <v>15.5023640338429</v>
      </c>
      <c r="N2836">
        <v>53.277152619463301</v>
      </c>
      <c r="O2836">
        <v>52.389894011307803</v>
      </c>
      <c r="P2836">
        <v>-7.3717101392866594E-2</v>
      </c>
      <c r="Q2836">
        <v>3.5874756422626902E-3</v>
      </c>
      <c r="R2836">
        <v>0.98112454506832103</v>
      </c>
      <c r="S2836" t="s">
        <v>6465</v>
      </c>
      <c r="T2836" t="s">
        <v>7256</v>
      </c>
      <c r="U2836" t="s">
        <v>7256</v>
      </c>
      <c r="V2836" t="s">
        <v>7256</v>
      </c>
      <c r="W2836">
        <v>15</v>
      </c>
      <c r="X2836" t="s">
        <v>10092</v>
      </c>
      <c r="Y2836">
        <v>0.46401757687077649</v>
      </c>
      <c r="Z2836" t="str">
        <f>HYPERLINK("Melting_Curves/meltCurve_sp_Q9UKG1_DP13A_HUMAN_.pdf", "Melting_Curves/meltCurve_sp_Q9UKG1_DP13A_HUMAN_.pdf")</f>
        <v>Melting_Curves/meltCurve_sp_Q9UKG1_DP13A_HUMAN_.pdf</v>
      </c>
      <c r="AA2836" t="s">
        <v>13683</v>
      </c>
      <c r="AB2836" t="s">
        <v>17260</v>
      </c>
    </row>
    <row r="2837" spans="1:28" x14ac:dyDescent="0.25">
      <c r="A2837" t="s">
        <v>2841</v>
      </c>
      <c r="B2837">
        <v>0.98018197421672304</v>
      </c>
      <c r="C2837">
        <v>0.922916658587835</v>
      </c>
      <c r="D2837">
        <v>0.91047743260022596</v>
      </c>
      <c r="E2837">
        <v>0.478886130444859</v>
      </c>
      <c r="F2837">
        <v>0.207886094211779</v>
      </c>
      <c r="G2837">
        <v>0.106691006312677</v>
      </c>
      <c r="H2837">
        <v>6.3791922532659001E-2</v>
      </c>
      <c r="I2837">
        <v>4.4716097481528702E-2</v>
      </c>
      <c r="J2837">
        <v>6.3232046286813906E-2</v>
      </c>
      <c r="K2837">
        <v>3.85568239643619E-2</v>
      </c>
      <c r="L2837">
        <v>1243.063969868</v>
      </c>
      <c r="M2837">
        <v>25.037068425911301</v>
      </c>
      <c r="N2837">
        <v>49.867576623534802</v>
      </c>
      <c r="O2837">
        <v>49.335459905660997</v>
      </c>
      <c r="P2837">
        <v>-0.120278431156478</v>
      </c>
      <c r="Q2837">
        <v>5.1979717759505897E-2</v>
      </c>
      <c r="R2837">
        <v>0.99646485258951001</v>
      </c>
      <c r="S2837" t="s">
        <v>6466</v>
      </c>
      <c r="T2837" t="s">
        <v>7256</v>
      </c>
      <c r="U2837" t="s">
        <v>7256</v>
      </c>
      <c r="V2837" t="s">
        <v>7256</v>
      </c>
      <c r="W2837">
        <v>12</v>
      </c>
      <c r="X2837" t="s">
        <v>10093</v>
      </c>
      <c r="Y2837">
        <v>0.36531181816054409</v>
      </c>
      <c r="Z2837" t="str">
        <f>HYPERLINK("Melting_Curves/meltCurve_sp_Q9UKG9_OCTC_HUMAN_.pdf", "Melting_Curves/meltCurve_sp_Q9UKG9_OCTC_HUMAN_.pdf")</f>
        <v>Melting_Curves/meltCurve_sp_Q9UKG9_OCTC_HUMAN_.pdf</v>
      </c>
      <c r="AA2837" t="s">
        <v>13684</v>
      </c>
      <c r="AB2837" t="s">
        <v>17261</v>
      </c>
    </row>
    <row r="2838" spans="1:28" x14ac:dyDescent="0.25">
      <c r="A2838" t="s">
        <v>2842</v>
      </c>
      <c r="B2838">
        <v>0.98018197421672304</v>
      </c>
      <c r="C2838">
        <v>0.98919827705127905</v>
      </c>
      <c r="D2838">
        <v>0.97240835913448997</v>
      </c>
      <c r="E2838">
        <v>0.70365130751487004</v>
      </c>
      <c r="F2838">
        <v>0.52002501084708896</v>
      </c>
      <c r="G2838">
        <v>0.287214550653898</v>
      </c>
      <c r="H2838">
        <v>0.335656190723984</v>
      </c>
      <c r="I2838">
        <v>0.355547092545412</v>
      </c>
      <c r="J2838">
        <v>0.43857972559991099</v>
      </c>
      <c r="K2838">
        <v>0.58615981344216195</v>
      </c>
      <c r="L2838">
        <v>1736.68487609828</v>
      </c>
      <c r="M2838">
        <v>34.665847685270499</v>
      </c>
      <c r="N2838">
        <v>52.612771131522202</v>
      </c>
      <c r="O2838">
        <v>49.932030656447601</v>
      </c>
      <c r="P2838">
        <v>-0.103332662469634</v>
      </c>
      <c r="Q2838">
        <v>0.40464856900926899</v>
      </c>
      <c r="R2838">
        <v>0.91551556025667902</v>
      </c>
      <c r="S2838" t="s">
        <v>6467</v>
      </c>
      <c r="T2838" t="s">
        <v>7256</v>
      </c>
      <c r="U2838" t="s">
        <v>7256</v>
      </c>
      <c r="V2838" t="s">
        <v>7256</v>
      </c>
      <c r="W2838">
        <v>1</v>
      </c>
      <c r="X2838" t="s">
        <v>10094</v>
      </c>
      <c r="Y2838">
        <v>0.60779458324981284</v>
      </c>
      <c r="Z2838" t="str">
        <f>HYPERLINK("Melting_Curves/meltCurve_sp_Q9UKJ3_GPTC8_HUMAN_.pdf", "Melting_Curves/meltCurve_sp_Q9UKJ3_GPTC8_HUMAN_.pdf")</f>
        <v>Melting_Curves/meltCurve_sp_Q9UKJ3_GPTC8_HUMAN_.pdf</v>
      </c>
      <c r="AA2838" t="s">
        <v>13685</v>
      </c>
      <c r="AB2838" t="s">
        <v>17262</v>
      </c>
    </row>
    <row r="2839" spans="1:28" x14ac:dyDescent="0.25">
      <c r="A2839" t="s">
        <v>2843</v>
      </c>
      <c r="B2839">
        <v>0.98018197421672304</v>
      </c>
      <c r="C2839">
        <v>0.93139166075058</v>
      </c>
      <c r="D2839">
        <v>0.92439202381390995</v>
      </c>
      <c r="E2839">
        <v>0.84247911931155794</v>
      </c>
      <c r="F2839">
        <v>0.83915427534687503</v>
      </c>
      <c r="G2839">
        <v>0.74745417888418597</v>
      </c>
      <c r="H2839">
        <v>0.60620738938204799</v>
      </c>
      <c r="I2839">
        <v>0.64844365947777904</v>
      </c>
      <c r="J2839">
        <v>0.71502280058240197</v>
      </c>
      <c r="K2839">
        <v>0.71103783559848899</v>
      </c>
      <c r="L2839">
        <v>583.17419499100401</v>
      </c>
      <c r="M2839">
        <v>11.418059406137701</v>
      </c>
      <c r="O2839">
        <v>49.583372086317603</v>
      </c>
      <c r="P2839">
        <v>-1.9998241404280501E-2</v>
      </c>
      <c r="Q2839">
        <v>0.65272890439881903</v>
      </c>
      <c r="R2839">
        <v>0.88275010861106695</v>
      </c>
      <c r="S2839" t="s">
        <v>6468</v>
      </c>
      <c r="T2839" t="s">
        <v>7256</v>
      </c>
      <c r="U2839" t="s">
        <v>7256</v>
      </c>
      <c r="V2839" t="s">
        <v>7256</v>
      </c>
      <c r="W2839">
        <v>9</v>
      </c>
      <c r="X2839" t="s">
        <v>10095</v>
      </c>
      <c r="Y2839">
        <v>0.79301014453358976</v>
      </c>
      <c r="Z2839" t="str">
        <f>HYPERLINK("Melting_Curves/meltCurve_sp_Q9UKK9_NUDT5_HUMAN_.pdf", "Melting_Curves/meltCurve_sp_Q9UKK9_NUDT5_HUMAN_.pdf")</f>
        <v>Melting_Curves/meltCurve_sp_Q9UKK9_NUDT5_HUMAN_.pdf</v>
      </c>
      <c r="AA2839" t="s">
        <v>13686</v>
      </c>
      <c r="AB2839" t="s">
        <v>17263</v>
      </c>
    </row>
    <row r="2840" spans="1:28" x14ac:dyDescent="0.25">
      <c r="A2840" t="s">
        <v>2844</v>
      </c>
      <c r="B2840">
        <v>0.98018197421672304</v>
      </c>
      <c r="C2840">
        <v>0.87885656058200601</v>
      </c>
      <c r="D2840">
        <v>0.89504013412560302</v>
      </c>
      <c r="E2840">
        <v>0.75487550430917405</v>
      </c>
      <c r="F2840">
        <v>0.74071337452047603</v>
      </c>
      <c r="G2840">
        <v>0.50623829008135701</v>
      </c>
      <c r="H2840">
        <v>0.35415741784764998</v>
      </c>
      <c r="I2840">
        <v>0.13781526480218101</v>
      </c>
      <c r="J2840">
        <v>6.1457633657425202E-2</v>
      </c>
      <c r="K2840">
        <v>6.42520817416464E-2</v>
      </c>
      <c r="L2840">
        <v>671.23086848879802</v>
      </c>
      <c r="M2840">
        <v>11.894439870290601</v>
      </c>
      <c r="N2840">
        <v>56.432303906251398</v>
      </c>
      <c r="O2840">
        <v>54.908140818810303</v>
      </c>
      <c r="P2840">
        <v>-5.4169599556173398E-2</v>
      </c>
      <c r="Q2840">
        <v>0</v>
      </c>
      <c r="R2840">
        <v>0.97114588978828698</v>
      </c>
      <c r="S2840" t="s">
        <v>6469</v>
      </c>
      <c r="T2840" t="s">
        <v>7256</v>
      </c>
      <c r="U2840" t="s">
        <v>7256</v>
      </c>
      <c r="V2840" t="s">
        <v>7256</v>
      </c>
      <c r="W2840">
        <v>10</v>
      </c>
      <c r="X2840" t="s">
        <v>10096</v>
      </c>
      <c r="Y2840">
        <v>0.56669295455218582</v>
      </c>
      <c r="Z2840" t="str">
        <f>HYPERLINK("Melting_Curves/meltCurve_sp_Q9UKL6_PPCT_HUMAN_.pdf", "Melting_Curves/meltCurve_sp_Q9UKL6_PPCT_HUMAN_.pdf")</f>
        <v>Melting_Curves/meltCurve_sp_Q9UKL6_PPCT_HUMAN_.pdf</v>
      </c>
      <c r="AA2840" t="s">
        <v>13687</v>
      </c>
      <c r="AB2840" t="s">
        <v>17264</v>
      </c>
    </row>
    <row r="2841" spans="1:28" x14ac:dyDescent="0.25">
      <c r="A2841" t="s">
        <v>2845</v>
      </c>
      <c r="B2841">
        <v>0.98018197421672304</v>
      </c>
      <c r="C2841">
        <v>0.85400787649015997</v>
      </c>
      <c r="D2841">
        <v>0.68251283293620701</v>
      </c>
      <c r="E2841">
        <v>0.40795563820074199</v>
      </c>
      <c r="F2841">
        <v>0.28887655733506501</v>
      </c>
      <c r="G2841">
        <v>0.20445883613756499</v>
      </c>
      <c r="H2841">
        <v>0.152339568829095</v>
      </c>
      <c r="I2841">
        <v>0.13797059446257001</v>
      </c>
      <c r="J2841">
        <v>0.21428544809511399</v>
      </c>
      <c r="K2841">
        <v>0.164027213347199</v>
      </c>
      <c r="L2841">
        <v>778.82185428933997</v>
      </c>
      <c r="M2841">
        <v>16.447145098021</v>
      </c>
      <c r="N2841">
        <v>48.469626748161197</v>
      </c>
      <c r="O2841">
        <v>46.6695639544579</v>
      </c>
      <c r="P2841">
        <v>-7.4216094660099305E-2</v>
      </c>
      <c r="Q2841">
        <v>0.15769196393552301</v>
      </c>
      <c r="R2841">
        <v>0.994549914294799</v>
      </c>
      <c r="S2841" t="s">
        <v>6470</v>
      </c>
      <c r="T2841" t="s">
        <v>7256</v>
      </c>
      <c r="U2841" t="s">
        <v>7256</v>
      </c>
      <c r="V2841" t="s">
        <v>7256</v>
      </c>
      <c r="W2841">
        <v>9</v>
      </c>
      <c r="X2841" t="s">
        <v>10097</v>
      </c>
      <c r="Y2841">
        <v>0.38266694795018119</v>
      </c>
      <c r="Z2841" t="str">
        <f>HYPERLINK("Melting_Curves/meltCurve_sp_Q9UKS6_PACN3_HUMAN_.pdf", "Melting_Curves/meltCurve_sp_Q9UKS6_PACN3_HUMAN_.pdf")</f>
        <v>Melting_Curves/meltCurve_sp_Q9UKS6_PACN3_HUMAN_.pdf</v>
      </c>
      <c r="AA2841" t="s">
        <v>13688</v>
      </c>
      <c r="AB2841" t="s">
        <v>17265</v>
      </c>
    </row>
    <row r="2842" spans="1:28" x14ac:dyDescent="0.25">
      <c r="A2842" t="s">
        <v>2846</v>
      </c>
      <c r="B2842">
        <v>0.98018197421672304</v>
      </c>
      <c r="C2842">
        <v>0.95837204548629795</v>
      </c>
      <c r="D2842">
        <v>0.82016645315104397</v>
      </c>
      <c r="E2842">
        <v>0.57244183338543098</v>
      </c>
      <c r="F2842">
        <v>0.43717139808372701</v>
      </c>
      <c r="G2842">
        <v>0.27903891174370499</v>
      </c>
      <c r="H2842">
        <v>0.16448608840296899</v>
      </c>
      <c r="I2842">
        <v>0.21873166332567201</v>
      </c>
      <c r="J2842">
        <v>0.196760804661919</v>
      </c>
      <c r="K2842">
        <v>0</v>
      </c>
      <c r="L2842">
        <v>647.01163096798302</v>
      </c>
      <c r="M2842">
        <v>12.684279106084601</v>
      </c>
      <c r="N2842">
        <v>51.760329401611301</v>
      </c>
      <c r="O2842">
        <v>49.790933839266998</v>
      </c>
      <c r="P2842">
        <v>-5.8343670692208499E-2</v>
      </c>
      <c r="Q2842">
        <v>8.4087788440517605E-2</v>
      </c>
      <c r="R2842">
        <v>0.97768074454256904</v>
      </c>
      <c r="S2842" t="s">
        <v>6471</v>
      </c>
      <c r="T2842" t="s">
        <v>7256</v>
      </c>
      <c r="U2842" t="s">
        <v>7256</v>
      </c>
      <c r="V2842" t="s">
        <v>7256</v>
      </c>
      <c r="W2842">
        <v>1</v>
      </c>
      <c r="X2842" t="s">
        <v>10098</v>
      </c>
      <c r="Y2842">
        <v>0.44773088360047453</v>
      </c>
      <c r="Z2842" t="str">
        <f>HYPERLINK("Melting_Curves/meltCurve_sp_Q9UKT5_FBX4_HUMAN_.pdf", "Melting_Curves/meltCurve_sp_Q9UKT5_FBX4_HUMAN_.pdf")</f>
        <v>Melting_Curves/meltCurve_sp_Q9UKT5_FBX4_HUMAN_.pdf</v>
      </c>
      <c r="AA2842" t="s">
        <v>13689</v>
      </c>
      <c r="AB2842" t="s">
        <v>17266</v>
      </c>
    </row>
    <row r="2843" spans="1:28" x14ac:dyDescent="0.25">
      <c r="A2843" t="s">
        <v>2847</v>
      </c>
      <c r="B2843">
        <v>0.98018197421672304</v>
      </c>
      <c r="C2843">
        <v>1.00345408395622</v>
      </c>
      <c r="D2843">
        <v>0.90208410331179201</v>
      </c>
      <c r="E2843">
        <v>0.78318702785821404</v>
      </c>
      <c r="F2843">
        <v>0.63429493247667701</v>
      </c>
      <c r="G2843">
        <v>0.334060663470785</v>
      </c>
      <c r="H2843">
        <v>0.13408954448426399</v>
      </c>
      <c r="I2843">
        <v>8.5279598203467602E-2</v>
      </c>
      <c r="J2843">
        <v>7.5822403095748003E-2</v>
      </c>
      <c r="K2843">
        <v>5.3902844114075803E-2</v>
      </c>
      <c r="L2843">
        <v>844.805187530186</v>
      </c>
      <c r="M2843">
        <v>15.545253631091599</v>
      </c>
      <c r="N2843">
        <v>54.420531814277197</v>
      </c>
      <c r="O2843">
        <v>53.469403491753397</v>
      </c>
      <c r="P2843">
        <v>-7.1912502694729194E-2</v>
      </c>
      <c r="Q2843">
        <v>1.06868539038436E-2</v>
      </c>
      <c r="R2843">
        <v>0.99649979938519395</v>
      </c>
      <c r="S2843" t="s">
        <v>6472</v>
      </c>
      <c r="T2843" t="s">
        <v>7256</v>
      </c>
      <c r="U2843" t="s">
        <v>7256</v>
      </c>
      <c r="V2843" t="s">
        <v>7256</v>
      </c>
      <c r="W2843">
        <v>17</v>
      </c>
      <c r="X2843" t="s">
        <v>10099</v>
      </c>
      <c r="Y2843">
        <v>0.50280602592885637</v>
      </c>
      <c r="Z2843" t="str">
        <f>HYPERLINK("Melting_Curves/meltCurve_sp_Q9UKU7_ACAD8_HUMAN_.pdf", "Melting_Curves/meltCurve_sp_Q9UKU7_ACAD8_HUMAN_.pdf")</f>
        <v>Melting_Curves/meltCurve_sp_Q9UKU7_ACAD8_HUMAN_.pdf</v>
      </c>
      <c r="AA2843" t="s">
        <v>13690</v>
      </c>
      <c r="AB2843" t="s">
        <v>17267</v>
      </c>
    </row>
    <row r="2844" spans="1:28" x14ac:dyDescent="0.25">
      <c r="A2844" t="s">
        <v>2848</v>
      </c>
      <c r="B2844">
        <v>0.98018197421672304</v>
      </c>
      <c r="C2844">
        <v>0.97003894412924097</v>
      </c>
      <c r="D2844">
        <v>0.88339122601652198</v>
      </c>
      <c r="E2844">
        <v>0.783847081850921</v>
      </c>
      <c r="F2844">
        <v>0.64937918701840203</v>
      </c>
      <c r="G2844">
        <v>0.48165561365247</v>
      </c>
      <c r="H2844">
        <v>0.37231815235105198</v>
      </c>
      <c r="I2844">
        <v>0.38311849674781601</v>
      </c>
      <c r="J2844">
        <v>0.29755479428447501</v>
      </c>
      <c r="K2844">
        <v>0.167907119242032</v>
      </c>
      <c r="L2844">
        <v>505.70648871568199</v>
      </c>
      <c r="M2844">
        <v>9.0407663995061007</v>
      </c>
      <c r="N2844">
        <v>57.342526347731898</v>
      </c>
      <c r="O2844">
        <v>53.4030173229444</v>
      </c>
      <c r="P2844">
        <v>-3.81423179054814E-2</v>
      </c>
      <c r="Q2844">
        <v>9.9429560954296697E-2</v>
      </c>
      <c r="R2844">
        <v>0.98639083956104201</v>
      </c>
      <c r="S2844" t="s">
        <v>6473</v>
      </c>
      <c r="T2844" t="s">
        <v>7256</v>
      </c>
      <c r="U2844" t="s">
        <v>7256</v>
      </c>
      <c r="V2844" t="s">
        <v>7256</v>
      </c>
      <c r="W2844">
        <v>13</v>
      </c>
      <c r="X2844" t="s">
        <v>10100</v>
      </c>
      <c r="Y2844">
        <v>0.59691767183790245</v>
      </c>
      <c r="Z2844" t="str">
        <f>HYPERLINK("Melting_Curves/meltCurve_sp_Q9UKV8_AGO2_HUMAN_.pdf", "Melting_Curves/meltCurve_sp_Q9UKV8_AGO2_HUMAN_.pdf")</f>
        <v>Melting_Curves/meltCurve_sp_Q9UKV8_AGO2_HUMAN_.pdf</v>
      </c>
      <c r="AA2844" t="s">
        <v>13691</v>
      </c>
      <c r="AB2844" t="s">
        <v>17268</v>
      </c>
    </row>
    <row r="2845" spans="1:28" x14ac:dyDescent="0.25">
      <c r="A2845" t="s">
        <v>2849</v>
      </c>
      <c r="B2845">
        <v>0.98018197421672304</v>
      </c>
      <c r="C2845">
        <v>0.91999022033206501</v>
      </c>
      <c r="D2845">
        <v>0.837470752626436</v>
      </c>
      <c r="E2845">
        <v>0.76887994934854198</v>
      </c>
      <c r="F2845">
        <v>0.59505846086425396</v>
      </c>
      <c r="G2845">
        <v>0.36095691643371097</v>
      </c>
      <c r="H2845">
        <v>0.30581668389294298</v>
      </c>
      <c r="I2845">
        <v>0.24830849979276801</v>
      </c>
      <c r="J2845">
        <v>0.16833332620322899</v>
      </c>
      <c r="K2845">
        <v>0.25068164591651398</v>
      </c>
      <c r="L2845">
        <v>636.11626610573705</v>
      </c>
      <c r="M2845">
        <v>12.0173801712687</v>
      </c>
      <c r="N2845">
        <v>54.607710532367499</v>
      </c>
      <c r="O2845">
        <v>51.531183972570901</v>
      </c>
      <c r="P2845">
        <v>-4.93273382104134E-2</v>
      </c>
      <c r="Q2845">
        <v>0.154129449730422</v>
      </c>
      <c r="R2845">
        <v>0.98503615734288696</v>
      </c>
      <c r="S2845" t="s">
        <v>6474</v>
      </c>
      <c r="T2845" t="s">
        <v>7256</v>
      </c>
      <c r="U2845" t="s">
        <v>7256</v>
      </c>
      <c r="V2845" t="s">
        <v>7256</v>
      </c>
      <c r="W2845">
        <v>6</v>
      </c>
      <c r="X2845" t="s">
        <v>10101</v>
      </c>
      <c r="Y2845">
        <v>0.54295384922940415</v>
      </c>
      <c r="Z2845" t="str">
        <f>HYPERLINK("Melting_Curves/meltCurve_sp_Q9UKX7_NUP50_HUMAN_.pdf", "Melting_Curves/meltCurve_sp_Q9UKX7_NUP50_HUMAN_.pdf")</f>
        <v>Melting_Curves/meltCurve_sp_Q9UKX7_NUP50_HUMAN_.pdf</v>
      </c>
      <c r="AA2845" t="s">
        <v>13692</v>
      </c>
      <c r="AB2845" t="s">
        <v>17269</v>
      </c>
    </row>
    <row r="2846" spans="1:28" x14ac:dyDescent="0.25">
      <c r="A2846" t="s">
        <v>2850</v>
      </c>
      <c r="B2846">
        <v>0.98018197421672304</v>
      </c>
      <c r="C2846">
        <v>1.1015275226933201</v>
      </c>
      <c r="D2846">
        <v>1.01938569305366</v>
      </c>
      <c r="E2846">
        <v>0.91643844731358204</v>
      </c>
      <c r="F2846">
        <v>0.98252435591145004</v>
      </c>
      <c r="G2846">
        <v>0.83263079084632297</v>
      </c>
      <c r="H2846">
        <v>0.68975678071906099</v>
      </c>
      <c r="I2846">
        <v>0.77653096619250195</v>
      </c>
      <c r="J2846">
        <v>0.83900623423498599</v>
      </c>
      <c r="K2846">
        <v>1.25764839427847</v>
      </c>
      <c r="L2846">
        <v>1519.2234139448301</v>
      </c>
      <c r="M2846">
        <v>29.797806220357099</v>
      </c>
      <c r="O2846">
        <v>50.756433973433303</v>
      </c>
      <c r="P2846">
        <v>-1.66898850656188E-2</v>
      </c>
      <c r="Q2846">
        <v>0.88628514009169901</v>
      </c>
      <c r="R2846">
        <v>0.14440133866216101</v>
      </c>
      <c r="S2846" t="s">
        <v>6475</v>
      </c>
      <c r="T2846" t="s">
        <v>7256</v>
      </c>
      <c r="U2846" t="s">
        <v>7256</v>
      </c>
      <c r="V2846" t="s">
        <v>7256</v>
      </c>
      <c r="W2846">
        <v>8</v>
      </c>
      <c r="X2846" t="s">
        <v>10102</v>
      </c>
      <c r="Y2846">
        <v>0.92864601515369094</v>
      </c>
      <c r="Z2846" t="str">
        <f>HYPERLINK("Melting_Curves/meltCurve_sp_Q9UKY7_CDV3_HUMAN_.pdf", "Melting_Curves/meltCurve_sp_Q9UKY7_CDV3_HUMAN_.pdf")</f>
        <v>Melting_Curves/meltCurve_sp_Q9UKY7_CDV3_HUMAN_.pdf</v>
      </c>
      <c r="AA2846" t="s">
        <v>13693</v>
      </c>
      <c r="AB2846" t="s">
        <v>17270</v>
      </c>
    </row>
    <row r="2847" spans="1:28" x14ac:dyDescent="0.25">
      <c r="A2847" t="s">
        <v>2851</v>
      </c>
      <c r="B2847">
        <v>0.98018197421672304</v>
      </c>
      <c r="C2847">
        <v>0.95566743740757099</v>
      </c>
      <c r="D2847">
        <v>0.87287266352211101</v>
      </c>
      <c r="E2847">
        <v>0.403927354724751</v>
      </c>
      <c r="F2847">
        <v>0.132509331622787</v>
      </c>
      <c r="G2847">
        <v>8.7519968056718897E-2</v>
      </c>
      <c r="H2847">
        <v>5.58273952317472E-2</v>
      </c>
      <c r="I2847">
        <v>4.3019778401755901E-2</v>
      </c>
      <c r="J2847">
        <v>4.5114821018506397E-2</v>
      </c>
      <c r="K2847">
        <v>4.1224702966805402E-2</v>
      </c>
      <c r="L2847">
        <v>1369.8892247410299</v>
      </c>
      <c r="M2847">
        <v>27.940005036569499</v>
      </c>
      <c r="N2847">
        <v>49.2031881753541</v>
      </c>
      <c r="O2847">
        <v>48.780567893073801</v>
      </c>
      <c r="P2847">
        <v>-0.13647540259316501</v>
      </c>
      <c r="Q2847">
        <v>4.6916412388783801E-2</v>
      </c>
      <c r="R2847">
        <v>0.998657696997726</v>
      </c>
      <c r="S2847" t="s">
        <v>6476</v>
      </c>
      <c r="T2847" t="s">
        <v>7256</v>
      </c>
      <c r="U2847" t="s">
        <v>7256</v>
      </c>
      <c r="V2847" t="s">
        <v>7256</v>
      </c>
      <c r="W2847">
        <v>36</v>
      </c>
      <c r="X2847" t="s">
        <v>10103</v>
      </c>
      <c r="Y2847">
        <v>0.34050409940705911</v>
      </c>
      <c r="Z2847" t="str">
        <f>HYPERLINK("Melting_Curves/meltCurve_sp_Q9UL12_SARDH_HUMAN_.pdf", "Melting_Curves/meltCurve_sp_Q9UL12_SARDH_HUMAN_.pdf")</f>
        <v>Melting_Curves/meltCurve_sp_Q9UL12_SARDH_HUMAN_.pdf</v>
      </c>
      <c r="AA2847" t="s">
        <v>13694</v>
      </c>
      <c r="AB2847" t="s">
        <v>17271</v>
      </c>
    </row>
    <row r="2848" spans="1:28" x14ac:dyDescent="0.25">
      <c r="A2848" t="s">
        <v>2852</v>
      </c>
      <c r="B2848">
        <v>0.98018197421672304</v>
      </c>
      <c r="C2848">
        <v>0.91444808298481395</v>
      </c>
      <c r="D2848">
        <v>0.92118961197865101</v>
      </c>
      <c r="E2848">
        <v>0.67876700669587597</v>
      </c>
      <c r="F2848">
        <v>0.37401541632555302</v>
      </c>
      <c r="G2848">
        <v>0.17253883780353099</v>
      </c>
      <c r="H2848">
        <v>8.8046475342825101E-2</v>
      </c>
      <c r="I2848">
        <v>6.6866389051471894E-2</v>
      </c>
      <c r="J2848">
        <v>6.18386724035642E-2</v>
      </c>
      <c r="K2848">
        <v>3.26838120637147E-2</v>
      </c>
      <c r="L2848">
        <v>995.10454555542799</v>
      </c>
      <c r="M2848">
        <v>19.314089004768402</v>
      </c>
      <c r="N2848">
        <v>51.747934363484298</v>
      </c>
      <c r="O2848">
        <v>50.979416877853502</v>
      </c>
      <c r="P2848">
        <v>-9.0892200353730995E-2</v>
      </c>
      <c r="Q2848">
        <v>4.03982662959654E-2</v>
      </c>
      <c r="R2848">
        <v>0.99595232271575196</v>
      </c>
      <c r="S2848" t="s">
        <v>6477</v>
      </c>
      <c r="T2848" t="s">
        <v>7256</v>
      </c>
      <c r="U2848" t="s">
        <v>7256</v>
      </c>
      <c r="V2848" t="s">
        <v>7256</v>
      </c>
      <c r="W2848">
        <v>5</v>
      </c>
      <c r="X2848" t="s">
        <v>10104</v>
      </c>
      <c r="Y2848">
        <v>0.42312983517857411</v>
      </c>
      <c r="Z2848" t="str">
        <f>HYPERLINK("Melting_Curves/meltCurve_sp_Q9UL25_RAB21_HUMAN_.pdf", "Melting_Curves/meltCurve_sp_Q9UL25_RAB21_HUMAN_.pdf")</f>
        <v>Melting_Curves/meltCurve_sp_Q9UL25_RAB21_HUMAN_.pdf</v>
      </c>
      <c r="AA2848" t="s">
        <v>13695</v>
      </c>
      <c r="AB2848" t="s">
        <v>17272</v>
      </c>
    </row>
    <row r="2849" spans="1:28" x14ac:dyDescent="0.25">
      <c r="A2849" t="s">
        <v>2853</v>
      </c>
      <c r="B2849">
        <v>0.98018197421672304</v>
      </c>
      <c r="C2849">
        <v>1.02688374326693</v>
      </c>
      <c r="D2849">
        <v>0.90139426226395003</v>
      </c>
      <c r="E2849">
        <v>0.745658548585445</v>
      </c>
      <c r="F2849">
        <v>0.52053352921109297</v>
      </c>
      <c r="G2849">
        <v>0.26438176008868097</v>
      </c>
      <c r="H2849">
        <v>0.13503210426697199</v>
      </c>
      <c r="I2849">
        <v>0.113973529132949</v>
      </c>
      <c r="J2849">
        <v>0.192672988790863</v>
      </c>
      <c r="K2849">
        <v>9.2241616298888204E-2</v>
      </c>
      <c r="L2849">
        <v>988.60054468390501</v>
      </c>
      <c r="M2849">
        <v>18.866010618504099</v>
      </c>
      <c r="N2849">
        <v>53.083725069366103</v>
      </c>
      <c r="O2849">
        <v>51.823038511829601</v>
      </c>
      <c r="P2849">
        <v>-8.1212817788059694E-2</v>
      </c>
      <c r="Q2849">
        <v>0.10770264287841801</v>
      </c>
      <c r="R2849">
        <v>0.99203860217981299</v>
      </c>
      <c r="S2849" t="s">
        <v>6478</v>
      </c>
      <c r="T2849" t="s">
        <v>7256</v>
      </c>
      <c r="U2849" t="s">
        <v>7256</v>
      </c>
      <c r="V2849" t="s">
        <v>7256</v>
      </c>
      <c r="W2849">
        <v>2</v>
      </c>
      <c r="X2849" t="s">
        <v>10105</v>
      </c>
      <c r="Y2849">
        <v>0.49018979383928429</v>
      </c>
      <c r="Z2849" t="str">
        <f>HYPERLINK("Melting_Curves/meltCurve_sp_Q9UL26_RB22A_HUMAN_.pdf", "Melting_Curves/meltCurve_sp_Q9UL26_RB22A_HUMAN_.pdf")</f>
        <v>Melting_Curves/meltCurve_sp_Q9UL26_RB22A_HUMAN_.pdf</v>
      </c>
      <c r="AA2849" t="s">
        <v>13696</v>
      </c>
      <c r="AB2849" t="s">
        <v>17273</v>
      </c>
    </row>
    <row r="2850" spans="1:28" x14ac:dyDescent="0.25">
      <c r="A2850" t="s">
        <v>2854</v>
      </c>
      <c r="B2850">
        <v>0.98018197421672304</v>
      </c>
      <c r="C2850">
        <v>2.0540327002985501</v>
      </c>
      <c r="D2850">
        <v>1.1506810871527799</v>
      </c>
      <c r="E2850">
        <v>0.96131054058061105</v>
      </c>
      <c r="F2850">
        <v>0.58039542221356599</v>
      </c>
      <c r="G2850">
        <v>0.16082119272933401</v>
      </c>
      <c r="H2850">
        <v>5.1650266831325599E-2</v>
      </c>
      <c r="I2850">
        <v>3.5217764470827299E-2</v>
      </c>
      <c r="J2850">
        <v>3.29311859521247E-2</v>
      </c>
      <c r="K2850">
        <v>1.30988757157575E-2</v>
      </c>
      <c r="L2850">
        <v>1960.4401601382999</v>
      </c>
      <c r="M2850">
        <v>36.634672155593798</v>
      </c>
      <c r="N2850">
        <v>53.621075193287503</v>
      </c>
      <c r="O2850">
        <v>53.354539319490897</v>
      </c>
      <c r="P2850">
        <v>-0.16556138310933799</v>
      </c>
      <c r="Q2850">
        <v>3.5511979382657301E-2</v>
      </c>
      <c r="R2850">
        <v>0.72718463206038197</v>
      </c>
      <c r="S2850" t="s">
        <v>6479</v>
      </c>
      <c r="T2850" t="s">
        <v>7256</v>
      </c>
      <c r="U2850" t="s">
        <v>7256</v>
      </c>
      <c r="V2850" t="s">
        <v>7256</v>
      </c>
      <c r="W2850">
        <v>1</v>
      </c>
      <c r="X2850" t="s">
        <v>10106</v>
      </c>
      <c r="Y2850">
        <v>0.47420369613815511</v>
      </c>
      <c r="Z2850" t="str">
        <f>HYPERLINK("Melting_Curves/meltCurve_sp_Q9UL42_PNMA2_HUMAN_.pdf", "Melting_Curves/meltCurve_sp_Q9UL42_PNMA2_HUMAN_.pdf")</f>
        <v>Melting_Curves/meltCurve_sp_Q9UL42_PNMA2_HUMAN_.pdf</v>
      </c>
      <c r="AA2850" t="s">
        <v>13697</v>
      </c>
      <c r="AB2850" t="s">
        <v>17274</v>
      </c>
    </row>
    <row r="2851" spans="1:28" x14ac:dyDescent="0.25">
      <c r="A2851" t="s">
        <v>2855</v>
      </c>
      <c r="B2851">
        <v>0.98018197421672304</v>
      </c>
      <c r="C2851">
        <v>0.94289716356844</v>
      </c>
      <c r="D2851">
        <v>0.88947910940771802</v>
      </c>
      <c r="E2851">
        <v>0.82185475287571197</v>
      </c>
      <c r="F2851">
        <v>0.73800005290559501</v>
      </c>
      <c r="G2851">
        <v>0.58780700931747099</v>
      </c>
      <c r="H2851">
        <v>0.368437621271822</v>
      </c>
      <c r="I2851">
        <v>0.23474245017485201</v>
      </c>
      <c r="J2851">
        <v>0.11533156574382999</v>
      </c>
      <c r="K2851">
        <v>7.7882265983059099E-2</v>
      </c>
      <c r="L2851">
        <v>669.397209985774</v>
      </c>
      <c r="M2851">
        <v>11.611037810851</v>
      </c>
      <c r="N2851">
        <v>57.651790237168399</v>
      </c>
      <c r="O2851">
        <v>56.021311274006003</v>
      </c>
      <c r="P2851">
        <v>-5.1829461427335501E-2</v>
      </c>
      <c r="Q2851">
        <v>0</v>
      </c>
      <c r="R2851">
        <v>0.98746803737961597</v>
      </c>
      <c r="S2851" t="s">
        <v>6480</v>
      </c>
      <c r="T2851" t="s">
        <v>7256</v>
      </c>
      <c r="U2851" t="s">
        <v>7256</v>
      </c>
      <c r="V2851" t="s">
        <v>7256</v>
      </c>
      <c r="W2851">
        <v>13</v>
      </c>
      <c r="X2851" t="s">
        <v>10107</v>
      </c>
      <c r="Y2851">
        <v>0.60236166261923973</v>
      </c>
      <c r="Z2851" t="str">
        <f>HYPERLINK("Melting_Curves/meltCurve_sp_Q9UL46_PSME2_HUMAN_.pdf", "Melting_Curves/meltCurve_sp_Q9UL46_PSME2_HUMAN_.pdf")</f>
        <v>Melting_Curves/meltCurve_sp_Q9UL46_PSME2_HUMAN_.pdf</v>
      </c>
      <c r="AA2851" t="s">
        <v>13698</v>
      </c>
      <c r="AB2851" t="s">
        <v>17275</v>
      </c>
    </row>
    <row r="2852" spans="1:28" x14ac:dyDescent="0.25">
      <c r="A2852" t="s">
        <v>2856</v>
      </c>
      <c r="B2852">
        <v>0.98018197421672304</v>
      </c>
      <c r="C2852">
        <v>1.00300524199827</v>
      </c>
      <c r="D2852">
        <v>0.93167474641593695</v>
      </c>
      <c r="E2852">
        <v>0.80752515831493299</v>
      </c>
      <c r="F2852">
        <v>0.70209835336679505</v>
      </c>
      <c r="G2852">
        <v>0.55806014952854199</v>
      </c>
      <c r="H2852">
        <v>0.40943574811282102</v>
      </c>
      <c r="I2852">
        <v>0.36860333210035401</v>
      </c>
      <c r="J2852">
        <v>0.32819137773943102</v>
      </c>
      <c r="K2852">
        <v>0.26261604133468902</v>
      </c>
      <c r="L2852">
        <v>614.01791642290698</v>
      </c>
      <c r="M2852">
        <v>11.054046999811799</v>
      </c>
      <c r="N2852">
        <v>58.3806589993656</v>
      </c>
      <c r="O2852">
        <v>53.821900192290897</v>
      </c>
      <c r="P2852">
        <v>-4.0698516170069803E-2</v>
      </c>
      <c r="Q2852">
        <v>0.20762173485247401</v>
      </c>
      <c r="R2852">
        <v>0.99682096283823096</v>
      </c>
      <c r="S2852" t="s">
        <v>6481</v>
      </c>
      <c r="T2852" t="s">
        <v>7256</v>
      </c>
      <c r="U2852" t="s">
        <v>7256</v>
      </c>
      <c r="V2852" t="s">
        <v>7256</v>
      </c>
      <c r="W2852">
        <v>15</v>
      </c>
      <c r="X2852" t="s">
        <v>10108</v>
      </c>
      <c r="Y2852">
        <v>0.63621574468401265</v>
      </c>
      <c r="Z2852" t="str">
        <f>HYPERLINK("Melting_Curves/meltCurve_sp_Q9ULA0_DNPEP_HUMAN_.pdf", "Melting_Curves/meltCurve_sp_Q9ULA0_DNPEP_HUMAN_.pdf")</f>
        <v>Melting_Curves/meltCurve_sp_Q9ULA0_DNPEP_HUMAN_.pdf</v>
      </c>
      <c r="AA2852" t="s">
        <v>13699</v>
      </c>
      <c r="AB2852" t="s">
        <v>17276</v>
      </c>
    </row>
    <row r="2853" spans="1:28" x14ac:dyDescent="0.25">
      <c r="A2853" t="s">
        <v>2857</v>
      </c>
      <c r="B2853">
        <v>0.98018197421672304</v>
      </c>
      <c r="C2853">
        <v>0.95728171539851503</v>
      </c>
      <c r="D2853">
        <v>0.89791485355532996</v>
      </c>
      <c r="E2853">
        <v>0.74117222599969101</v>
      </c>
      <c r="F2853">
        <v>0.53500838869126099</v>
      </c>
      <c r="G2853">
        <v>0.29403608585402802</v>
      </c>
      <c r="H2853">
        <v>0.108223085089695</v>
      </c>
      <c r="I2853">
        <v>7.9634968504565903E-2</v>
      </c>
      <c r="J2853">
        <v>9.1009835980392695E-2</v>
      </c>
      <c r="K2853">
        <v>7.25136147646816E-2</v>
      </c>
      <c r="L2853">
        <v>825.08909691932399</v>
      </c>
      <c r="M2853">
        <v>15.531997007867201</v>
      </c>
      <c r="N2853">
        <v>53.3538117133265</v>
      </c>
      <c r="O2853">
        <v>52.264681843350999</v>
      </c>
      <c r="P2853">
        <v>-7.1876262958052203E-2</v>
      </c>
      <c r="Q2853">
        <v>3.2639784864386602E-2</v>
      </c>
      <c r="R2853">
        <v>0.99713699159899205</v>
      </c>
      <c r="S2853" t="s">
        <v>6482</v>
      </c>
      <c r="T2853" t="s">
        <v>7256</v>
      </c>
      <c r="U2853" t="s">
        <v>7256</v>
      </c>
      <c r="V2853" t="s">
        <v>7256</v>
      </c>
      <c r="W2853">
        <v>3</v>
      </c>
      <c r="X2853" t="s">
        <v>10109</v>
      </c>
      <c r="Y2853">
        <v>0.47548470149242822</v>
      </c>
      <c r="Z2853" t="str">
        <f>HYPERLINK("Melting_Curves/meltCurve_sp_Q9ULC4_MCTS1_HUMAN_.pdf", "Melting_Curves/meltCurve_sp_Q9ULC4_MCTS1_HUMAN_.pdf")</f>
        <v>Melting_Curves/meltCurve_sp_Q9ULC4_MCTS1_HUMAN_.pdf</v>
      </c>
      <c r="AA2853" t="s">
        <v>13700</v>
      </c>
      <c r="AB2853" t="s">
        <v>17277</v>
      </c>
    </row>
    <row r="2854" spans="1:28" x14ac:dyDescent="0.25">
      <c r="A2854" t="s">
        <v>2858</v>
      </c>
      <c r="B2854">
        <v>0.98018197421672304</v>
      </c>
      <c r="C2854">
        <v>0.90722294771881196</v>
      </c>
      <c r="D2854">
        <v>0.63358132669350697</v>
      </c>
      <c r="E2854">
        <v>0.35522705391458598</v>
      </c>
      <c r="F2854">
        <v>0.22807018144685001</v>
      </c>
      <c r="G2854">
        <v>0.124626698659849</v>
      </c>
      <c r="H2854">
        <v>7.8267564968707903E-2</v>
      </c>
      <c r="I2854">
        <v>8.2780601669541598E-2</v>
      </c>
      <c r="J2854">
        <v>9.8536469204940996E-2</v>
      </c>
      <c r="K2854">
        <v>5.7472362038107898E-2</v>
      </c>
      <c r="L2854">
        <v>817.39569536939302</v>
      </c>
      <c r="M2854">
        <v>17.194078984169199</v>
      </c>
      <c r="N2854">
        <v>47.977955811726801</v>
      </c>
      <c r="O2854">
        <v>46.910314887268001</v>
      </c>
      <c r="P2854">
        <v>-8.4973886949570795E-2</v>
      </c>
      <c r="Q2854">
        <v>7.2723927745169295E-2</v>
      </c>
      <c r="R2854">
        <v>0.99674673084505305</v>
      </c>
      <c r="S2854" t="s">
        <v>6483</v>
      </c>
      <c r="T2854" t="s">
        <v>7256</v>
      </c>
      <c r="U2854" t="s">
        <v>7256</v>
      </c>
      <c r="V2854" t="s">
        <v>7256</v>
      </c>
      <c r="W2854">
        <v>5</v>
      </c>
      <c r="X2854" t="s">
        <v>10110</v>
      </c>
      <c r="Y2854">
        <v>0.32417644757687758</v>
      </c>
      <c r="Z2854" t="str">
        <f>HYPERLINK("Melting_Curves/meltCurve_sp_Q9ULC5_ACSL5_HUMAN_.pdf", "Melting_Curves/meltCurve_sp_Q9ULC5_ACSL5_HUMAN_.pdf")</f>
        <v>Melting_Curves/meltCurve_sp_Q9ULC5_ACSL5_HUMAN_.pdf</v>
      </c>
      <c r="AA2854" t="s">
        <v>13701</v>
      </c>
      <c r="AB2854" t="s">
        <v>17278</v>
      </c>
    </row>
    <row r="2855" spans="1:28" x14ac:dyDescent="0.25">
      <c r="A2855" t="s">
        <v>2859</v>
      </c>
      <c r="B2855">
        <v>0.98018197421672304</v>
      </c>
      <c r="C2855">
        <v>0.96955067447480803</v>
      </c>
      <c r="D2855">
        <v>0.57223189773164396</v>
      </c>
      <c r="E2855">
        <v>0.21983152047654</v>
      </c>
      <c r="F2855">
        <v>0.12703795245392699</v>
      </c>
      <c r="G2855">
        <v>8.7632177191430405E-2</v>
      </c>
      <c r="H2855">
        <v>4.43657891301696E-2</v>
      </c>
      <c r="I2855">
        <v>4.0831462066738398E-2</v>
      </c>
      <c r="J2855">
        <v>4.8808358246669001E-2</v>
      </c>
      <c r="K2855">
        <v>3.05312562595372E-2</v>
      </c>
      <c r="L2855">
        <v>1178.77669311618</v>
      </c>
      <c r="M2855">
        <v>25.266966630856899</v>
      </c>
      <c r="N2855">
        <v>46.866221900154002</v>
      </c>
      <c r="O2855">
        <v>46.363593170015399</v>
      </c>
      <c r="P2855">
        <v>-0.12884371259032701</v>
      </c>
      <c r="Q2855">
        <v>5.4325707788728902E-2</v>
      </c>
      <c r="R2855">
        <v>0.99382825714636402</v>
      </c>
      <c r="S2855" t="s">
        <v>6484</v>
      </c>
      <c r="T2855" t="s">
        <v>7256</v>
      </c>
      <c r="U2855" t="s">
        <v>7256</v>
      </c>
      <c r="V2855" t="s">
        <v>7256</v>
      </c>
      <c r="W2855">
        <v>14</v>
      </c>
      <c r="X2855" t="s">
        <v>10111</v>
      </c>
      <c r="Y2855">
        <v>0.27235507080587212</v>
      </c>
      <c r="Z2855" t="str">
        <f>HYPERLINK("Melting_Curves/meltCurve_sp_Q9ULD0_OGDHL_HUMAN_.pdf", "Melting_Curves/meltCurve_sp_Q9ULD0_OGDHL_HUMAN_.pdf")</f>
        <v>Melting_Curves/meltCurve_sp_Q9ULD0_OGDHL_HUMAN_.pdf</v>
      </c>
      <c r="AA2855" t="s">
        <v>13702</v>
      </c>
      <c r="AB2855" t="s">
        <v>17279</v>
      </c>
    </row>
    <row r="2856" spans="1:28" x14ac:dyDescent="0.25">
      <c r="A2856" t="s">
        <v>2860</v>
      </c>
      <c r="B2856">
        <v>0.98018197421672304</v>
      </c>
      <c r="C2856">
        <v>0.84507821504714098</v>
      </c>
      <c r="D2856">
        <v>0.85980586698847306</v>
      </c>
      <c r="E2856">
        <v>0.71808727766379399</v>
      </c>
      <c r="F2856">
        <v>0.54345142145867298</v>
      </c>
      <c r="G2856">
        <v>0.21495889408876601</v>
      </c>
      <c r="H2856">
        <v>0.132530193938729</v>
      </c>
      <c r="I2856">
        <v>0.115509931974544</v>
      </c>
      <c r="J2856">
        <v>5.40031771337365E-2</v>
      </c>
      <c r="K2856">
        <v>9.52131147235665E-2</v>
      </c>
      <c r="L2856">
        <v>702.02312963501697</v>
      </c>
      <c r="M2856">
        <v>13.310944396038501</v>
      </c>
      <c r="N2856">
        <v>52.872957889348498</v>
      </c>
      <c r="O2856">
        <v>51.592603465636401</v>
      </c>
      <c r="P2856">
        <v>-6.3451356648582799E-2</v>
      </c>
      <c r="Q2856">
        <v>1.642073899882E-2</v>
      </c>
      <c r="R2856">
        <v>0.980582481532977</v>
      </c>
      <c r="S2856" t="s">
        <v>6485</v>
      </c>
      <c r="T2856" t="s">
        <v>7256</v>
      </c>
      <c r="U2856" t="s">
        <v>7256</v>
      </c>
      <c r="V2856" t="s">
        <v>7256</v>
      </c>
      <c r="W2856">
        <v>2</v>
      </c>
      <c r="X2856" t="s">
        <v>10112</v>
      </c>
      <c r="Y2856">
        <v>0.45928342056122351</v>
      </c>
      <c r="Z2856" t="str">
        <f>HYPERLINK("Melting_Curves/meltCurve_sp_Q9ULD2_2_MTUS1_HUMAN_.pdf", "Melting_Curves/meltCurve_sp_Q9ULD2_2_MTUS1_HUMAN_.pdf")</f>
        <v>Melting_Curves/meltCurve_sp_Q9ULD2_2_MTUS1_HUMAN_.pdf</v>
      </c>
      <c r="AA2856" t="s">
        <v>13703</v>
      </c>
      <c r="AB2856" t="s">
        <v>17280</v>
      </c>
    </row>
    <row r="2857" spans="1:28" x14ac:dyDescent="0.25">
      <c r="A2857" t="s">
        <v>2861</v>
      </c>
      <c r="B2857">
        <v>0.98018197421672304</v>
      </c>
      <c r="C2857">
        <v>0.97455511056071098</v>
      </c>
      <c r="D2857">
        <v>0.930464461722879</v>
      </c>
      <c r="E2857">
        <v>0.617537552772359</v>
      </c>
      <c r="F2857">
        <v>0.397055694553408</v>
      </c>
      <c r="G2857">
        <v>0.24485150611152201</v>
      </c>
      <c r="H2857">
        <v>0.24554533599030201</v>
      </c>
      <c r="I2857">
        <v>0.203980760449365</v>
      </c>
      <c r="J2857">
        <v>0.263081436145291</v>
      </c>
      <c r="K2857">
        <v>0.36430407064466602</v>
      </c>
      <c r="L2857">
        <v>1380.2943999608899</v>
      </c>
      <c r="M2857">
        <v>27.673125623396</v>
      </c>
      <c r="N2857">
        <v>51.245402736185703</v>
      </c>
      <c r="O2857">
        <v>49.620235006342199</v>
      </c>
      <c r="P2857">
        <v>-0.103036020036086</v>
      </c>
      <c r="Q2857">
        <v>0.26099780481525597</v>
      </c>
      <c r="R2857">
        <v>0.98228734211844004</v>
      </c>
      <c r="S2857" t="s">
        <v>6486</v>
      </c>
      <c r="T2857" t="s">
        <v>7256</v>
      </c>
      <c r="U2857" t="s">
        <v>7256</v>
      </c>
      <c r="V2857" t="s">
        <v>7256</v>
      </c>
      <c r="W2857">
        <v>4</v>
      </c>
      <c r="X2857" t="s">
        <v>10113</v>
      </c>
      <c r="Y2857">
        <v>0.50971175608239294</v>
      </c>
      <c r="Z2857" t="str">
        <f>HYPERLINK("Melting_Curves/meltCurve_sp_Q9ULH7_4_MKL2_HUMAN_.pdf", "Melting_Curves/meltCurve_sp_Q9ULH7_4_MKL2_HUMAN_.pdf")</f>
        <v>Melting_Curves/meltCurve_sp_Q9ULH7_4_MKL2_HUMAN_.pdf</v>
      </c>
      <c r="AA2857" t="s">
        <v>13704</v>
      </c>
      <c r="AB2857" t="s">
        <v>17281</v>
      </c>
    </row>
    <row r="2858" spans="1:28" x14ac:dyDescent="0.25">
      <c r="A2858" t="s">
        <v>2862</v>
      </c>
      <c r="B2858">
        <v>0.98018197421672304</v>
      </c>
      <c r="C2858">
        <v>0.85829299527918701</v>
      </c>
      <c r="D2858">
        <v>0.85920258536295702</v>
      </c>
      <c r="E2858">
        <v>0.42456015825009602</v>
      </c>
      <c r="F2858">
        <v>0.110234807357791</v>
      </c>
      <c r="G2858">
        <v>7.4266423386559297E-2</v>
      </c>
      <c r="H2858">
        <v>5.2557903001112502E-2</v>
      </c>
      <c r="I2858">
        <v>3.9765157073044802E-2</v>
      </c>
      <c r="J2858">
        <v>5.5300088897275897E-2</v>
      </c>
      <c r="K2858">
        <v>6.4338842933697099E-2</v>
      </c>
      <c r="L2858">
        <v>1239.31902826706</v>
      </c>
      <c r="M2858">
        <v>25.323929973090198</v>
      </c>
      <c r="N2858">
        <v>49.117429435391401</v>
      </c>
      <c r="O2858">
        <v>48.636555448886497</v>
      </c>
      <c r="P2858">
        <v>-0.124439969599848</v>
      </c>
      <c r="Q2858">
        <v>4.4026322970575002E-2</v>
      </c>
      <c r="R2858">
        <v>0.98710529331777397</v>
      </c>
      <c r="S2858" t="s">
        <v>6487</v>
      </c>
      <c r="T2858" t="s">
        <v>7256</v>
      </c>
      <c r="U2858" t="s">
        <v>7256</v>
      </c>
      <c r="V2858" t="s">
        <v>7256</v>
      </c>
      <c r="W2858">
        <v>10</v>
      </c>
      <c r="X2858" t="s">
        <v>10114</v>
      </c>
      <c r="Y2858">
        <v>0.33710957486250243</v>
      </c>
      <c r="Z2858" t="str">
        <f>HYPERLINK("Melting_Curves/meltCurve_sp_Q9ULP9_2_TBC24_HUMAN_.pdf", "Melting_Curves/meltCurve_sp_Q9ULP9_2_TBC24_HUMAN_.pdf")</f>
        <v>Melting_Curves/meltCurve_sp_Q9ULP9_2_TBC24_HUMAN_.pdf</v>
      </c>
      <c r="AA2858" t="s">
        <v>13705</v>
      </c>
      <c r="AB2858" t="s">
        <v>17282</v>
      </c>
    </row>
    <row r="2859" spans="1:28" x14ac:dyDescent="0.25">
      <c r="A2859" t="s">
        <v>2863</v>
      </c>
      <c r="B2859">
        <v>0.98018197421672304</v>
      </c>
      <c r="C2859">
        <v>0.92172944040429605</v>
      </c>
      <c r="D2859">
        <v>0.81450582077206601</v>
      </c>
      <c r="E2859">
        <v>0.53808010660169903</v>
      </c>
      <c r="F2859">
        <v>0.24538157017614201</v>
      </c>
      <c r="G2859">
        <v>0.13411626108588801</v>
      </c>
      <c r="H2859">
        <v>9.5762211486351098E-2</v>
      </c>
      <c r="I2859">
        <v>7.9829624799743204E-2</v>
      </c>
      <c r="J2859">
        <v>0.109099173187204</v>
      </c>
      <c r="K2859">
        <v>8.56912224151017E-2</v>
      </c>
      <c r="L2859">
        <v>947.89926829256501</v>
      </c>
      <c r="M2859">
        <v>19.1412838404285</v>
      </c>
      <c r="N2859">
        <v>49.953005674702403</v>
      </c>
      <c r="O2859">
        <v>48.990175209224297</v>
      </c>
      <c r="P2859">
        <v>-9.02346796648891E-2</v>
      </c>
      <c r="Q2859">
        <v>7.6249418252425302E-2</v>
      </c>
      <c r="R2859">
        <v>0.99581637016941504</v>
      </c>
      <c r="S2859" t="s">
        <v>6488</v>
      </c>
      <c r="T2859" t="s">
        <v>7256</v>
      </c>
      <c r="U2859" t="s">
        <v>7256</v>
      </c>
      <c r="V2859" t="s">
        <v>7256</v>
      </c>
      <c r="W2859">
        <v>16</v>
      </c>
      <c r="X2859" t="s">
        <v>10115</v>
      </c>
      <c r="Y2859">
        <v>0.38348323287563529</v>
      </c>
      <c r="Z2859" t="str">
        <f>HYPERLINK("Melting_Curves/meltCurve_sp_Q9ULT8_HECD1_HUMAN_.pdf", "Melting_Curves/meltCurve_sp_Q9ULT8_HECD1_HUMAN_.pdf")</f>
        <v>Melting_Curves/meltCurve_sp_Q9ULT8_HECD1_HUMAN_.pdf</v>
      </c>
      <c r="AA2859" t="s">
        <v>13706</v>
      </c>
      <c r="AB2859" t="s">
        <v>17283</v>
      </c>
    </row>
    <row r="2860" spans="1:28" x14ac:dyDescent="0.25">
      <c r="A2860" t="s">
        <v>2864</v>
      </c>
      <c r="B2860">
        <v>0.98018197421672304</v>
      </c>
      <c r="C2860">
        <v>0.96681851756591397</v>
      </c>
      <c r="D2860">
        <v>0.91734890248592504</v>
      </c>
      <c r="E2860">
        <v>0.79007313129492096</v>
      </c>
      <c r="F2860">
        <v>0.57617786087697798</v>
      </c>
      <c r="G2860">
        <v>0.25142090204100898</v>
      </c>
      <c r="H2860">
        <v>8.2676507469205907E-2</v>
      </c>
      <c r="I2860">
        <v>6.7147765875336204E-2</v>
      </c>
      <c r="J2860">
        <v>7.7596948481430894E-2</v>
      </c>
      <c r="K2860">
        <v>6.7214537838558894E-2</v>
      </c>
      <c r="L2860">
        <v>1028.1888728005199</v>
      </c>
      <c r="M2860">
        <v>19.2651770842586</v>
      </c>
      <c r="N2860">
        <v>53.596610798916899</v>
      </c>
      <c r="O2860">
        <v>52.805260624163203</v>
      </c>
      <c r="P2860">
        <v>-8.7649516001948605E-2</v>
      </c>
      <c r="Q2860">
        <v>3.9057716293630099E-2</v>
      </c>
      <c r="R2860">
        <v>0.99644445473631205</v>
      </c>
      <c r="S2860" t="s">
        <v>6489</v>
      </c>
      <c r="T2860" t="s">
        <v>7256</v>
      </c>
      <c r="U2860" t="s">
        <v>7256</v>
      </c>
      <c r="V2860" t="s">
        <v>7256</v>
      </c>
      <c r="W2860">
        <v>16</v>
      </c>
      <c r="X2860" t="s">
        <v>10116</v>
      </c>
      <c r="Y2860">
        <v>0.48133842557956402</v>
      </c>
      <c r="Z2860" t="str">
        <f>HYPERLINK("Melting_Curves/meltCurve_sp_Q9ULV4_COR1C_HUMAN_.pdf", "Melting_Curves/meltCurve_sp_Q9ULV4_COR1C_HUMAN_.pdf")</f>
        <v>Melting_Curves/meltCurve_sp_Q9ULV4_COR1C_HUMAN_.pdf</v>
      </c>
      <c r="AA2860" t="s">
        <v>13707</v>
      </c>
      <c r="AB2860" t="s">
        <v>17284</v>
      </c>
    </row>
    <row r="2861" spans="1:28" x14ac:dyDescent="0.25">
      <c r="A2861" t="s">
        <v>2865</v>
      </c>
      <c r="B2861">
        <v>0.98018197421672304</v>
      </c>
      <c r="C2861">
        <v>0.83605451623211502</v>
      </c>
      <c r="D2861">
        <v>0.84537933455466496</v>
      </c>
      <c r="E2861">
        <v>0.70772420889363497</v>
      </c>
      <c r="F2861">
        <v>0.62935781994617201</v>
      </c>
      <c r="G2861">
        <v>0.40464995109894902</v>
      </c>
      <c r="H2861">
        <v>0.30413627544370098</v>
      </c>
      <c r="I2861">
        <v>0.27618238072407397</v>
      </c>
      <c r="J2861">
        <v>0.31031639661397298</v>
      </c>
      <c r="K2861">
        <v>0.354494018830461</v>
      </c>
      <c r="L2861">
        <v>558.22785522177105</v>
      </c>
      <c r="M2861">
        <v>10.822888672626499</v>
      </c>
      <c r="N2861">
        <v>54.917972651843598</v>
      </c>
      <c r="O2861">
        <v>49.911220652258102</v>
      </c>
      <c r="P2861">
        <v>-4.1155761949518602E-2</v>
      </c>
      <c r="Q2861">
        <v>0.24109101866681901</v>
      </c>
      <c r="R2861">
        <v>0.96140704152061096</v>
      </c>
      <c r="S2861" t="s">
        <v>6490</v>
      </c>
      <c r="T2861" t="s">
        <v>7256</v>
      </c>
      <c r="U2861" t="s">
        <v>7256</v>
      </c>
      <c r="V2861" t="s">
        <v>7256</v>
      </c>
      <c r="W2861">
        <v>2</v>
      </c>
      <c r="X2861" t="s">
        <v>10117</v>
      </c>
      <c r="Y2861">
        <v>0.56127197931779216</v>
      </c>
      <c r="Z2861" t="str">
        <f>HYPERLINK("Melting_Curves/meltCurve_sp_Q9UM22_2_EPDR1_HUMAN_.pdf", "Melting_Curves/meltCurve_sp_Q9UM22_2_EPDR1_HUMAN_.pdf")</f>
        <v>Melting_Curves/meltCurve_sp_Q9UM22_2_EPDR1_HUMAN_.pdf</v>
      </c>
      <c r="AA2861" t="s">
        <v>13708</v>
      </c>
      <c r="AB2861" t="s">
        <v>17285</v>
      </c>
    </row>
    <row r="2862" spans="1:28" x14ac:dyDescent="0.25">
      <c r="A2862" t="s">
        <v>2866</v>
      </c>
      <c r="B2862">
        <v>0.98018197421672304</v>
      </c>
      <c r="C2862">
        <v>1.3290141198867</v>
      </c>
      <c r="D2862">
        <v>1.1394546396004099</v>
      </c>
      <c r="E2862">
        <v>0.52487318475830402</v>
      </c>
      <c r="F2862">
        <v>0.225651328512459</v>
      </c>
      <c r="G2862">
        <v>0.137478170087701</v>
      </c>
      <c r="H2862">
        <v>9.2910572767461203E-2</v>
      </c>
      <c r="I2862">
        <v>7.3891944101839205E-2</v>
      </c>
      <c r="J2862">
        <v>9.9263026853205899E-2</v>
      </c>
      <c r="K2862">
        <v>8.5371414220576494E-2</v>
      </c>
      <c r="L2862">
        <v>2420.3142172468602</v>
      </c>
      <c r="M2862">
        <v>48.427046772296698</v>
      </c>
      <c r="N2862">
        <v>50.229762222572703</v>
      </c>
      <c r="O2862">
        <v>49.893568818392801</v>
      </c>
      <c r="P2862">
        <v>-0.216557680053376</v>
      </c>
      <c r="Q2862">
        <v>0.107538131911761</v>
      </c>
      <c r="R2862">
        <v>0.93662753969184698</v>
      </c>
      <c r="S2862" t="s">
        <v>6491</v>
      </c>
      <c r="T2862" t="s">
        <v>7256</v>
      </c>
      <c r="U2862" t="s">
        <v>7256</v>
      </c>
      <c r="V2862" t="s">
        <v>7256</v>
      </c>
      <c r="W2862">
        <v>11</v>
      </c>
      <c r="X2862" t="s">
        <v>10118</v>
      </c>
      <c r="Y2862">
        <v>0.40648591972648962</v>
      </c>
      <c r="Z2862" t="str">
        <f>HYPERLINK("Melting_Curves/meltCurve_sp_Q9UMR2_2_DD19B_HUMAN_.pdf", "Melting_Curves/meltCurve_sp_Q9UMR2_2_DD19B_HUMAN_.pdf")</f>
        <v>Melting_Curves/meltCurve_sp_Q9UMR2_2_DD19B_HUMAN_.pdf</v>
      </c>
      <c r="AA2862" t="s">
        <v>13709</v>
      </c>
      <c r="AB2862" t="s">
        <v>17286</v>
      </c>
    </row>
    <row r="2863" spans="1:28" x14ac:dyDescent="0.25">
      <c r="A2863" t="s">
        <v>2867</v>
      </c>
      <c r="B2863">
        <v>0.98018197421672304</v>
      </c>
      <c r="C2863">
        <v>0.97535807778540895</v>
      </c>
      <c r="D2863">
        <v>0.90139067381893001</v>
      </c>
      <c r="E2863">
        <v>0.717353895344917</v>
      </c>
      <c r="F2863">
        <v>0.7097413372318</v>
      </c>
      <c r="G2863">
        <v>0.56545490449413105</v>
      </c>
      <c r="H2863">
        <v>0.46651915254548498</v>
      </c>
      <c r="I2863">
        <v>0.46806007336433297</v>
      </c>
      <c r="J2863">
        <v>0.53890775389617696</v>
      </c>
      <c r="K2863">
        <v>0.71136826678673204</v>
      </c>
      <c r="L2863">
        <v>905.88839938661999</v>
      </c>
      <c r="M2863">
        <v>18.380208545393501</v>
      </c>
      <c r="O2863">
        <v>48.713781419528097</v>
      </c>
      <c r="P2863">
        <v>-4.2807976004897698E-2</v>
      </c>
      <c r="Q2863">
        <v>0.54619804593613497</v>
      </c>
      <c r="R2863">
        <v>0.86220811944203102</v>
      </c>
      <c r="S2863" t="s">
        <v>6492</v>
      </c>
      <c r="T2863" t="s">
        <v>7256</v>
      </c>
      <c r="U2863" t="s">
        <v>7256</v>
      </c>
      <c r="V2863" t="s">
        <v>7256</v>
      </c>
      <c r="W2863">
        <v>5</v>
      </c>
      <c r="X2863" t="s">
        <v>10119</v>
      </c>
      <c r="Y2863">
        <v>0.69417075260111782</v>
      </c>
      <c r="Z2863" t="str">
        <f>HYPERLINK("Melting_Curves/meltCurve_sp_Q9UMS0_3_NFU1_HUMAN_.pdf", "Melting_Curves/meltCurve_sp_Q9UMS0_3_NFU1_HUMAN_.pdf")</f>
        <v>Melting_Curves/meltCurve_sp_Q9UMS0_3_NFU1_HUMAN_.pdf</v>
      </c>
      <c r="AA2863" t="s">
        <v>13710</v>
      </c>
      <c r="AB2863" t="s">
        <v>17287</v>
      </c>
    </row>
    <row r="2864" spans="1:28" x14ac:dyDescent="0.25">
      <c r="A2864" t="s">
        <v>2868</v>
      </c>
      <c r="B2864">
        <v>0.98018197421672304</v>
      </c>
      <c r="C2864">
        <v>0.98273536237506398</v>
      </c>
      <c r="D2864">
        <v>0.86973327951556001</v>
      </c>
      <c r="E2864">
        <v>0.75308262464747799</v>
      </c>
      <c r="F2864">
        <v>0.61323534780426803</v>
      </c>
      <c r="G2864">
        <v>0.35773065682737698</v>
      </c>
      <c r="H2864">
        <v>0.13381258700110299</v>
      </c>
      <c r="I2864">
        <v>8.3713297897454006E-2</v>
      </c>
      <c r="J2864">
        <v>6.9963056873872206E-2</v>
      </c>
      <c r="K2864">
        <v>7.8838287949218003E-2</v>
      </c>
      <c r="L2864">
        <v>743.62069860012298</v>
      </c>
      <c r="M2864">
        <v>13.7136030226243</v>
      </c>
      <c r="N2864">
        <v>54.225042118211697</v>
      </c>
      <c r="O2864">
        <v>53.110988474426399</v>
      </c>
      <c r="P2864">
        <v>-6.4560887806907996E-2</v>
      </c>
      <c r="Q2864">
        <v>0</v>
      </c>
      <c r="R2864">
        <v>0.99384767911541705</v>
      </c>
      <c r="S2864" t="s">
        <v>6493</v>
      </c>
      <c r="T2864" t="s">
        <v>7256</v>
      </c>
      <c r="U2864" t="s">
        <v>7256</v>
      </c>
      <c r="V2864" t="s">
        <v>7256</v>
      </c>
      <c r="W2864">
        <v>8</v>
      </c>
      <c r="X2864" t="s">
        <v>10120</v>
      </c>
      <c r="Y2864">
        <v>0.49660495370137181</v>
      </c>
      <c r="Z2864" t="str">
        <f>HYPERLINK("Melting_Curves/meltCurve_sp_Q9UMS4_PRP19_HUMAN_.pdf", "Melting_Curves/meltCurve_sp_Q9UMS4_PRP19_HUMAN_.pdf")</f>
        <v>Melting_Curves/meltCurve_sp_Q9UMS4_PRP19_HUMAN_.pdf</v>
      </c>
      <c r="AA2864" t="s">
        <v>13711</v>
      </c>
      <c r="AB2864" t="s">
        <v>17288</v>
      </c>
    </row>
    <row r="2865" spans="1:28" x14ac:dyDescent="0.25">
      <c r="A2865" t="s">
        <v>2869</v>
      </c>
      <c r="B2865">
        <v>0.98018197421672304</v>
      </c>
      <c r="C2865">
        <v>0.95735606698004405</v>
      </c>
      <c r="D2865">
        <v>0.86304377273901101</v>
      </c>
      <c r="E2865">
        <v>0.76614909115198204</v>
      </c>
      <c r="F2865">
        <v>0.62406354320197399</v>
      </c>
      <c r="G2865">
        <v>0.40291831430269998</v>
      </c>
      <c r="H2865">
        <v>0.41126664858466599</v>
      </c>
      <c r="I2865">
        <v>0.402199039365292</v>
      </c>
      <c r="J2865">
        <v>0.43966652086777902</v>
      </c>
      <c r="K2865">
        <v>0.56349297670910503</v>
      </c>
      <c r="L2865">
        <v>950.59463147031897</v>
      </c>
      <c r="M2865">
        <v>18.9300826627154</v>
      </c>
      <c r="N2865">
        <v>56.282162488901001</v>
      </c>
      <c r="O2865">
        <v>49.665778693440998</v>
      </c>
      <c r="P2865">
        <v>-5.38391819188467E-2</v>
      </c>
      <c r="Q2865">
        <v>0.43500383451119301</v>
      </c>
      <c r="R2865">
        <v>0.933240693404632</v>
      </c>
      <c r="S2865" t="s">
        <v>6494</v>
      </c>
      <c r="T2865" t="s">
        <v>7256</v>
      </c>
      <c r="U2865" t="s">
        <v>7256</v>
      </c>
      <c r="V2865" t="s">
        <v>7256</v>
      </c>
      <c r="W2865">
        <v>6</v>
      </c>
      <c r="X2865" t="s">
        <v>10121</v>
      </c>
      <c r="Y2865">
        <v>0.63614020493701184</v>
      </c>
      <c r="Z2865" t="str">
        <f>HYPERLINK("Melting_Curves/meltCurve_sp_Q9UMX0_2_UBQL1_HUMAN_.pdf", "Melting_Curves/meltCurve_sp_Q9UMX0_2_UBQL1_HUMAN_.pdf")</f>
        <v>Melting_Curves/meltCurve_sp_Q9UMX0_2_UBQL1_HUMAN_.pdf</v>
      </c>
      <c r="AA2865" t="s">
        <v>13712</v>
      </c>
      <c r="AB2865" t="s">
        <v>17289</v>
      </c>
    </row>
    <row r="2866" spans="1:28" x14ac:dyDescent="0.25">
      <c r="A2866" t="s">
        <v>2870</v>
      </c>
      <c r="B2866">
        <v>0.98018197421672304</v>
      </c>
      <c r="C2866">
        <v>0.93629529398217104</v>
      </c>
      <c r="D2866">
        <v>0.943014699311436</v>
      </c>
      <c r="E2866">
        <v>0.76633921587748499</v>
      </c>
      <c r="F2866">
        <v>0.67651968052834799</v>
      </c>
      <c r="G2866">
        <v>0.52666315245130901</v>
      </c>
      <c r="H2866">
        <v>0.413772095930381</v>
      </c>
      <c r="I2866">
        <v>0.48294575609124102</v>
      </c>
      <c r="J2866">
        <v>0.53663763437407297</v>
      </c>
      <c r="K2866">
        <v>0.67327331530126699</v>
      </c>
      <c r="L2866">
        <v>1105.9769252174001</v>
      </c>
      <c r="M2866">
        <v>22.022634774226098</v>
      </c>
      <c r="O2866">
        <v>49.811424816887303</v>
      </c>
      <c r="P2866">
        <v>-5.2743508220558601E-2</v>
      </c>
      <c r="Q2866">
        <v>0.52282350544843204</v>
      </c>
      <c r="R2866">
        <v>0.885477069706329</v>
      </c>
      <c r="S2866" t="s">
        <v>6495</v>
      </c>
      <c r="T2866" t="s">
        <v>7256</v>
      </c>
      <c r="U2866" t="s">
        <v>7256</v>
      </c>
      <c r="V2866" t="s">
        <v>7256</v>
      </c>
      <c r="W2866">
        <v>6</v>
      </c>
      <c r="X2866" t="s">
        <v>10122</v>
      </c>
      <c r="Y2866">
        <v>0.69088128530988491</v>
      </c>
      <c r="Z2866" t="str">
        <f>HYPERLINK("Melting_Curves/meltCurve_sp_Q9UMX5_NENF_HUMAN_.pdf", "Melting_Curves/meltCurve_sp_Q9UMX5_NENF_HUMAN_.pdf")</f>
        <v>Melting_Curves/meltCurve_sp_Q9UMX5_NENF_HUMAN_.pdf</v>
      </c>
      <c r="AA2866" t="s">
        <v>13713</v>
      </c>
      <c r="AB2866" t="s">
        <v>17290</v>
      </c>
    </row>
    <row r="2867" spans="1:28" x14ac:dyDescent="0.25">
      <c r="A2867" t="s">
        <v>2871</v>
      </c>
      <c r="B2867">
        <v>0.98018197421672304</v>
      </c>
      <c r="C2867">
        <v>0.99513850109760005</v>
      </c>
      <c r="D2867">
        <v>0.933467419997003</v>
      </c>
      <c r="E2867">
        <v>0.67566093418871198</v>
      </c>
      <c r="F2867">
        <v>0.52902393432511496</v>
      </c>
      <c r="G2867">
        <v>0.21760363956775</v>
      </c>
      <c r="H2867">
        <v>9.0947182486015299E-2</v>
      </c>
      <c r="I2867">
        <v>7.2275369215931404E-2</v>
      </c>
      <c r="J2867">
        <v>8.6268235638351495E-2</v>
      </c>
      <c r="K2867">
        <v>8.7804091394206807E-2</v>
      </c>
      <c r="L2867">
        <v>936.28855255334099</v>
      </c>
      <c r="M2867">
        <v>17.869360633746201</v>
      </c>
      <c r="N2867">
        <v>52.719996096949302</v>
      </c>
      <c r="O2867">
        <v>51.753330641188299</v>
      </c>
      <c r="P2867">
        <v>-8.1839319706809993E-2</v>
      </c>
      <c r="Q2867">
        <v>5.1954363412370398E-2</v>
      </c>
      <c r="R2867">
        <v>0.99506759168813996</v>
      </c>
      <c r="S2867" t="s">
        <v>6496</v>
      </c>
      <c r="T2867" t="s">
        <v>7256</v>
      </c>
      <c r="U2867" t="s">
        <v>7256</v>
      </c>
      <c r="V2867" t="s">
        <v>7256</v>
      </c>
      <c r="W2867">
        <v>5</v>
      </c>
      <c r="X2867" t="s">
        <v>10123</v>
      </c>
      <c r="Y2867">
        <v>0.45957289205893997</v>
      </c>
      <c r="Z2867" t="str">
        <f>HYPERLINK("Melting_Curves/meltCurve_sp_Q9UMY4_2_SNX12_HUMAN_.pdf", "Melting_Curves/meltCurve_sp_Q9UMY4_2_SNX12_HUMAN_.pdf")</f>
        <v>Melting_Curves/meltCurve_sp_Q9UMY4_2_SNX12_HUMAN_.pdf</v>
      </c>
      <c r="AA2867" t="s">
        <v>13714</v>
      </c>
      <c r="AB2867" t="s">
        <v>17291</v>
      </c>
    </row>
    <row r="2868" spans="1:28" x14ac:dyDescent="0.25">
      <c r="A2868" t="s">
        <v>2872</v>
      </c>
      <c r="B2868">
        <v>0.98018197421672304</v>
      </c>
      <c r="C2868">
        <v>0.86286023668947098</v>
      </c>
      <c r="D2868">
        <v>0.83389777801694798</v>
      </c>
      <c r="E2868">
        <v>0.729078344457045</v>
      </c>
      <c r="F2868">
        <v>0.46825794474857402</v>
      </c>
      <c r="G2868">
        <v>0.26979382076698799</v>
      </c>
      <c r="H2868">
        <v>0.19106923221320299</v>
      </c>
      <c r="I2868">
        <v>0.185665538806914</v>
      </c>
      <c r="J2868">
        <v>0.208490177831502</v>
      </c>
      <c r="K2868">
        <v>0.25153720854948802</v>
      </c>
      <c r="L2868">
        <v>773.82718352289601</v>
      </c>
      <c r="M2868">
        <v>15.1626470262712</v>
      </c>
      <c r="N2868">
        <v>52.495229168591102</v>
      </c>
      <c r="O2868">
        <v>50.172085264569297</v>
      </c>
      <c r="P2868">
        <v>-6.2560567475033996E-2</v>
      </c>
      <c r="Q2868">
        <v>0.172046895714907</v>
      </c>
      <c r="R2868">
        <v>0.972832982939279</v>
      </c>
      <c r="S2868" t="s">
        <v>6497</v>
      </c>
      <c r="T2868" t="s">
        <v>7256</v>
      </c>
      <c r="U2868" t="s">
        <v>7256</v>
      </c>
      <c r="V2868" t="s">
        <v>7256</v>
      </c>
      <c r="W2868">
        <v>3</v>
      </c>
      <c r="X2868" t="s">
        <v>10124</v>
      </c>
      <c r="Y2868">
        <v>0.4953689569306115</v>
      </c>
      <c r="Z2868" t="str">
        <f>HYPERLINK("Melting_Curves/meltCurve_sp_Q9UMZ2_6_SYNRG_HUMAN_.pdf", "Melting_Curves/meltCurve_sp_Q9UMZ2_6_SYNRG_HUMAN_.pdf")</f>
        <v>Melting_Curves/meltCurve_sp_Q9UMZ2_6_SYNRG_HUMAN_.pdf</v>
      </c>
      <c r="AA2868" t="s">
        <v>13715</v>
      </c>
      <c r="AB2868" t="s">
        <v>17292</v>
      </c>
    </row>
    <row r="2869" spans="1:28" x14ac:dyDescent="0.25">
      <c r="A2869" t="s">
        <v>2873</v>
      </c>
      <c r="B2869">
        <v>0.98018197421672304</v>
      </c>
      <c r="C2869">
        <v>0.99705083276607898</v>
      </c>
      <c r="D2869">
        <v>0.99963883362036099</v>
      </c>
      <c r="E2869">
        <v>0.858481201718164</v>
      </c>
      <c r="F2869">
        <v>0.84389328900323801</v>
      </c>
      <c r="G2869">
        <v>0.43159671729362797</v>
      </c>
      <c r="H2869">
        <v>7.3137300726879503E-2</v>
      </c>
      <c r="I2869">
        <v>4.07753330905469E-2</v>
      </c>
      <c r="J2869">
        <v>3.5899036957977103E-2</v>
      </c>
      <c r="K2869">
        <v>2.2031734841430201E-2</v>
      </c>
      <c r="L2869">
        <v>1413.4687935668501</v>
      </c>
      <c r="M2869">
        <v>25.1609987106993</v>
      </c>
      <c r="N2869">
        <v>56.179174754064903</v>
      </c>
      <c r="O2869">
        <v>55.825701461333203</v>
      </c>
      <c r="P2869">
        <v>-0.11262243112748201</v>
      </c>
      <c r="Q2869">
        <v>4.9339746031783096E-4</v>
      </c>
      <c r="R2869">
        <v>0.99221171365271299</v>
      </c>
      <c r="S2869" t="s">
        <v>6498</v>
      </c>
      <c r="T2869" t="s">
        <v>7256</v>
      </c>
      <c r="U2869" t="s">
        <v>7256</v>
      </c>
      <c r="V2869" t="s">
        <v>7256</v>
      </c>
      <c r="W2869">
        <v>13</v>
      </c>
      <c r="X2869" t="s">
        <v>10125</v>
      </c>
      <c r="Y2869">
        <v>0.54851663390136274</v>
      </c>
      <c r="Z2869" t="str">
        <f>HYPERLINK("Melting_Curves/meltCurve_sp_Q9UN36_NDRG2_HUMAN_.pdf", "Melting_Curves/meltCurve_sp_Q9UN36_NDRG2_HUMAN_.pdf")</f>
        <v>Melting_Curves/meltCurve_sp_Q9UN36_NDRG2_HUMAN_.pdf</v>
      </c>
      <c r="AA2869" t="s">
        <v>13716</v>
      </c>
      <c r="AB2869" t="s">
        <v>17293</v>
      </c>
    </row>
    <row r="2870" spans="1:28" x14ac:dyDescent="0.25">
      <c r="A2870" t="s">
        <v>2874</v>
      </c>
      <c r="B2870">
        <v>0.98018197421672304</v>
      </c>
      <c r="C2870">
        <v>0.96327406480854005</v>
      </c>
      <c r="D2870">
        <v>0.99111223280545302</v>
      </c>
      <c r="E2870">
        <v>0.76978825531748696</v>
      </c>
      <c r="F2870">
        <v>0.69280242446389995</v>
      </c>
      <c r="G2870">
        <v>0.423188680648797</v>
      </c>
      <c r="H2870">
        <v>0.35063538179383702</v>
      </c>
      <c r="I2870">
        <v>0.33853766935177798</v>
      </c>
      <c r="J2870">
        <v>0.40074463430424001</v>
      </c>
      <c r="K2870">
        <v>0.59628209757781503</v>
      </c>
      <c r="L2870">
        <v>1254.9662221813701</v>
      </c>
      <c r="M2870">
        <v>24.281496462452399</v>
      </c>
      <c r="N2870">
        <v>55.721111360233799</v>
      </c>
      <c r="O2870">
        <v>51.337326557056002</v>
      </c>
      <c r="P2870">
        <v>-6.9303153141100193E-2</v>
      </c>
      <c r="Q2870">
        <v>0.41391011188829402</v>
      </c>
      <c r="R2870">
        <v>0.91095477554764503</v>
      </c>
      <c r="S2870" t="s">
        <v>6499</v>
      </c>
      <c r="T2870" t="s">
        <v>7256</v>
      </c>
      <c r="U2870" t="s">
        <v>7256</v>
      </c>
      <c r="V2870" t="s">
        <v>7256</v>
      </c>
      <c r="W2870">
        <v>6</v>
      </c>
      <c r="X2870" t="s">
        <v>10126</v>
      </c>
      <c r="Y2870">
        <v>0.64781638562512323</v>
      </c>
      <c r="Z2870" t="str">
        <f>HYPERLINK("Melting_Curves/meltCurve_sp_Q9UN86_G3BP2_HUMAN_.pdf", "Melting_Curves/meltCurve_sp_Q9UN86_G3BP2_HUMAN_.pdf")</f>
        <v>Melting_Curves/meltCurve_sp_Q9UN86_G3BP2_HUMAN_.pdf</v>
      </c>
      <c r="AA2870" t="s">
        <v>13717</v>
      </c>
      <c r="AB2870" t="s">
        <v>17294</v>
      </c>
    </row>
    <row r="2871" spans="1:28" x14ac:dyDescent="0.25">
      <c r="A2871" t="s">
        <v>2875</v>
      </c>
      <c r="B2871">
        <v>0.98018197421672304</v>
      </c>
      <c r="C2871">
        <v>0.91846983557425399</v>
      </c>
      <c r="D2871">
        <v>0.71914388403069696</v>
      </c>
      <c r="E2871">
        <v>0.38234030954985598</v>
      </c>
      <c r="F2871">
        <v>0.21831584359134701</v>
      </c>
      <c r="G2871">
        <v>0.15616882634257401</v>
      </c>
      <c r="H2871">
        <v>0.12447811495227</v>
      </c>
      <c r="I2871">
        <v>0.102829891281912</v>
      </c>
      <c r="J2871">
        <v>0.10473554815773101</v>
      </c>
      <c r="K2871">
        <v>0.142624937300834</v>
      </c>
      <c r="L2871">
        <v>946.10559933532397</v>
      </c>
      <c r="M2871">
        <v>19.785370004506699</v>
      </c>
      <c r="N2871">
        <v>48.451373904632099</v>
      </c>
      <c r="O2871">
        <v>47.337988931658799</v>
      </c>
      <c r="P2871">
        <v>-9.2593774776292395E-2</v>
      </c>
      <c r="Q2871">
        <v>0.11387974910528099</v>
      </c>
      <c r="R2871">
        <v>0.998814161161796</v>
      </c>
      <c r="S2871" t="s">
        <v>6500</v>
      </c>
      <c r="T2871" t="s">
        <v>7256</v>
      </c>
      <c r="U2871" t="s">
        <v>7256</v>
      </c>
      <c r="V2871" t="s">
        <v>7256</v>
      </c>
      <c r="W2871">
        <v>9</v>
      </c>
      <c r="X2871" t="s">
        <v>10127</v>
      </c>
      <c r="Y2871">
        <v>0.35775411244989558</v>
      </c>
      <c r="Z2871" t="str">
        <f>HYPERLINK("Melting_Curves/meltCurve_sp_Q9UNE7_CHIP_HUMAN_.pdf", "Melting_Curves/meltCurve_sp_Q9UNE7_CHIP_HUMAN_.pdf")</f>
        <v>Melting_Curves/meltCurve_sp_Q9UNE7_CHIP_HUMAN_.pdf</v>
      </c>
      <c r="AA2871" t="s">
        <v>13718</v>
      </c>
      <c r="AB2871" t="s">
        <v>17295</v>
      </c>
    </row>
    <row r="2872" spans="1:28" x14ac:dyDescent="0.25">
      <c r="A2872" t="s">
        <v>2876</v>
      </c>
      <c r="B2872">
        <v>0.98018197421672304</v>
      </c>
      <c r="C2872">
        <v>1.0065354059995599</v>
      </c>
      <c r="D2872">
        <v>0.93641365345137695</v>
      </c>
      <c r="E2872">
        <v>0.49182845683425402</v>
      </c>
      <c r="F2872">
        <v>0.26848144006800601</v>
      </c>
      <c r="G2872">
        <v>0.13940488422156899</v>
      </c>
      <c r="H2872">
        <v>8.05610097067678E-2</v>
      </c>
      <c r="I2872">
        <v>6.6827566944968997E-2</v>
      </c>
      <c r="J2872">
        <v>7.9632509751335095E-2</v>
      </c>
      <c r="K2872">
        <v>6.6365083768180594E-2</v>
      </c>
      <c r="L2872">
        <v>1280.6644331238299</v>
      </c>
      <c r="M2872">
        <v>25.6836076255669</v>
      </c>
      <c r="N2872">
        <v>50.195394146642002</v>
      </c>
      <c r="O2872">
        <v>49.563766577890902</v>
      </c>
      <c r="P2872">
        <v>-0.119422119155099</v>
      </c>
      <c r="Q2872">
        <v>7.8176507168042295E-2</v>
      </c>
      <c r="R2872">
        <v>0.99707516409904395</v>
      </c>
      <c r="S2872" t="s">
        <v>6501</v>
      </c>
      <c r="T2872" t="s">
        <v>7256</v>
      </c>
      <c r="U2872" t="s">
        <v>7256</v>
      </c>
      <c r="V2872" t="s">
        <v>7256</v>
      </c>
      <c r="W2872">
        <v>10</v>
      </c>
      <c r="X2872" t="s">
        <v>10128</v>
      </c>
      <c r="Y2872">
        <v>0.38903627881429209</v>
      </c>
      <c r="Z2872" t="str">
        <f>HYPERLINK("Melting_Curves/meltCurve_sp_Q9UNF0_2_PACN2_HUMAN_.pdf", "Melting_Curves/meltCurve_sp_Q9UNF0_2_PACN2_HUMAN_.pdf")</f>
        <v>Melting_Curves/meltCurve_sp_Q9UNF0_2_PACN2_HUMAN_.pdf</v>
      </c>
      <c r="AA2872" t="s">
        <v>13719</v>
      </c>
      <c r="AB2872" t="s">
        <v>17296</v>
      </c>
    </row>
    <row r="2873" spans="1:28" x14ac:dyDescent="0.25">
      <c r="A2873" t="s">
        <v>2877</v>
      </c>
      <c r="B2873">
        <v>0.98018197421672304</v>
      </c>
      <c r="C2873">
        <v>0.81810855338772004</v>
      </c>
      <c r="D2873">
        <v>0.94370155811011003</v>
      </c>
      <c r="E2873">
        <v>0.776343734640628</v>
      </c>
      <c r="F2873">
        <v>0.93319301995063897</v>
      </c>
      <c r="G2873">
        <v>0.903868648965372</v>
      </c>
      <c r="H2873">
        <v>0.83925668696341205</v>
      </c>
      <c r="I2873">
        <v>0.83578837892133895</v>
      </c>
      <c r="J2873">
        <v>0.76991422907945695</v>
      </c>
      <c r="K2873">
        <v>0.49323068826843902</v>
      </c>
      <c r="L2873">
        <v>280.75922144140202</v>
      </c>
      <c r="M2873">
        <v>3.3109957372034602</v>
      </c>
      <c r="O2873">
        <v>65.071622503352899</v>
      </c>
      <c r="P2873">
        <v>-1.3014648900184901E-2</v>
      </c>
      <c r="Q2873">
        <v>0</v>
      </c>
      <c r="R2873">
        <v>0.46496830565236902</v>
      </c>
      <c r="S2873" t="s">
        <v>6502</v>
      </c>
      <c r="T2873" t="s">
        <v>7256</v>
      </c>
      <c r="U2873" t="s">
        <v>7256</v>
      </c>
      <c r="V2873" t="s">
        <v>7256</v>
      </c>
      <c r="W2873">
        <v>1</v>
      </c>
      <c r="X2873" t="s">
        <v>10129</v>
      </c>
      <c r="Y2873">
        <v>0.84522251244849422</v>
      </c>
      <c r="Z2873" t="str">
        <f>HYPERLINK("Melting_Curves/meltCurve_sp_Q9UNF1_MAGD2_HUMAN_.pdf", "Melting_Curves/meltCurve_sp_Q9UNF1_MAGD2_HUMAN_.pdf")</f>
        <v>Melting_Curves/meltCurve_sp_Q9UNF1_MAGD2_HUMAN_.pdf</v>
      </c>
      <c r="AA2873" t="s">
        <v>13720</v>
      </c>
      <c r="AB2873" t="s">
        <v>17297</v>
      </c>
    </row>
    <row r="2874" spans="1:28" x14ac:dyDescent="0.25">
      <c r="A2874" t="s">
        <v>2878</v>
      </c>
      <c r="B2874">
        <v>0.98018197421672304</v>
      </c>
      <c r="C2874">
        <v>0.94648308289481198</v>
      </c>
      <c r="D2874">
        <v>0.80619234636092196</v>
      </c>
      <c r="E2874">
        <v>0.40693268050203402</v>
      </c>
      <c r="F2874">
        <v>0.11351532104487599</v>
      </c>
      <c r="G2874">
        <v>6.3521741417246799E-2</v>
      </c>
      <c r="H2874">
        <v>4.4664608018155298E-2</v>
      </c>
      <c r="I2874">
        <v>2.9479602004319899E-2</v>
      </c>
      <c r="J2874">
        <v>3.4985867629530001E-2</v>
      </c>
      <c r="K2874">
        <v>2.6881481762140499E-2</v>
      </c>
      <c r="L2874">
        <v>1158.3879535887099</v>
      </c>
      <c r="M2874">
        <v>23.736369115049801</v>
      </c>
      <c r="N2874">
        <v>48.915284514996102</v>
      </c>
      <c r="O2874">
        <v>48.459830615553798</v>
      </c>
      <c r="P2874">
        <v>-0.119187662295917</v>
      </c>
      <c r="Q2874">
        <v>2.66892279152291E-2</v>
      </c>
      <c r="R2874">
        <v>0.99777726902189501</v>
      </c>
      <c r="S2874" t="s">
        <v>6503</v>
      </c>
      <c r="T2874" t="s">
        <v>7256</v>
      </c>
      <c r="U2874" t="s">
        <v>7256</v>
      </c>
      <c r="V2874" t="s">
        <v>7256</v>
      </c>
      <c r="W2874">
        <v>10</v>
      </c>
      <c r="X2874" t="s">
        <v>10130</v>
      </c>
      <c r="Y2874">
        <v>0.32185890460067151</v>
      </c>
      <c r="Z2874" t="str">
        <f>HYPERLINK("Melting_Curves/meltCurve_sp_Q9UNH7_SNX6_HUMAN_.pdf", "Melting_Curves/meltCurve_sp_Q9UNH7_SNX6_HUMAN_.pdf")</f>
        <v>Melting_Curves/meltCurve_sp_Q9UNH7_SNX6_HUMAN_.pdf</v>
      </c>
      <c r="AA2874" t="s">
        <v>13721</v>
      </c>
      <c r="AB2874" t="s">
        <v>17298</v>
      </c>
    </row>
    <row r="2875" spans="1:28" x14ac:dyDescent="0.25">
      <c r="A2875" t="s">
        <v>2879</v>
      </c>
      <c r="B2875">
        <v>0.98018197421672304</v>
      </c>
      <c r="C2875">
        <v>0.88745950718563005</v>
      </c>
      <c r="D2875">
        <v>0.71504571156642804</v>
      </c>
      <c r="E2875">
        <v>0.440184568463099</v>
      </c>
      <c r="F2875">
        <v>0.19326533731561299</v>
      </c>
      <c r="G2875">
        <v>7.7440831077733405E-2</v>
      </c>
      <c r="H2875">
        <v>4.4785560767782603E-2</v>
      </c>
      <c r="I2875">
        <v>3.707023060932E-2</v>
      </c>
      <c r="J2875">
        <v>4.8741266600590097E-2</v>
      </c>
      <c r="K2875">
        <v>2.8057499813404298E-2</v>
      </c>
      <c r="L2875">
        <v>803.89869181328595</v>
      </c>
      <c r="M2875">
        <v>16.522142952558301</v>
      </c>
      <c r="N2875">
        <v>48.7605391433313</v>
      </c>
      <c r="O2875">
        <v>47.959817807473001</v>
      </c>
      <c r="P2875">
        <v>-8.46298054441849E-2</v>
      </c>
      <c r="Q2875">
        <v>1.7427830740401499E-2</v>
      </c>
      <c r="R2875">
        <v>0.99732046836989896</v>
      </c>
      <c r="S2875" t="s">
        <v>6504</v>
      </c>
      <c r="T2875" t="s">
        <v>7256</v>
      </c>
      <c r="U2875" t="s">
        <v>7256</v>
      </c>
      <c r="V2875" t="s">
        <v>7256</v>
      </c>
      <c r="W2875">
        <v>17</v>
      </c>
      <c r="X2875" t="s">
        <v>10131</v>
      </c>
      <c r="Y2875">
        <v>0.32127935703746252</v>
      </c>
      <c r="Z2875" t="str">
        <f>HYPERLINK("Melting_Curves/meltCurve_sp_Q9UNM6_PSD13_HUMAN_.pdf", "Melting_Curves/meltCurve_sp_Q9UNM6_PSD13_HUMAN_.pdf")</f>
        <v>Melting_Curves/meltCurve_sp_Q9UNM6_PSD13_HUMAN_.pdf</v>
      </c>
      <c r="AA2875" t="s">
        <v>13722</v>
      </c>
      <c r="AB2875" t="s">
        <v>17299</v>
      </c>
    </row>
    <row r="2876" spans="1:28" x14ac:dyDescent="0.25">
      <c r="A2876" t="s">
        <v>2880</v>
      </c>
      <c r="B2876">
        <v>0.98018197421672304</v>
      </c>
      <c r="C2876">
        <v>1.0035676008365799</v>
      </c>
      <c r="D2876">
        <v>0.85765584013148799</v>
      </c>
      <c r="E2876">
        <v>0.76407056360751002</v>
      </c>
      <c r="F2876">
        <v>0.61208885417460301</v>
      </c>
      <c r="G2876">
        <v>0.478387325219502</v>
      </c>
      <c r="H2876">
        <v>0.24786337524669899</v>
      </c>
      <c r="I2876">
        <v>0.10211868433675</v>
      </c>
      <c r="J2876">
        <v>7.0723677307028193E-2</v>
      </c>
      <c r="K2876">
        <v>6.19936772430063E-2</v>
      </c>
      <c r="L2876">
        <v>668.83859031341603</v>
      </c>
      <c r="M2876">
        <v>12.1233327890988</v>
      </c>
      <c r="N2876">
        <v>55.169531506753799</v>
      </c>
      <c r="O2876">
        <v>53.732800790767598</v>
      </c>
      <c r="P2876">
        <v>-5.6418712748277901E-2</v>
      </c>
      <c r="Q2876">
        <v>0</v>
      </c>
      <c r="R2876">
        <v>0.98820685741909298</v>
      </c>
      <c r="S2876" t="s">
        <v>6505</v>
      </c>
      <c r="T2876" t="s">
        <v>7256</v>
      </c>
      <c r="U2876" t="s">
        <v>7256</v>
      </c>
      <c r="V2876" t="s">
        <v>7256</v>
      </c>
      <c r="W2876">
        <v>7</v>
      </c>
      <c r="X2876" t="s">
        <v>10132</v>
      </c>
      <c r="Y2876">
        <v>0.52846006676014534</v>
      </c>
      <c r="Z2876" t="str">
        <f>HYPERLINK("Melting_Curves/meltCurve_sp_Q9UNN5_FAF1_HUMAN_.pdf", "Melting_Curves/meltCurve_sp_Q9UNN5_FAF1_HUMAN_.pdf")</f>
        <v>Melting_Curves/meltCurve_sp_Q9UNN5_FAF1_HUMAN_.pdf</v>
      </c>
      <c r="AA2876" t="s">
        <v>13723</v>
      </c>
      <c r="AB2876" t="s">
        <v>17300</v>
      </c>
    </row>
    <row r="2877" spans="1:28" x14ac:dyDescent="0.25">
      <c r="A2877" t="s">
        <v>2881</v>
      </c>
      <c r="B2877">
        <v>0.98018197421672304</v>
      </c>
      <c r="C2877">
        <v>1.0016843740297401</v>
      </c>
      <c r="D2877">
        <v>0.880187835447926</v>
      </c>
      <c r="E2877">
        <v>0.79710605204888796</v>
      </c>
      <c r="F2877">
        <v>0.65774293497580205</v>
      </c>
      <c r="G2877">
        <v>0.27248829992155099</v>
      </c>
      <c r="H2877">
        <v>0.268943616505054</v>
      </c>
      <c r="I2877">
        <v>0.131696793126027</v>
      </c>
      <c r="J2877">
        <v>5.3006994441702301E-2</v>
      </c>
      <c r="K2877">
        <v>4.5845904867797903E-2</v>
      </c>
      <c r="L2877">
        <v>748.86921140266304</v>
      </c>
      <c r="M2877">
        <v>13.693026387793999</v>
      </c>
      <c r="N2877">
        <v>54.708590542087798</v>
      </c>
      <c r="O2877">
        <v>53.562975151775298</v>
      </c>
      <c r="P2877">
        <v>-6.3770355740490198E-2</v>
      </c>
      <c r="Q2877">
        <v>2.3429554818659801E-3</v>
      </c>
      <c r="R2877">
        <v>0.98520333233509505</v>
      </c>
      <c r="S2877" t="s">
        <v>6506</v>
      </c>
      <c r="T2877" t="s">
        <v>7256</v>
      </c>
      <c r="U2877" t="s">
        <v>7256</v>
      </c>
      <c r="V2877" t="s">
        <v>7256</v>
      </c>
      <c r="W2877">
        <v>6</v>
      </c>
      <c r="X2877" t="s">
        <v>10133</v>
      </c>
      <c r="Y2877">
        <v>0.51247791442126378</v>
      </c>
      <c r="Z2877" t="str">
        <f>HYPERLINK("Melting_Curves/meltCurve_sp_Q9UNS2_CSN3_HUMAN_.pdf", "Melting_Curves/meltCurve_sp_Q9UNS2_CSN3_HUMAN_.pdf")</f>
        <v>Melting_Curves/meltCurve_sp_Q9UNS2_CSN3_HUMAN_.pdf</v>
      </c>
      <c r="AA2877" t="s">
        <v>13724</v>
      </c>
      <c r="AB2877" t="s">
        <v>17301</v>
      </c>
    </row>
    <row r="2878" spans="1:28" x14ac:dyDescent="0.25">
      <c r="A2878" t="s">
        <v>2882</v>
      </c>
      <c r="B2878">
        <v>0.98018197421672304</v>
      </c>
      <c r="C2878">
        <v>1.0037892150138501</v>
      </c>
      <c r="D2878">
        <v>0.95725520914873696</v>
      </c>
      <c r="E2878">
        <v>0.83078671795882797</v>
      </c>
      <c r="F2878">
        <v>0.75611363298357204</v>
      </c>
      <c r="G2878">
        <v>0.53716895324506297</v>
      </c>
      <c r="H2878">
        <v>0.395233374429657</v>
      </c>
      <c r="I2878">
        <v>0.359057844156075</v>
      </c>
      <c r="J2878">
        <v>0.33444156369013001</v>
      </c>
      <c r="K2878">
        <v>0.37297295145248799</v>
      </c>
      <c r="L2878">
        <v>881.32221293283806</v>
      </c>
      <c r="M2878">
        <v>16.247247109182599</v>
      </c>
      <c r="N2878">
        <v>57.878126940056298</v>
      </c>
      <c r="O2878">
        <v>53.442606647956502</v>
      </c>
      <c r="P2878">
        <v>-5.17080867985307E-2</v>
      </c>
      <c r="Q2878">
        <v>0.31970976203354201</v>
      </c>
      <c r="R2878">
        <v>0.993264830096378</v>
      </c>
      <c r="S2878" t="s">
        <v>6507</v>
      </c>
      <c r="T2878" t="s">
        <v>7256</v>
      </c>
      <c r="U2878" t="s">
        <v>7256</v>
      </c>
      <c r="V2878" t="s">
        <v>7256</v>
      </c>
      <c r="W2878">
        <v>21</v>
      </c>
      <c r="X2878" t="s">
        <v>10134</v>
      </c>
      <c r="Y2878">
        <v>0.65517485124178476</v>
      </c>
      <c r="Z2878" t="str">
        <f>HYPERLINK("Melting_Curves/meltCurve_sp_Q9UNZ2_NSF1C_HUMAN_.pdf", "Melting_Curves/meltCurve_sp_Q9UNZ2_NSF1C_HUMAN_.pdf")</f>
        <v>Melting_Curves/meltCurve_sp_Q9UNZ2_NSF1C_HUMAN_.pdf</v>
      </c>
      <c r="AA2878" t="s">
        <v>13725</v>
      </c>
      <c r="AB2878" t="s">
        <v>17302</v>
      </c>
    </row>
    <row r="2879" spans="1:28" x14ac:dyDescent="0.25">
      <c r="A2879" t="s">
        <v>2883</v>
      </c>
      <c r="B2879">
        <v>0.98018197421672304</v>
      </c>
      <c r="C2879">
        <v>1.6035143747727501</v>
      </c>
      <c r="D2879">
        <v>1.0428942311534</v>
      </c>
      <c r="E2879">
        <v>0.32522445470952199</v>
      </c>
      <c r="F2879">
        <v>0.124102242058015</v>
      </c>
      <c r="G2879">
        <v>8.2562233484503103E-2</v>
      </c>
      <c r="H2879">
        <v>3.5061455066036702E-2</v>
      </c>
      <c r="I2879">
        <v>4.8351821646771702E-2</v>
      </c>
      <c r="J2879">
        <v>8.7613141070685796E-2</v>
      </c>
      <c r="K2879">
        <v>4.0341151035182599E-2</v>
      </c>
      <c r="L2879">
        <v>3800.73803663026</v>
      </c>
      <c r="M2879">
        <v>76.970069965731099</v>
      </c>
      <c r="N2879">
        <v>49.474289178073697</v>
      </c>
      <c r="O2879">
        <v>49.346125184695701</v>
      </c>
      <c r="P2879">
        <v>-0.36320312469121702</v>
      </c>
      <c r="Q2879">
        <v>6.8590459465594902E-2</v>
      </c>
      <c r="R2879">
        <v>0.869438613740802</v>
      </c>
      <c r="S2879" t="s">
        <v>6508</v>
      </c>
      <c r="T2879" t="s">
        <v>7256</v>
      </c>
      <c r="U2879" t="s">
        <v>7256</v>
      </c>
      <c r="V2879" t="s">
        <v>7256</v>
      </c>
      <c r="W2879">
        <v>2</v>
      </c>
      <c r="X2879" t="s">
        <v>10135</v>
      </c>
      <c r="Y2879">
        <v>0.36064675116783179</v>
      </c>
      <c r="Z2879" t="str">
        <f>HYPERLINK("Melting_Curves/meltCurve_sp_Q9UP83_COG5_HUMAN_.pdf", "Melting_Curves/meltCurve_sp_Q9UP83_COG5_HUMAN_.pdf")</f>
        <v>Melting_Curves/meltCurve_sp_Q9UP83_COG5_HUMAN_.pdf</v>
      </c>
      <c r="AA2879" t="s">
        <v>13726</v>
      </c>
      <c r="AB2879" t="s">
        <v>17303</v>
      </c>
    </row>
    <row r="2880" spans="1:28" x14ac:dyDescent="0.25">
      <c r="A2880" t="s">
        <v>2884</v>
      </c>
      <c r="B2880">
        <v>0.98018197421672304</v>
      </c>
      <c r="C2880">
        <v>0.86854374242285404</v>
      </c>
      <c r="D2880">
        <v>0.82925441660619004</v>
      </c>
      <c r="E2880">
        <v>0.62431885135742904</v>
      </c>
      <c r="F2880">
        <v>0.57059578243334996</v>
      </c>
      <c r="G2880">
        <v>0.420835915314964</v>
      </c>
      <c r="H2880">
        <v>0.335473757713458</v>
      </c>
      <c r="I2880">
        <v>0.32070032038461399</v>
      </c>
      <c r="J2880">
        <v>0.40191831147253998</v>
      </c>
      <c r="K2880">
        <v>0.36528026403431302</v>
      </c>
      <c r="L2880">
        <v>613.91432395620302</v>
      </c>
      <c r="M2880">
        <v>12.422217302256101</v>
      </c>
      <c r="N2880">
        <v>53.990983764737102</v>
      </c>
      <c r="O2880">
        <v>48.192321942727901</v>
      </c>
      <c r="P2880">
        <v>-4.3487427369293098E-2</v>
      </c>
      <c r="Q2880">
        <v>0.32529948327222902</v>
      </c>
      <c r="R2880">
        <v>0.97788090281974405</v>
      </c>
      <c r="S2880" t="s">
        <v>6509</v>
      </c>
      <c r="T2880" t="s">
        <v>7256</v>
      </c>
      <c r="U2880" t="s">
        <v>7256</v>
      </c>
      <c r="V2880" t="s">
        <v>7256</v>
      </c>
      <c r="W2880">
        <v>2</v>
      </c>
      <c r="X2880" t="s">
        <v>10136</v>
      </c>
      <c r="Y2880">
        <v>0.56000162552543964</v>
      </c>
      <c r="Z2880" t="str">
        <f>HYPERLINK("Melting_Curves/meltCurve_sp_Q9UPN6_SCAF8_HUMAN_.pdf", "Melting_Curves/meltCurve_sp_Q9UPN6_SCAF8_HUMAN_.pdf")</f>
        <v>Melting_Curves/meltCurve_sp_Q9UPN6_SCAF8_HUMAN_.pdf</v>
      </c>
      <c r="AA2880" t="s">
        <v>13727</v>
      </c>
      <c r="AB2880" t="s">
        <v>17304</v>
      </c>
    </row>
    <row r="2881" spans="1:28" x14ac:dyDescent="0.25">
      <c r="A2881" t="s">
        <v>2885</v>
      </c>
      <c r="B2881">
        <v>0.98018197421672304</v>
      </c>
      <c r="C2881">
        <v>1.0758489838614</v>
      </c>
      <c r="D2881">
        <v>0.83577452571059196</v>
      </c>
      <c r="E2881">
        <v>0.76239409834631999</v>
      </c>
      <c r="F2881">
        <v>0.50868573045856802</v>
      </c>
      <c r="G2881">
        <v>0.30604626447540201</v>
      </c>
      <c r="H2881">
        <v>0.15274487145045801</v>
      </c>
      <c r="I2881">
        <v>0.11780914692649699</v>
      </c>
      <c r="J2881">
        <v>8.7856526329756907E-2</v>
      </c>
      <c r="K2881">
        <v>6.7049204808106305E-2</v>
      </c>
      <c r="L2881">
        <v>797.09941684954504</v>
      </c>
      <c r="M2881">
        <v>15.020369509014399</v>
      </c>
      <c r="N2881">
        <v>53.401747203928799</v>
      </c>
      <c r="O2881">
        <v>52.1539135440824</v>
      </c>
      <c r="P2881">
        <v>-6.8780404185580304E-2</v>
      </c>
      <c r="Q2881">
        <v>4.4815297995358799E-2</v>
      </c>
      <c r="R2881">
        <v>0.98685549380694404</v>
      </c>
      <c r="S2881" t="s">
        <v>6510</v>
      </c>
      <c r="T2881" t="s">
        <v>7256</v>
      </c>
      <c r="U2881" t="s">
        <v>7256</v>
      </c>
      <c r="V2881" t="s">
        <v>7256</v>
      </c>
      <c r="W2881">
        <v>1</v>
      </c>
      <c r="X2881" t="s">
        <v>10137</v>
      </c>
      <c r="Y2881">
        <v>0.48134716341651068</v>
      </c>
      <c r="Z2881" t="str">
        <f>HYPERLINK("Melting_Curves/meltCurve_sp_Q9UPN7_PP6R1_HUMAN_.pdf", "Melting_Curves/meltCurve_sp_Q9UPN7_PP6R1_HUMAN_.pdf")</f>
        <v>Melting_Curves/meltCurve_sp_Q9UPN7_PP6R1_HUMAN_.pdf</v>
      </c>
      <c r="AA2881" t="s">
        <v>13728</v>
      </c>
      <c r="AB2881" t="s">
        <v>17305</v>
      </c>
    </row>
    <row r="2882" spans="1:28" x14ac:dyDescent="0.25">
      <c r="A2882" t="s">
        <v>2886</v>
      </c>
      <c r="B2882">
        <v>0.98018197421672304</v>
      </c>
      <c r="C2882">
        <v>0.79764627568025204</v>
      </c>
      <c r="D2882">
        <v>0.68424732705778102</v>
      </c>
      <c r="E2882">
        <v>0.351369566229565</v>
      </c>
      <c r="F2882">
        <v>0.16424107663993401</v>
      </c>
      <c r="G2882">
        <v>0.109288149117953</v>
      </c>
      <c r="H2882">
        <v>4.9630352074146601E-2</v>
      </c>
      <c r="I2882">
        <v>4.6320406157148102E-2</v>
      </c>
      <c r="J2882">
        <v>0</v>
      </c>
      <c r="K2882">
        <v>0</v>
      </c>
      <c r="L2882">
        <v>707.21543318063698</v>
      </c>
      <c r="M2882">
        <v>14.761764613296</v>
      </c>
      <c r="N2882">
        <v>47.919697518147203</v>
      </c>
      <c r="O2882">
        <v>47.055141879019999</v>
      </c>
      <c r="P2882">
        <v>-7.8302529102936697E-2</v>
      </c>
      <c r="Q2882">
        <v>1.70680644311182E-3</v>
      </c>
      <c r="R2882">
        <v>0.99410254675094301</v>
      </c>
      <c r="S2882" t="s">
        <v>6511</v>
      </c>
      <c r="T2882" t="s">
        <v>7256</v>
      </c>
      <c r="U2882" t="s">
        <v>7256</v>
      </c>
      <c r="V2882" t="s">
        <v>7256</v>
      </c>
      <c r="W2882">
        <v>2</v>
      </c>
      <c r="X2882" t="s">
        <v>10138</v>
      </c>
      <c r="Y2882">
        <v>0.2915099866909231</v>
      </c>
      <c r="Z2882" t="str">
        <f>HYPERLINK("Melting_Curves/meltCurve_sp_Q9UPN9_2_TRI33_HUMAN_.pdf", "Melting_Curves/meltCurve_sp_Q9UPN9_2_TRI33_HUMAN_.pdf")</f>
        <v>Melting_Curves/meltCurve_sp_Q9UPN9_2_TRI33_HUMAN_.pdf</v>
      </c>
      <c r="AA2882" t="s">
        <v>13729</v>
      </c>
      <c r="AB2882" t="s">
        <v>17306</v>
      </c>
    </row>
    <row r="2883" spans="1:28" x14ac:dyDescent="0.25">
      <c r="A2883" t="s">
        <v>2887</v>
      </c>
      <c r="B2883">
        <v>0.98018197421672304</v>
      </c>
      <c r="C2883">
        <v>1.1800449291175501</v>
      </c>
      <c r="D2883">
        <v>1.05818592285072</v>
      </c>
      <c r="E2883">
        <v>0.90397786630631805</v>
      </c>
      <c r="F2883">
        <v>0.87989473107919602</v>
      </c>
      <c r="G2883">
        <v>0.69998696123275606</v>
      </c>
      <c r="H2883">
        <v>0.65393602683024299</v>
      </c>
      <c r="I2883">
        <v>0.63373084044718597</v>
      </c>
      <c r="J2883">
        <v>0.81111063083998902</v>
      </c>
      <c r="K2883">
        <v>0.72846422720242299</v>
      </c>
      <c r="L2883">
        <v>1667.3013031543201</v>
      </c>
      <c r="M2883">
        <v>31.5618706021205</v>
      </c>
      <c r="O2883">
        <v>52.615718549533</v>
      </c>
      <c r="P2883">
        <v>-4.46859257137125E-2</v>
      </c>
      <c r="Q2883">
        <v>0.70202399937293303</v>
      </c>
      <c r="R2883">
        <v>0.79229682591905803</v>
      </c>
      <c r="S2883" t="s">
        <v>6512</v>
      </c>
      <c r="T2883" t="s">
        <v>7256</v>
      </c>
      <c r="U2883" t="s">
        <v>7256</v>
      </c>
      <c r="V2883" t="s">
        <v>7256</v>
      </c>
      <c r="W2883">
        <v>4</v>
      </c>
      <c r="X2883" t="s">
        <v>10139</v>
      </c>
      <c r="Y2883">
        <v>0.83116724065280601</v>
      </c>
      <c r="Z2883" t="str">
        <f>HYPERLINK("Melting_Curves/meltCurve_sp_Q9UPQ9_1_TNR6B_HUMAN_.pdf", "Melting_Curves/meltCurve_sp_Q9UPQ9_1_TNR6B_HUMAN_.pdf")</f>
        <v>Melting_Curves/meltCurve_sp_Q9UPQ9_1_TNR6B_HUMAN_.pdf</v>
      </c>
      <c r="AA2883" t="s">
        <v>13730</v>
      </c>
      <c r="AB2883" t="s">
        <v>17307</v>
      </c>
    </row>
    <row r="2884" spans="1:28" x14ac:dyDescent="0.25">
      <c r="A2884" t="s">
        <v>2888</v>
      </c>
      <c r="B2884">
        <v>0.98018197421672304</v>
      </c>
      <c r="C2884">
        <v>0.92748561433835297</v>
      </c>
      <c r="D2884">
        <v>0.83797925727219102</v>
      </c>
      <c r="E2884">
        <v>0.53861496561417299</v>
      </c>
      <c r="F2884">
        <v>0.28434533654417499</v>
      </c>
      <c r="G2884">
        <v>0.231997531896697</v>
      </c>
      <c r="H2884">
        <v>0.17331619011506899</v>
      </c>
      <c r="I2884">
        <v>0.16636769737627899</v>
      </c>
      <c r="J2884">
        <v>9.2753620900815806E-2</v>
      </c>
      <c r="K2884">
        <v>5.8086184274233003E-2</v>
      </c>
      <c r="L2884">
        <v>845.46664789387398</v>
      </c>
      <c r="M2884">
        <v>17.0159513677029</v>
      </c>
      <c r="N2884">
        <v>50.383621739915199</v>
      </c>
      <c r="O2884">
        <v>49.015690775436198</v>
      </c>
      <c r="P2884">
        <v>-7.7692522843319595E-2</v>
      </c>
      <c r="Q2884">
        <v>0.10485916811115201</v>
      </c>
      <c r="R2884">
        <v>0.99083939064336302</v>
      </c>
      <c r="S2884" t="s">
        <v>6513</v>
      </c>
      <c r="T2884" t="s">
        <v>7256</v>
      </c>
      <c r="U2884" t="s">
        <v>7256</v>
      </c>
      <c r="V2884" t="s">
        <v>7256</v>
      </c>
      <c r="W2884">
        <v>5</v>
      </c>
      <c r="X2884" t="s">
        <v>10140</v>
      </c>
      <c r="Y2884">
        <v>0.41096300242509531</v>
      </c>
      <c r="Z2884" t="str">
        <f>HYPERLINK("Melting_Curves/meltCurve_sp_Q9UPT5_2_EXOC7_HUMAN_.pdf", "Melting_Curves/meltCurve_sp_Q9UPT5_2_EXOC7_HUMAN_.pdf")</f>
        <v>Melting_Curves/meltCurve_sp_Q9UPT5_2_EXOC7_HUMAN_.pdf</v>
      </c>
      <c r="AA2884" t="s">
        <v>13731</v>
      </c>
      <c r="AB2884" t="s">
        <v>17308</v>
      </c>
    </row>
    <row r="2885" spans="1:28" x14ac:dyDescent="0.25">
      <c r="A2885" t="s">
        <v>2889</v>
      </c>
      <c r="B2885">
        <v>0.98018197421672304</v>
      </c>
      <c r="C2885">
        <v>1.07839699959339</v>
      </c>
      <c r="D2885">
        <v>0.99970858473608204</v>
      </c>
      <c r="E2885">
        <v>0.57050162895745005</v>
      </c>
      <c r="F2885">
        <v>0.25007022563238301</v>
      </c>
      <c r="G2885">
        <v>0.14246974606526799</v>
      </c>
      <c r="H2885">
        <v>9.4978871095265205E-2</v>
      </c>
      <c r="I2885">
        <v>7.5650924118348797E-2</v>
      </c>
      <c r="J2885">
        <v>7.5253240497756002E-2</v>
      </c>
      <c r="K2885">
        <v>8.9235198095811805E-2</v>
      </c>
      <c r="L2885">
        <v>1657.71943993073</v>
      </c>
      <c r="M2885">
        <v>32.9637126921237</v>
      </c>
      <c r="N2885">
        <v>50.6026338715238</v>
      </c>
      <c r="O2885">
        <v>50.105248274427801</v>
      </c>
      <c r="P2885">
        <v>-0.149287248258162</v>
      </c>
      <c r="Q2885">
        <v>9.2330678434146302E-2</v>
      </c>
      <c r="R2885">
        <v>0.99347520705186398</v>
      </c>
      <c r="S2885" t="s">
        <v>6514</v>
      </c>
      <c r="T2885" t="s">
        <v>7256</v>
      </c>
      <c r="U2885" t="s">
        <v>7256</v>
      </c>
      <c r="V2885" t="s">
        <v>7256</v>
      </c>
      <c r="W2885">
        <v>11</v>
      </c>
      <c r="X2885" t="s">
        <v>10141</v>
      </c>
      <c r="Y2885">
        <v>0.40830138290039969</v>
      </c>
      <c r="Z2885" t="str">
        <f>HYPERLINK("Melting_Curves/meltCurve_sp_Q9UPU5_UBP24_HUMAN_.pdf", "Melting_Curves/meltCurve_sp_Q9UPU5_UBP24_HUMAN_.pdf")</f>
        <v>Melting_Curves/meltCurve_sp_Q9UPU5_UBP24_HUMAN_.pdf</v>
      </c>
      <c r="AA2885" t="s">
        <v>13732</v>
      </c>
      <c r="AB2885" t="s">
        <v>17309</v>
      </c>
    </row>
    <row r="2886" spans="1:28" x14ac:dyDescent="0.25">
      <c r="A2886" t="s">
        <v>2890</v>
      </c>
      <c r="B2886">
        <v>0.98018197421672304</v>
      </c>
      <c r="C2886">
        <v>0.91171281199058096</v>
      </c>
      <c r="D2886">
        <v>0.907547311422223</v>
      </c>
      <c r="E2886">
        <v>0.605561665669616</v>
      </c>
      <c r="F2886">
        <v>0.51903788139156803</v>
      </c>
      <c r="G2886">
        <v>0.28531064381222598</v>
      </c>
      <c r="H2886">
        <v>0.31662797674510801</v>
      </c>
      <c r="I2886">
        <v>0.27516587641520102</v>
      </c>
      <c r="J2886">
        <v>0.306137489736449</v>
      </c>
      <c r="K2886">
        <v>0.50145371963170504</v>
      </c>
      <c r="L2886">
        <v>1062.5507226471</v>
      </c>
      <c r="M2886">
        <v>21.513480170267801</v>
      </c>
      <c r="N2886">
        <v>52.070503199641003</v>
      </c>
      <c r="O2886">
        <v>48.969178636267301</v>
      </c>
      <c r="P2886">
        <v>-7.3061360264488701E-2</v>
      </c>
      <c r="Q2886">
        <v>0.33480430756969198</v>
      </c>
      <c r="R2886">
        <v>0.93059750716100598</v>
      </c>
      <c r="S2886" t="s">
        <v>6515</v>
      </c>
      <c r="T2886" t="s">
        <v>7256</v>
      </c>
      <c r="U2886" t="s">
        <v>7256</v>
      </c>
      <c r="V2886" t="s">
        <v>7256</v>
      </c>
      <c r="W2886">
        <v>2</v>
      </c>
      <c r="X2886" t="s">
        <v>10142</v>
      </c>
      <c r="Y2886">
        <v>0.5510322765962683</v>
      </c>
      <c r="Z2886" t="str">
        <f>HYPERLINK("Melting_Curves/meltCurve_sp_Q9UPU7_2_TBD2B_HUMAN_.pdf", "Melting_Curves/meltCurve_sp_Q9UPU7_2_TBD2B_HUMAN_.pdf")</f>
        <v>Melting_Curves/meltCurve_sp_Q9UPU7_2_TBD2B_HUMAN_.pdf</v>
      </c>
      <c r="AA2886" t="s">
        <v>13733</v>
      </c>
      <c r="AB2886" t="s">
        <v>17310</v>
      </c>
    </row>
    <row r="2887" spans="1:28" x14ac:dyDescent="0.25">
      <c r="A2887" t="s">
        <v>2891</v>
      </c>
      <c r="B2887">
        <v>0.98018197421672304</v>
      </c>
      <c r="C2887">
        <v>0.85048737126555196</v>
      </c>
      <c r="D2887">
        <v>0.854754764860709</v>
      </c>
      <c r="E2887">
        <v>0.58190008738653798</v>
      </c>
      <c r="F2887">
        <v>0.24511123511917399</v>
      </c>
      <c r="G2887">
        <v>0.139041065971411</v>
      </c>
      <c r="H2887">
        <v>9.3500033763832494E-2</v>
      </c>
      <c r="I2887">
        <v>5.7244051366897301E-2</v>
      </c>
      <c r="J2887">
        <v>9.8722892270117601E-2</v>
      </c>
      <c r="K2887">
        <v>9.7827507331980104E-2</v>
      </c>
      <c r="L2887">
        <v>951.26620592898905</v>
      </c>
      <c r="M2887">
        <v>19.0614973410534</v>
      </c>
      <c r="N2887">
        <v>50.290662996673802</v>
      </c>
      <c r="O2887">
        <v>49.365585760462501</v>
      </c>
      <c r="P2887">
        <v>-8.9973729571150199E-2</v>
      </c>
      <c r="Q2887">
        <v>6.7978597931084003E-2</v>
      </c>
      <c r="R2887">
        <v>0.98402819256045604</v>
      </c>
      <c r="S2887" t="s">
        <v>6516</v>
      </c>
      <c r="T2887" t="s">
        <v>7256</v>
      </c>
      <c r="U2887" t="s">
        <v>7256</v>
      </c>
      <c r="V2887" t="s">
        <v>7256</v>
      </c>
      <c r="W2887">
        <v>2</v>
      </c>
      <c r="X2887" t="s">
        <v>10143</v>
      </c>
      <c r="Y2887">
        <v>0.38995844720220513</v>
      </c>
      <c r="Z2887" t="str">
        <f>HYPERLINK("Melting_Curves/meltCurve_sp_Q9UPY3_2_DICER_HUMAN_.pdf", "Melting_Curves/meltCurve_sp_Q9UPY3_2_DICER_HUMAN_.pdf")</f>
        <v>Melting_Curves/meltCurve_sp_Q9UPY3_2_DICER_HUMAN_.pdf</v>
      </c>
      <c r="AA2887" t="s">
        <v>13734</v>
      </c>
      <c r="AB2887" t="s">
        <v>17311</v>
      </c>
    </row>
    <row r="2888" spans="1:28" x14ac:dyDescent="0.25">
      <c r="A2888" t="s">
        <v>2892</v>
      </c>
      <c r="B2888">
        <v>0.98018197421672304</v>
      </c>
      <c r="C2888">
        <v>0.96998136691196502</v>
      </c>
      <c r="D2888">
        <v>0.84507124468193096</v>
      </c>
      <c r="E2888">
        <v>0.65901005739328899</v>
      </c>
      <c r="F2888">
        <v>0.56316316005115596</v>
      </c>
      <c r="G2888">
        <v>0.28662386827557201</v>
      </c>
      <c r="H2888">
        <v>0.20242773617212201</v>
      </c>
      <c r="I2888">
        <v>0.18956079273703699</v>
      </c>
      <c r="J2888">
        <v>0.24614439495871401</v>
      </c>
      <c r="K2888">
        <v>0.29483477591440699</v>
      </c>
      <c r="L2888">
        <v>818.50554966484299</v>
      </c>
      <c r="M2888">
        <v>16.035758111518501</v>
      </c>
      <c r="N2888">
        <v>52.797603707243702</v>
      </c>
      <c r="O2888">
        <v>50.2685295923024</v>
      </c>
      <c r="P2888">
        <v>-6.3279327154599399E-2</v>
      </c>
      <c r="Q2888">
        <v>0.206595376969952</v>
      </c>
      <c r="R2888">
        <v>0.97703948323785506</v>
      </c>
      <c r="S2888" t="s">
        <v>6517</v>
      </c>
      <c r="T2888" t="s">
        <v>7256</v>
      </c>
      <c r="U2888" t="s">
        <v>7256</v>
      </c>
      <c r="V2888" t="s">
        <v>7256</v>
      </c>
      <c r="W2888">
        <v>5</v>
      </c>
      <c r="X2888" t="s">
        <v>10144</v>
      </c>
      <c r="Y2888">
        <v>0.51500079440218127</v>
      </c>
      <c r="Z2888" t="str">
        <f>HYPERLINK("Melting_Curves/meltCurve_sp_Q9UPY8_2_MARE3_HUMAN_.pdf", "Melting_Curves/meltCurve_sp_Q9UPY8_2_MARE3_HUMAN_.pdf")</f>
        <v>Melting_Curves/meltCurve_sp_Q9UPY8_2_MARE3_HUMAN_.pdf</v>
      </c>
      <c r="AA2888" t="s">
        <v>13735</v>
      </c>
      <c r="AB2888" t="s">
        <v>17312</v>
      </c>
    </row>
    <row r="2889" spans="1:28" x14ac:dyDescent="0.25">
      <c r="A2889" t="s">
        <v>2893</v>
      </c>
      <c r="B2889">
        <v>0.98018197421672304</v>
      </c>
      <c r="C2889">
        <v>0.97480663715568305</v>
      </c>
      <c r="D2889">
        <v>0.92163744027814698</v>
      </c>
      <c r="E2889">
        <v>0.78674402476613203</v>
      </c>
      <c r="F2889">
        <v>0.67659541136769397</v>
      </c>
      <c r="G2889">
        <v>0.48023586480504699</v>
      </c>
      <c r="H2889">
        <v>0.42903267630881597</v>
      </c>
      <c r="I2889">
        <v>0.46267771028662902</v>
      </c>
      <c r="J2889">
        <v>0.59910171961640801</v>
      </c>
      <c r="K2889">
        <v>0.58681469150434695</v>
      </c>
      <c r="L2889">
        <v>1164.3257282628499</v>
      </c>
      <c r="M2889">
        <v>23.039712600856799</v>
      </c>
      <c r="O2889">
        <v>50.159510117155897</v>
      </c>
      <c r="P2889">
        <v>-5.6410301611382399E-2</v>
      </c>
      <c r="Q2889">
        <v>0.50876809337676798</v>
      </c>
      <c r="R2889">
        <v>0.923166543696197</v>
      </c>
      <c r="S2889" t="s">
        <v>6518</v>
      </c>
      <c r="T2889" t="s">
        <v>7256</v>
      </c>
      <c r="U2889" t="s">
        <v>7256</v>
      </c>
      <c r="V2889" t="s">
        <v>7256</v>
      </c>
      <c r="W2889">
        <v>18</v>
      </c>
      <c r="X2889" t="s">
        <v>10145</v>
      </c>
      <c r="Y2889">
        <v>0.6864711293331619</v>
      </c>
      <c r="Z2889" t="str">
        <f>HYPERLINK("Melting_Curves/meltCurve_sp_Q9UQ35_SRRM2_HUMAN_.pdf", "Melting_Curves/meltCurve_sp_Q9UQ35_SRRM2_HUMAN_.pdf")</f>
        <v>Melting_Curves/meltCurve_sp_Q9UQ35_SRRM2_HUMAN_.pdf</v>
      </c>
      <c r="AA2889" t="s">
        <v>13736</v>
      </c>
      <c r="AB2889" t="s">
        <v>17313</v>
      </c>
    </row>
    <row r="2890" spans="1:28" x14ac:dyDescent="0.25">
      <c r="A2890" t="s">
        <v>2894</v>
      </c>
      <c r="B2890">
        <v>0.98018197421672304</v>
      </c>
      <c r="C2890">
        <v>0.94983139626388202</v>
      </c>
      <c r="D2890">
        <v>0.82629091996980297</v>
      </c>
      <c r="E2890">
        <v>0.43316309635189798</v>
      </c>
      <c r="F2890">
        <v>0.214693382646991</v>
      </c>
      <c r="G2890">
        <v>0.10288972465436</v>
      </c>
      <c r="H2890">
        <v>6.7762205720204804E-2</v>
      </c>
      <c r="I2890">
        <v>5.2695412254248897E-2</v>
      </c>
      <c r="J2890">
        <v>0.113951030162981</v>
      </c>
      <c r="K2890">
        <v>6.3465935507064405E-2</v>
      </c>
      <c r="L2890">
        <v>1089.3894946109999</v>
      </c>
      <c r="M2890">
        <v>22.2357473657725</v>
      </c>
      <c r="N2890">
        <v>49.319783115382997</v>
      </c>
      <c r="O2890">
        <v>48.601615209794303</v>
      </c>
      <c r="P2890">
        <v>-0.106539107371699</v>
      </c>
      <c r="Q2890">
        <v>6.85518087581551E-2</v>
      </c>
      <c r="R2890">
        <v>0.99791160257968803</v>
      </c>
      <c r="S2890" t="s">
        <v>6519</v>
      </c>
      <c r="T2890" t="s">
        <v>7256</v>
      </c>
      <c r="U2890" t="s">
        <v>7256</v>
      </c>
      <c r="V2890" t="s">
        <v>7256</v>
      </c>
      <c r="W2890">
        <v>5</v>
      </c>
      <c r="X2890" t="s">
        <v>10146</v>
      </c>
      <c r="Y2890">
        <v>0.35826551263793288</v>
      </c>
      <c r="Z2890" t="str">
        <f>HYPERLINK("Melting_Curves/meltCurve_sp_Q9UQ80_PA2G4_HUMAN_.pdf", "Melting_Curves/meltCurve_sp_Q9UQ80_PA2G4_HUMAN_.pdf")</f>
        <v>Melting_Curves/meltCurve_sp_Q9UQ80_PA2G4_HUMAN_.pdf</v>
      </c>
      <c r="AA2890" t="s">
        <v>13737</v>
      </c>
      <c r="AB2890" t="s">
        <v>17314</v>
      </c>
    </row>
    <row r="2891" spans="1:28" x14ac:dyDescent="0.25">
      <c r="A2891" t="s">
        <v>2895</v>
      </c>
      <c r="B2891">
        <v>0.98018197421672304</v>
      </c>
      <c r="C2891">
        <v>0.85799467493238402</v>
      </c>
      <c r="D2891">
        <v>0.77520779789920402</v>
      </c>
      <c r="E2891">
        <v>0.58566966538932796</v>
      </c>
      <c r="F2891">
        <v>0.48425105167146598</v>
      </c>
      <c r="G2891">
        <v>0.356584407046864</v>
      </c>
      <c r="H2891">
        <v>0.28088790578186101</v>
      </c>
      <c r="I2891">
        <v>0.29739009570267499</v>
      </c>
      <c r="J2891">
        <v>0.33308063836069102</v>
      </c>
      <c r="K2891">
        <v>0.35186812593261002</v>
      </c>
      <c r="L2891">
        <v>653.67148934697798</v>
      </c>
      <c r="M2891">
        <v>13.493193461797</v>
      </c>
      <c r="N2891">
        <v>51.8507354129625</v>
      </c>
      <c r="O2891">
        <v>47.4176069911856</v>
      </c>
      <c r="P2891">
        <v>-5.0237561011017298E-2</v>
      </c>
      <c r="Q2891">
        <v>0.293931131573196</v>
      </c>
      <c r="R2891">
        <v>0.98490417205305103</v>
      </c>
      <c r="S2891" t="s">
        <v>6520</v>
      </c>
      <c r="T2891" t="s">
        <v>7256</v>
      </c>
      <c r="U2891" t="s">
        <v>7256</v>
      </c>
      <c r="V2891" t="s">
        <v>7256</v>
      </c>
      <c r="W2891">
        <v>5</v>
      </c>
      <c r="X2891" t="s">
        <v>10147</v>
      </c>
      <c r="Y2891">
        <v>0.51444558921820027</v>
      </c>
      <c r="Z2891" t="str">
        <f>HYPERLINK("Melting_Curves/meltCurve_sp_Q9UQ88_4_CD11A_HUMAN_.pdf", "Melting_Curves/meltCurve_sp_Q9UQ88_4_CD11A_HUMAN_.pdf")</f>
        <v>Melting_Curves/meltCurve_sp_Q9UQ88_4_CD11A_HUMAN_.pdf</v>
      </c>
      <c r="AA2891" t="s">
        <v>13738</v>
      </c>
      <c r="AB2891" t="s">
        <v>17315</v>
      </c>
    </row>
    <row r="2892" spans="1:28" x14ac:dyDescent="0.25">
      <c r="A2892" t="s">
        <v>2896</v>
      </c>
      <c r="B2892">
        <v>0.98018197421672304</v>
      </c>
      <c r="C2892">
        <v>0.94161697157048796</v>
      </c>
      <c r="D2892">
        <v>0.867561936519195</v>
      </c>
      <c r="E2892">
        <v>0.72583493897566798</v>
      </c>
      <c r="F2892">
        <v>0.41194404516775701</v>
      </c>
      <c r="G2892">
        <v>0.31437688503383798</v>
      </c>
      <c r="H2892">
        <v>0.22071249961982101</v>
      </c>
      <c r="I2892">
        <v>0.16921109105340901</v>
      </c>
      <c r="J2892">
        <v>0.41170631730255203</v>
      </c>
      <c r="K2892">
        <v>0.19489451597822099</v>
      </c>
      <c r="L2892">
        <v>1053.4053063843101</v>
      </c>
      <c r="M2892">
        <v>20.818345391833802</v>
      </c>
      <c r="N2892">
        <v>52.234419850593497</v>
      </c>
      <c r="O2892">
        <v>50.139915827221103</v>
      </c>
      <c r="P2892">
        <v>-7.8957681460868498E-2</v>
      </c>
      <c r="Q2892">
        <v>0.239359043069334</v>
      </c>
      <c r="R2892">
        <v>0.94905593626351303</v>
      </c>
      <c r="S2892" t="s">
        <v>6521</v>
      </c>
      <c r="T2892" t="s">
        <v>7256</v>
      </c>
      <c r="U2892" t="s">
        <v>7256</v>
      </c>
      <c r="V2892" t="s">
        <v>7256</v>
      </c>
      <c r="W2892">
        <v>11</v>
      </c>
      <c r="X2892" t="s">
        <v>10148</v>
      </c>
      <c r="Y2892">
        <v>0.5179040676337896</v>
      </c>
      <c r="Z2892" t="str">
        <f>HYPERLINK("Melting_Curves/meltCurve_sp_Q9UQB8_5_BAIP2_HUMAN_.pdf", "Melting_Curves/meltCurve_sp_Q9UQB8_5_BAIP2_HUMAN_.pdf")</f>
        <v>Melting_Curves/meltCurve_sp_Q9UQB8_5_BAIP2_HUMAN_.pdf</v>
      </c>
      <c r="AA2892" t="s">
        <v>13739</v>
      </c>
      <c r="AB2892" t="s">
        <v>17316</v>
      </c>
    </row>
    <row r="2893" spans="1:28" x14ac:dyDescent="0.25">
      <c r="A2893" t="s">
        <v>2897</v>
      </c>
      <c r="B2893">
        <v>0.98018197421672304</v>
      </c>
      <c r="C2893">
        <v>0.94551573498202202</v>
      </c>
      <c r="D2893">
        <v>0.77069168214534001</v>
      </c>
      <c r="E2893">
        <v>0.56470438409170198</v>
      </c>
      <c r="F2893">
        <v>0.31431121620029601</v>
      </c>
      <c r="G2893">
        <v>0.17696219465230001</v>
      </c>
      <c r="H2893">
        <v>0.119245985032573</v>
      </c>
      <c r="I2893">
        <v>0.100789669989564</v>
      </c>
      <c r="J2893">
        <v>8.6323335773399595E-2</v>
      </c>
      <c r="K2893">
        <v>8.5504232269119296E-2</v>
      </c>
      <c r="L2893">
        <v>777.42108269528205</v>
      </c>
      <c r="M2893">
        <v>15.5828004462106</v>
      </c>
      <c r="N2893">
        <v>50.367795084294002</v>
      </c>
      <c r="O2893">
        <v>49.089736601707997</v>
      </c>
      <c r="P2893">
        <v>-7.3909399314255206E-2</v>
      </c>
      <c r="Q2893">
        <v>6.8748307367984096E-2</v>
      </c>
      <c r="R2893">
        <v>0.99731382290341297</v>
      </c>
      <c r="S2893" t="s">
        <v>6522</v>
      </c>
      <c r="T2893" t="s">
        <v>7256</v>
      </c>
      <c r="U2893" t="s">
        <v>7256</v>
      </c>
      <c r="V2893" t="s">
        <v>7256</v>
      </c>
      <c r="W2893">
        <v>6</v>
      </c>
      <c r="X2893" t="s">
        <v>10149</v>
      </c>
      <c r="Y2893">
        <v>0.39655077348153372</v>
      </c>
      <c r="Z2893" t="str">
        <f>HYPERLINK("Melting_Curves/meltCurve_sp_Q9UQE7_SMC3_HUMAN_.pdf", "Melting_Curves/meltCurve_sp_Q9UQE7_SMC3_HUMAN_.pdf")</f>
        <v>Melting_Curves/meltCurve_sp_Q9UQE7_SMC3_HUMAN_.pdf</v>
      </c>
      <c r="AA2893" t="s">
        <v>13740</v>
      </c>
      <c r="AB2893" t="s">
        <v>17317</v>
      </c>
    </row>
    <row r="2894" spans="1:28" x14ac:dyDescent="0.25">
      <c r="A2894" t="s">
        <v>2898</v>
      </c>
      <c r="B2894">
        <v>0.98018197421672304</v>
      </c>
      <c r="C2894">
        <v>1.1148866524027099</v>
      </c>
      <c r="D2894">
        <v>0.98511666051165403</v>
      </c>
      <c r="E2894">
        <v>0.89141855445702101</v>
      </c>
      <c r="F2894">
        <v>0.77328953495803399</v>
      </c>
      <c r="G2894">
        <v>0.44573263616282899</v>
      </c>
      <c r="H2894">
        <v>0.56166752421215904</v>
      </c>
      <c r="I2894">
        <v>0.64522044238324505</v>
      </c>
      <c r="J2894">
        <v>0.80524912300340201</v>
      </c>
      <c r="K2894">
        <v>1.0620546836981499</v>
      </c>
      <c r="L2894">
        <v>2379.5514720802198</v>
      </c>
      <c r="M2894">
        <v>46.967738361531801</v>
      </c>
      <c r="O2894">
        <v>50.571940843493003</v>
      </c>
      <c r="P2894">
        <v>-6.7552079950709498E-2</v>
      </c>
      <c r="Q2894">
        <v>0.70905679310978198</v>
      </c>
      <c r="R2894">
        <v>0.44759461394871303</v>
      </c>
      <c r="S2894" t="s">
        <v>6523</v>
      </c>
      <c r="T2894" t="s">
        <v>7256</v>
      </c>
      <c r="U2894" t="s">
        <v>7256</v>
      </c>
      <c r="V2894" t="s">
        <v>7256</v>
      </c>
      <c r="W2894">
        <v>2</v>
      </c>
      <c r="X2894" t="s">
        <v>10150</v>
      </c>
      <c r="Y2894">
        <v>0.81321024732157687</v>
      </c>
      <c r="Z2894" t="str">
        <f>HYPERLINK("Melting_Curves/meltCurve_sp_Q9UQN3_CHM2B_HUMAN_.pdf", "Melting_Curves/meltCurve_sp_Q9UQN3_CHM2B_HUMAN_.pdf")</f>
        <v>Melting_Curves/meltCurve_sp_Q9UQN3_CHM2B_HUMAN_.pdf</v>
      </c>
      <c r="AA2894" t="s">
        <v>13741</v>
      </c>
      <c r="AB2894" t="s">
        <v>17318</v>
      </c>
    </row>
    <row r="2895" spans="1:28" x14ac:dyDescent="0.25">
      <c r="A2895" t="s">
        <v>2899</v>
      </c>
      <c r="B2895">
        <v>0.98018197421672304</v>
      </c>
      <c r="C2895">
        <v>1.0340419538336401</v>
      </c>
      <c r="D2895">
        <v>0.94082362519789198</v>
      </c>
      <c r="E2895">
        <v>0.61302595617067801</v>
      </c>
      <c r="F2895">
        <v>0.237441441684865</v>
      </c>
      <c r="G2895">
        <v>9.3433070354640907E-2</v>
      </c>
      <c r="H2895">
        <v>7.6300170067692893E-2</v>
      </c>
      <c r="I2895">
        <v>4.8236540209442097E-2</v>
      </c>
      <c r="J2895">
        <v>8.4485353804262101E-2</v>
      </c>
      <c r="K2895">
        <v>8.4672789526986494E-2</v>
      </c>
      <c r="L2895">
        <v>1594.4075403321599</v>
      </c>
      <c r="M2895">
        <v>31.575424673645198</v>
      </c>
      <c r="N2895">
        <v>50.741398880408497</v>
      </c>
      <c r="O2895">
        <v>50.293966751757601</v>
      </c>
      <c r="P2895">
        <v>-0.14580801221120901</v>
      </c>
      <c r="Q2895">
        <v>7.1021371228518093E-2</v>
      </c>
      <c r="R2895">
        <v>0.99807724580175905</v>
      </c>
      <c r="S2895" t="s">
        <v>6524</v>
      </c>
      <c r="T2895" t="s">
        <v>7256</v>
      </c>
      <c r="U2895" t="s">
        <v>7256</v>
      </c>
      <c r="V2895" t="s">
        <v>7256</v>
      </c>
      <c r="W2895">
        <v>1</v>
      </c>
      <c r="X2895" t="s">
        <v>10151</v>
      </c>
      <c r="Y2895">
        <v>0.40124051589942428</v>
      </c>
      <c r="Z2895" t="str">
        <f>HYPERLINK("Melting_Curves/meltCurve_sp_Q9Y217_MTMR6_HUMAN_.pdf", "Melting_Curves/meltCurve_sp_Q9Y217_MTMR6_HUMAN_.pdf")</f>
        <v>Melting_Curves/meltCurve_sp_Q9Y217_MTMR6_HUMAN_.pdf</v>
      </c>
      <c r="AA2895" t="s">
        <v>13742</v>
      </c>
      <c r="AB2895" t="s">
        <v>17319</v>
      </c>
    </row>
    <row r="2896" spans="1:28" x14ac:dyDescent="0.25">
      <c r="A2896" t="s">
        <v>2900</v>
      </c>
      <c r="B2896">
        <v>0.98018197421672304</v>
      </c>
      <c r="C2896">
        <v>0.87118474810373003</v>
      </c>
      <c r="D2896">
        <v>0.48692606208500699</v>
      </c>
      <c r="E2896">
        <v>0.22178900474027499</v>
      </c>
      <c r="F2896">
        <v>0.14051949313899001</v>
      </c>
      <c r="G2896">
        <v>9.3758508149814498E-2</v>
      </c>
      <c r="H2896">
        <v>5.6746720445140203E-2</v>
      </c>
      <c r="I2896">
        <v>4.5704746472479803E-2</v>
      </c>
      <c r="J2896">
        <v>5.4061392527120299E-2</v>
      </c>
      <c r="K2896">
        <v>5.0479826214399899E-2</v>
      </c>
      <c r="L2896">
        <v>1005.1901610513499</v>
      </c>
      <c r="M2896">
        <v>21.8731756233325</v>
      </c>
      <c r="N2896">
        <v>46.2384445648892</v>
      </c>
      <c r="O2896">
        <v>45.5764341344954</v>
      </c>
      <c r="P2896">
        <v>-0.112465298977074</v>
      </c>
      <c r="Q2896">
        <v>6.2659980310000502E-2</v>
      </c>
      <c r="R2896">
        <v>0.99532421229387402</v>
      </c>
      <c r="S2896" t="s">
        <v>6525</v>
      </c>
      <c r="T2896" t="s">
        <v>7256</v>
      </c>
      <c r="U2896" t="s">
        <v>7256</v>
      </c>
      <c r="V2896" t="s">
        <v>7256</v>
      </c>
      <c r="W2896">
        <v>13</v>
      </c>
      <c r="X2896" t="s">
        <v>10152</v>
      </c>
      <c r="Y2896">
        <v>0.26056011552543429</v>
      </c>
      <c r="Z2896" t="str">
        <f>HYPERLINK("Melting_Curves/meltCurve_sp_Q9Y223_GLCNE_HUMAN_.pdf", "Melting_Curves/meltCurve_sp_Q9Y223_GLCNE_HUMAN_.pdf")</f>
        <v>Melting_Curves/meltCurve_sp_Q9Y223_GLCNE_HUMAN_.pdf</v>
      </c>
      <c r="AA2896" t="s">
        <v>13743</v>
      </c>
      <c r="AB2896" t="s">
        <v>17320</v>
      </c>
    </row>
    <row r="2897" spans="1:28" x14ac:dyDescent="0.25">
      <c r="A2897" t="s">
        <v>2901</v>
      </c>
      <c r="B2897">
        <v>0.98018197421672304</v>
      </c>
      <c r="C2897">
        <v>0.96771609880621401</v>
      </c>
      <c r="D2897">
        <v>0.862406090844554</v>
      </c>
      <c r="E2897">
        <v>0.47998750144816099</v>
      </c>
      <c r="F2897">
        <v>0.28503772670265998</v>
      </c>
      <c r="G2897">
        <v>0.232153768554962</v>
      </c>
      <c r="H2897">
        <v>0.15892200719773</v>
      </c>
      <c r="I2897">
        <v>9.9987763878969793E-2</v>
      </c>
      <c r="J2897">
        <v>9.3486372801793699E-2</v>
      </c>
      <c r="K2897">
        <v>6.8014574852974699E-2</v>
      </c>
      <c r="L2897">
        <v>962.12447204754903</v>
      </c>
      <c r="M2897">
        <v>19.437659798051801</v>
      </c>
      <c r="N2897">
        <v>50.100419332167696</v>
      </c>
      <c r="O2897">
        <v>48.9829863613475</v>
      </c>
      <c r="P2897">
        <v>-8.8870590213262601E-2</v>
      </c>
      <c r="Q2897">
        <v>0.10421554670805599</v>
      </c>
      <c r="R2897">
        <v>0.99276497867949798</v>
      </c>
      <c r="S2897" t="s">
        <v>6526</v>
      </c>
      <c r="T2897" t="s">
        <v>7256</v>
      </c>
      <c r="U2897" t="s">
        <v>7256</v>
      </c>
      <c r="V2897" t="s">
        <v>7256</v>
      </c>
      <c r="W2897">
        <v>3</v>
      </c>
      <c r="X2897" t="s">
        <v>10153</v>
      </c>
      <c r="Y2897">
        <v>0.40104897788518229</v>
      </c>
      <c r="Z2897" t="str">
        <f>HYPERLINK("Melting_Curves/meltCurve_sp_Q9Y224_CN166_HUMAN_.pdf", "Melting_Curves/meltCurve_sp_Q9Y224_CN166_HUMAN_.pdf")</f>
        <v>Melting_Curves/meltCurve_sp_Q9Y224_CN166_HUMAN_.pdf</v>
      </c>
      <c r="AA2897" t="s">
        <v>13744</v>
      </c>
      <c r="AB2897" t="s">
        <v>17321</v>
      </c>
    </row>
    <row r="2898" spans="1:28" x14ac:dyDescent="0.25">
      <c r="A2898" t="s">
        <v>2902</v>
      </c>
      <c r="B2898">
        <v>0.98018197421672304</v>
      </c>
      <c r="C2898">
        <v>0.89135976452927201</v>
      </c>
      <c r="D2898">
        <v>0.79430129555131601</v>
      </c>
      <c r="E2898">
        <v>0.55676427984633503</v>
      </c>
      <c r="F2898">
        <v>0.309352987217758</v>
      </c>
      <c r="G2898">
        <v>0.143769980329643</v>
      </c>
      <c r="H2898">
        <v>8.6216879089971901E-2</v>
      </c>
      <c r="I2898">
        <v>6.5088906432867494E-2</v>
      </c>
      <c r="J2898">
        <v>7.3066620883094804E-2</v>
      </c>
      <c r="K2898">
        <v>4.9046262753307097E-2</v>
      </c>
      <c r="L2898">
        <v>755.36699344629506</v>
      </c>
      <c r="M2898">
        <v>15.087434677066501</v>
      </c>
      <c r="N2898">
        <v>50.287578965647803</v>
      </c>
      <c r="O2898">
        <v>49.211117950898</v>
      </c>
      <c r="P2898">
        <v>-7.4188590316050296E-2</v>
      </c>
      <c r="Q2898">
        <v>3.2163377443638702E-2</v>
      </c>
      <c r="R2898">
        <v>0.99700277501982104</v>
      </c>
      <c r="S2898" t="s">
        <v>6527</v>
      </c>
      <c r="T2898" t="s">
        <v>7256</v>
      </c>
      <c r="U2898" t="s">
        <v>7256</v>
      </c>
      <c r="V2898" t="s">
        <v>7256</v>
      </c>
      <c r="W2898">
        <v>13</v>
      </c>
      <c r="X2898" t="s">
        <v>10154</v>
      </c>
      <c r="Y2898">
        <v>0.37969891025586727</v>
      </c>
      <c r="Z2898" t="str">
        <f>HYPERLINK("Melting_Curves/meltCurve_sp_Q9Y230_RUVB2_HUMAN_.pdf", "Melting_Curves/meltCurve_sp_Q9Y230_RUVB2_HUMAN_.pdf")</f>
        <v>Melting_Curves/meltCurve_sp_Q9Y230_RUVB2_HUMAN_.pdf</v>
      </c>
      <c r="AA2898" t="s">
        <v>13745</v>
      </c>
      <c r="AB2898" t="s">
        <v>17322</v>
      </c>
    </row>
    <row r="2899" spans="1:28" x14ac:dyDescent="0.25">
      <c r="A2899" t="s">
        <v>2903</v>
      </c>
      <c r="B2899">
        <v>0.98018197421672304</v>
      </c>
      <c r="C2899">
        <v>1.0447266820572201</v>
      </c>
      <c r="D2899">
        <v>0.97637552732673905</v>
      </c>
      <c r="E2899">
        <v>0.84100211120494095</v>
      </c>
      <c r="F2899">
        <v>0.890251170479882</v>
      </c>
      <c r="G2899">
        <v>0.71712694463562998</v>
      </c>
      <c r="H2899">
        <v>0.48965683432801199</v>
      </c>
      <c r="I2899">
        <v>0.47306933219200697</v>
      </c>
      <c r="J2899">
        <v>0.49045638558453097</v>
      </c>
      <c r="K2899">
        <v>0.61358896735338697</v>
      </c>
      <c r="L2899">
        <v>1093.1628401048599</v>
      </c>
      <c r="M2899">
        <v>19.845437870832001</v>
      </c>
      <c r="O2899">
        <v>54.533668876103199</v>
      </c>
      <c r="P2899">
        <v>-4.5525665863655397E-2</v>
      </c>
      <c r="Q2899">
        <v>0.49961326941150502</v>
      </c>
      <c r="R2899">
        <v>0.91593708048077105</v>
      </c>
      <c r="S2899" t="s">
        <v>6528</v>
      </c>
      <c r="T2899" t="s">
        <v>7256</v>
      </c>
      <c r="U2899" t="s">
        <v>7256</v>
      </c>
      <c r="V2899" t="s">
        <v>7256</v>
      </c>
      <c r="W2899">
        <v>3</v>
      </c>
      <c r="X2899" t="s">
        <v>10155</v>
      </c>
      <c r="Y2899">
        <v>0.75792942496146032</v>
      </c>
      <c r="Z2899" t="str">
        <f>HYPERLINK("Melting_Curves/meltCurve_sp_Q9Y237_PIN4_HUMAN_.pdf", "Melting_Curves/meltCurve_sp_Q9Y237_PIN4_HUMAN_.pdf")</f>
        <v>Melting_Curves/meltCurve_sp_Q9Y237_PIN4_HUMAN_.pdf</v>
      </c>
      <c r="AA2899" t="s">
        <v>13746</v>
      </c>
      <c r="AB2899" t="s">
        <v>17323</v>
      </c>
    </row>
    <row r="2900" spans="1:28" x14ac:dyDescent="0.25">
      <c r="A2900" t="s">
        <v>2904</v>
      </c>
      <c r="B2900">
        <v>0.98018197421672304</v>
      </c>
      <c r="C2900">
        <v>1.0097211918621301</v>
      </c>
      <c r="D2900">
        <v>0.88838321217740801</v>
      </c>
      <c r="E2900">
        <v>0.70020068975493099</v>
      </c>
      <c r="F2900">
        <v>0.63581662729163402</v>
      </c>
      <c r="G2900">
        <v>0.43413038372949198</v>
      </c>
      <c r="H2900">
        <v>0.28810616976129899</v>
      </c>
      <c r="I2900">
        <v>0.122381958458382</v>
      </c>
      <c r="J2900">
        <v>9.4097082916604402E-2</v>
      </c>
      <c r="K2900">
        <v>9.2038761547933307E-2</v>
      </c>
      <c r="L2900">
        <v>616.69994068909398</v>
      </c>
      <c r="M2900">
        <v>11.193480456069</v>
      </c>
      <c r="N2900">
        <v>55.094565360580603</v>
      </c>
      <c r="O2900">
        <v>53.4238791110728</v>
      </c>
      <c r="P2900">
        <v>-5.23970353629616E-2</v>
      </c>
      <c r="Q2900">
        <v>0</v>
      </c>
      <c r="R2900">
        <v>0.99008442863040003</v>
      </c>
      <c r="S2900" t="s">
        <v>6529</v>
      </c>
      <c r="T2900" t="s">
        <v>7256</v>
      </c>
      <c r="U2900" t="s">
        <v>7256</v>
      </c>
      <c r="V2900" t="s">
        <v>7256</v>
      </c>
      <c r="W2900">
        <v>2</v>
      </c>
      <c r="X2900" t="s">
        <v>10156</v>
      </c>
      <c r="Y2900">
        <v>0.527329344317226</v>
      </c>
      <c r="Z2900" t="str">
        <f>HYPERLINK("Melting_Curves/meltCurve_sp_Q9Y259_CHKB_HUMAN_.pdf", "Melting_Curves/meltCurve_sp_Q9Y259_CHKB_HUMAN_.pdf")</f>
        <v>Melting_Curves/meltCurve_sp_Q9Y259_CHKB_HUMAN_.pdf</v>
      </c>
      <c r="AA2900" t="s">
        <v>13747</v>
      </c>
      <c r="AB2900" t="s">
        <v>17324</v>
      </c>
    </row>
    <row r="2901" spans="1:28" x14ac:dyDescent="0.25">
      <c r="A2901" t="s">
        <v>2905</v>
      </c>
      <c r="B2901">
        <v>0.98018197421672304</v>
      </c>
      <c r="C2901">
        <v>0.96033121561957302</v>
      </c>
      <c r="D2901">
        <v>0.84800271969999896</v>
      </c>
      <c r="E2901">
        <v>0.63544697504343906</v>
      </c>
      <c r="F2901">
        <v>0.29514143632522</v>
      </c>
      <c r="G2901">
        <v>0.12791607463889701</v>
      </c>
      <c r="H2901">
        <v>7.3566489208773997E-2</v>
      </c>
      <c r="I2901">
        <v>6.2363979496794203E-2</v>
      </c>
      <c r="J2901">
        <v>6.7626909182750494E-2</v>
      </c>
      <c r="K2901">
        <v>5.8094703846613201E-2</v>
      </c>
      <c r="L2901">
        <v>1022.07027096468</v>
      </c>
      <c r="M2901">
        <v>20.175206831352298</v>
      </c>
      <c r="N2901">
        <v>50.913671949569199</v>
      </c>
      <c r="O2901">
        <v>50.169883555554001</v>
      </c>
      <c r="P2901">
        <v>-9.5725124655491906E-2</v>
      </c>
      <c r="Q2901">
        <v>4.7867538417545902E-2</v>
      </c>
      <c r="R2901">
        <v>0.995895157487236</v>
      </c>
      <c r="S2901" t="s">
        <v>6530</v>
      </c>
      <c r="T2901" t="s">
        <v>7256</v>
      </c>
      <c r="U2901" t="s">
        <v>7256</v>
      </c>
      <c r="V2901" t="s">
        <v>7256</v>
      </c>
      <c r="W2901">
        <v>6</v>
      </c>
      <c r="X2901" t="s">
        <v>10157</v>
      </c>
      <c r="Y2901">
        <v>0.39919366225658909</v>
      </c>
      <c r="Z2901" t="str">
        <f>HYPERLINK("Melting_Curves/meltCurve_sp_Q9Y262_2_EIF3L_HUMAN_.pdf", "Melting_Curves/meltCurve_sp_Q9Y262_2_EIF3L_HUMAN_.pdf")</f>
        <v>Melting_Curves/meltCurve_sp_Q9Y262_2_EIF3L_HUMAN_.pdf</v>
      </c>
      <c r="AA2901" t="s">
        <v>13748</v>
      </c>
      <c r="AB2901" t="s">
        <v>17325</v>
      </c>
    </row>
    <row r="2902" spans="1:28" x14ac:dyDescent="0.25">
      <c r="A2902" t="s">
        <v>2906</v>
      </c>
      <c r="B2902">
        <v>0.98018197421672304</v>
      </c>
      <c r="C2902">
        <v>0.93975066112460304</v>
      </c>
      <c r="D2902">
        <v>0.89227329804539002</v>
      </c>
      <c r="E2902">
        <v>0.71719620815403795</v>
      </c>
      <c r="F2902">
        <v>0.37605121172337902</v>
      </c>
      <c r="G2902">
        <v>0.14500048268294599</v>
      </c>
      <c r="H2902">
        <v>7.6320839924359396E-2</v>
      </c>
      <c r="I2902">
        <v>6.1981270276799401E-2</v>
      </c>
      <c r="J2902">
        <v>7.5666482951244798E-2</v>
      </c>
      <c r="K2902">
        <v>4.9436111414513199E-2</v>
      </c>
      <c r="L2902">
        <v>1113.85333130668</v>
      </c>
      <c r="M2902">
        <v>21.5928388823639</v>
      </c>
      <c r="N2902">
        <v>51.830643158377399</v>
      </c>
      <c r="O2902">
        <v>51.1480661277729</v>
      </c>
      <c r="P2902">
        <v>-0.100397931158483</v>
      </c>
      <c r="Q2902">
        <v>4.8751954257043102E-2</v>
      </c>
      <c r="R2902">
        <v>0.995481986570806</v>
      </c>
      <c r="S2902" t="s">
        <v>6531</v>
      </c>
      <c r="T2902" t="s">
        <v>7256</v>
      </c>
      <c r="U2902" t="s">
        <v>7256</v>
      </c>
      <c r="V2902" t="s">
        <v>7256</v>
      </c>
      <c r="W2902">
        <v>14</v>
      </c>
      <c r="X2902" t="s">
        <v>10158</v>
      </c>
      <c r="Y2902">
        <v>0.42751382417053663</v>
      </c>
      <c r="Z2902" t="str">
        <f>HYPERLINK("Melting_Curves/meltCurve_sp_Q9Y263_PLAP_HUMAN_.pdf", "Melting_Curves/meltCurve_sp_Q9Y263_PLAP_HUMAN_.pdf")</f>
        <v>Melting_Curves/meltCurve_sp_Q9Y263_PLAP_HUMAN_.pdf</v>
      </c>
      <c r="AA2902" t="s">
        <v>13749</v>
      </c>
      <c r="AB2902" t="s">
        <v>17326</v>
      </c>
    </row>
    <row r="2903" spans="1:28" x14ac:dyDescent="0.25">
      <c r="A2903" t="s">
        <v>2907</v>
      </c>
      <c r="B2903">
        <v>0.98018197421672304</v>
      </c>
      <c r="C2903">
        <v>0.89857116280024696</v>
      </c>
      <c r="D2903">
        <v>0.87607821796710095</v>
      </c>
      <c r="E2903">
        <v>0.59704617636593504</v>
      </c>
      <c r="F2903">
        <v>0.39193437208651999</v>
      </c>
      <c r="G2903">
        <v>0.14484456126602099</v>
      </c>
      <c r="H2903">
        <v>9.7306071601432301E-2</v>
      </c>
      <c r="I2903">
        <v>6.5243553426949805E-2</v>
      </c>
      <c r="J2903">
        <v>0.102402574972702</v>
      </c>
      <c r="K2903">
        <v>6.28927616422464E-2</v>
      </c>
      <c r="L2903">
        <v>856.482736924699</v>
      </c>
      <c r="M2903">
        <v>16.839451697440602</v>
      </c>
      <c r="N2903">
        <v>51.183875558405298</v>
      </c>
      <c r="O2903">
        <v>50.1606450042609</v>
      </c>
      <c r="P2903">
        <v>-7.9712070472860497E-2</v>
      </c>
      <c r="Q2903">
        <v>5.02891900859265E-2</v>
      </c>
      <c r="R2903">
        <v>0.99422618016616204</v>
      </c>
      <c r="S2903" t="s">
        <v>6532</v>
      </c>
      <c r="T2903" t="s">
        <v>7256</v>
      </c>
      <c r="U2903" t="s">
        <v>7256</v>
      </c>
      <c r="V2903" t="s">
        <v>7256</v>
      </c>
      <c r="W2903">
        <v>5</v>
      </c>
      <c r="X2903" t="s">
        <v>10159</v>
      </c>
      <c r="Y2903">
        <v>0.41219956627999332</v>
      </c>
      <c r="Z2903" t="str">
        <f>HYPERLINK("Melting_Curves/meltCurve_sp_Q9Y265_RUVB1_HUMAN_.pdf", "Melting_Curves/meltCurve_sp_Q9Y265_RUVB1_HUMAN_.pdf")</f>
        <v>Melting_Curves/meltCurve_sp_Q9Y265_RUVB1_HUMAN_.pdf</v>
      </c>
      <c r="AA2903" t="s">
        <v>13750</v>
      </c>
      <c r="AB2903" t="s">
        <v>17327</v>
      </c>
    </row>
    <row r="2904" spans="1:28" x14ac:dyDescent="0.25">
      <c r="A2904" t="s">
        <v>2908</v>
      </c>
      <c r="B2904">
        <v>0.98018197421672304</v>
      </c>
      <c r="C2904">
        <v>0.96923286251362195</v>
      </c>
      <c r="D2904">
        <v>0.95545442294482696</v>
      </c>
      <c r="E2904">
        <v>0.82236410388303904</v>
      </c>
      <c r="F2904">
        <v>0.63110060819387803</v>
      </c>
      <c r="G2904">
        <v>0.14605689464312999</v>
      </c>
      <c r="H2904">
        <v>7.61959790111323E-2</v>
      </c>
      <c r="I2904">
        <v>5.9922974779140201E-2</v>
      </c>
      <c r="J2904">
        <v>6.1261184655170102E-2</v>
      </c>
      <c r="K2904">
        <v>5.5210082536198898E-2</v>
      </c>
      <c r="L2904">
        <v>1455.0623716632999</v>
      </c>
      <c r="M2904">
        <v>27.212242373541802</v>
      </c>
      <c r="N2904">
        <v>53.655614150104498</v>
      </c>
      <c r="O2904">
        <v>53.184607377472801</v>
      </c>
      <c r="P2904">
        <v>-0.12219501265100099</v>
      </c>
      <c r="Q2904">
        <v>4.4719362023302102E-2</v>
      </c>
      <c r="R2904">
        <v>0.99380887447494004</v>
      </c>
      <c r="S2904" t="s">
        <v>6533</v>
      </c>
      <c r="T2904" t="s">
        <v>7256</v>
      </c>
      <c r="U2904" t="s">
        <v>7256</v>
      </c>
      <c r="V2904" t="s">
        <v>7256</v>
      </c>
      <c r="W2904">
        <v>17</v>
      </c>
      <c r="X2904" t="s">
        <v>10160</v>
      </c>
      <c r="Y2904">
        <v>0.48119046742689597</v>
      </c>
      <c r="Z2904" t="str">
        <f>HYPERLINK("Melting_Curves/meltCurve_sp_Q9Y266_NUDC_HUMAN_.pdf", "Melting_Curves/meltCurve_sp_Q9Y266_NUDC_HUMAN_.pdf")</f>
        <v>Melting_Curves/meltCurve_sp_Q9Y266_NUDC_HUMAN_.pdf</v>
      </c>
      <c r="AA2904" t="s">
        <v>13751</v>
      </c>
      <c r="AB2904" t="s">
        <v>17328</v>
      </c>
    </row>
    <row r="2905" spans="1:28" x14ac:dyDescent="0.25">
      <c r="A2905" t="s">
        <v>2909</v>
      </c>
      <c r="B2905">
        <v>0.98018197421672304</v>
      </c>
      <c r="C2905">
        <v>1.00908615448753</v>
      </c>
      <c r="D2905">
        <v>0.96989250243362801</v>
      </c>
      <c r="E2905">
        <v>0.84237364131374404</v>
      </c>
      <c r="F2905">
        <v>0.84444580441843797</v>
      </c>
      <c r="G2905">
        <v>0.56364481743601103</v>
      </c>
      <c r="H2905">
        <v>0.213121207283264</v>
      </c>
      <c r="I2905">
        <v>0.111623209950553</v>
      </c>
      <c r="J2905">
        <v>9.5675379523824405E-2</v>
      </c>
      <c r="K2905">
        <v>9.9047287339128098E-2</v>
      </c>
      <c r="L2905">
        <v>1100.8024520705601</v>
      </c>
      <c r="M2905">
        <v>19.304403555009799</v>
      </c>
      <c r="N2905">
        <v>57.262735149731299</v>
      </c>
      <c r="O2905">
        <v>56.422045804076603</v>
      </c>
      <c r="P2905">
        <v>-8.2223446011821605E-2</v>
      </c>
      <c r="Q2905">
        <v>3.87599701587516E-2</v>
      </c>
      <c r="R2905">
        <v>0.98861577600758799</v>
      </c>
      <c r="S2905" t="s">
        <v>6534</v>
      </c>
      <c r="T2905" t="s">
        <v>7256</v>
      </c>
      <c r="U2905" t="s">
        <v>7256</v>
      </c>
      <c r="V2905" t="s">
        <v>7256</v>
      </c>
      <c r="W2905">
        <v>12</v>
      </c>
      <c r="X2905" t="s">
        <v>10161</v>
      </c>
      <c r="Y2905">
        <v>0.59644829662846244</v>
      </c>
      <c r="Z2905" t="str">
        <f>HYPERLINK("Melting_Curves/meltCurve_sp_Q9Y281_COF2_HUMAN_.pdf", "Melting_Curves/meltCurve_sp_Q9Y281_COF2_HUMAN_.pdf")</f>
        <v>Melting_Curves/meltCurve_sp_Q9Y281_COF2_HUMAN_.pdf</v>
      </c>
      <c r="AA2905" t="s">
        <v>13752</v>
      </c>
      <c r="AB2905" t="s">
        <v>17329</v>
      </c>
    </row>
    <row r="2906" spans="1:28" x14ac:dyDescent="0.25">
      <c r="A2906" t="s">
        <v>2910</v>
      </c>
      <c r="B2906">
        <v>0.98018197421672304</v>
      </c>
      <c r="C2906">
        <v>0.91039795499568898</v>
      </c>
      <c r="D2906">
        <v>0.91844158338967097</v>
      </c>
      <c r="E2906">
        <v>0.71580232338469696</v>
      </c>
      <c r="F2906">
        <v>0.376070050279248</v>
      </c>
      <c r="G2906">
        <v>0.145467373952303</v>
      </c>
      <c r="H2906">
        <v>0.100327322065923</v>
      </c>
      <c r="I2906">
        <v>7.2285892242781202E-2</v>
      </c>
      <c r="J2906">
        <v>7.3842775065113705E-2</v>
      </c>
      <c r="K2906">
        <v>5.8605607508876403E-2</v>
      </c>
      <c r="L2906">
        <v>1160.7070344971701</v>
      </c>
      <c r="M2906">
        <v>22.517637193616601</v>
      </c>
      <c r="N2906">
        <v>51.8460283242351</v>
      </c>
      <c r="O2906">
        <v>51.145203021444097</v>
      </c>
      <c r="P2906">
        <v>-0.103357772217529</v>
      </c>
      <c r="Q2906">
        <v>6.0976800206701001E-2</v>
      </c>
      <c r="R2906">
        <v>0.99402420286508697</v>
      </c>
      <c r="S2906" t="s">
        <v>6535</v>
      </c>
      <c r="T2906" t="s">
        <v>7256</v>
      </c>
      <c r="U2906" t="s">
        <v>7256</v>
      </c>
      <c r="V2906" t="s">
        <v>7256</v>
      </c>
      <c r="W2906">
        <v>9</v>
      </c>
      <c r="X2906" t="s">
        <v>10162</v>
      </c>
      <c r="Y2906">
        <v>0.43282694651305592</v>
      </c>
      <c r="Z2906" t="str">
        <f>HYPERLINK("Melting_Curves/meltCurve_sp_Q9Y295_DRG1_HUMAN_.pdf", "Melting_Curves/meltCurve_sp_Q9Y295_DRG1_HUMAN_.pdf")</f>
        <v>Melting_Curves/meltCurve_sp_Q9Y295_DRG1_HUMAN_.pdf</v>
      </c>
      <c r="AA2906" t="s">
        <v>13753</v>
      </c>
      <c r="AB2906" t="s">
        <v>17330</v>
      </c>
    </row>
    <row r="2907" spans="1:28" x14ac:dyDescent="0.25">
      <c r="A2907" t="s">
        <v>2911</v>
      </c>
      <c r="B2907">
        <v>0.98018197421672304</v>
      </c>
      <c r="C2907">
        <v>0.91981659607175703</v>
      </c>
      <c r="D2907">
        <v>0.85263329556717105</v>
      </c>
      <c r="E2907">
        <v>0.794028007647399</v>
      </c>
      <c r="F2907">
        <v>0.48940818254143098</v>
      </c>
      <c r="G2907">
        <v>0.12632222695377199</v>
      </c>
      <c r="H2907">
        <v>7.3080154028154501E-2</v>
      </c>
      <c r="I2907">
        <v>4.7594145478699897E-2</v>
      </c>
      <c r="J2907">
        <v>9.0114468142284201E-2</v>
      </c>
      <c r="K2907">
        <v>6.8885247225537599E-2</v>
      </c>
      <c r="L2907">
        <v>1222.62086105192</v>
      </c>
      <c r="M2907">
        <v>23.316230141010699</v>
      </c>
      <c r="N2907">
        <v>52.667634931445797</v>
      </c>
      <c r="O2907">
        <v>52.055324966355599</v>
      </c>
      <c r="P2907">
        <v>-0.10653376178929801</v>
      </c>
      <c r="Q2907">
        <v>4.8636727847270501E-2</v>
      </c>
      <c r="R2907">
        <v>0.98353845278263496</v>
      </c>
      <c r="S2907" t="s">
        <v>6536</v>
      </c>
      <c r="T2907" t="s">
        <v>7256</v>
      </c>
      <c r="U2907" t="s">
        <v>7256</v>
      </c>
      <c r="V2907" t="s">
        <v>7256</v>
      </c>
      <c r="W2907">
        <v>11</v>
      </c>
      <c r="X2907" t="s">
        <v>10163</v>
      </c>
      <c r="Y2907">
        <v>0.45296948837676332</v>
      </c>
      <c r="Z2907" t="str">
        <f>HYPERLINK("Melting_Curves/meltCurve_sp_Q9Y2A7_NCKP1_HUMAN_.pdf", "Melting_Curves/meltCurve_sp_Q9Y2A7_NCKP1_HUMAN_.pdf")</f>
        <v>Melting_Curves/meltCurve_sp_Q9Y2A7_NCKP1_HUMAN_.pdf</v>
      </c>
      <c r="AA2907" t="s">
        <v>13754</v>
      </c>
      <c r="AB2907" t="s">
        <v>17331</v>
      </c>
    </row>
    <row r="2908" spans="1:28" x14ac:dyDescent="0.25">
      <c r="A2908" t="s">
        <v>2912</v>
      </c>
      <c r="B2908">
        <v>0.98018197421672304</v>
      </c>
      <c r="C2908">
        <v>0.97673873758148</v>
      </c>
      <c r="D2908">
        <v>0.89136909240695605</v>
      </c>
      <c r="E2908">
        <v>0.77122986919276104</v>
      </c>
      <c r="F2908">
        <v>0.79785031455620103</v>
      </c>
      <c r="G2908">
        <v>0.68069642696047905</v>
      </c>
      <c r="H2908">
        <v>0.51106125939270397</v>
      </c>
      <c r="I2908">
        <v>0.61669441301051997</v>
      </c>
      <c r="J2908">
        <v>0.666727507691938</v>
      </c>
      <c r="K2908">
        <v>0.783246215543006</v>
      </c>
      <c r="L2908">
        <v>792.11378726183</v>
      </c>
      <c r="M2908">
        <v>16.221894915519801</v>
      </c>
      <c r="O2908">
        <v>48.105946309055298</v>
      </c>
      <c r="P2908">
        <v>-2.9571471562936599E-2</v>
      </c>
      <c r="Q2908">
        <v>0.64924983234714395</v>
      </c>
      <c r="R2908">
        <v>0.7732696575529</v>
      </c>
      <c r="S2908" t="s">
        <v>6537</v>
      </c>
      <c r="T2908" t="s">
        <v>7256</v>
      </c>
      <c r="U2908" t="s">
        <v>7256</v>
      </c>
      <c r="V2908" t="s">
        <v>7256</v>
      </c>
      <c r="W2908">
        <v>13</v>
      </c>
      <c r="X2908" t="s">
        <v>10164</v>
      </c>
      <c r="Y2908">
        <v>0.75997859312213856</v>
      </c>
      <c r="Z2908" t="str">
        <f>HYPERLINK("Melting_Curves/meltCurve_sp_Q9Y2B0_CNPY2_HUMAN_.pdf", "Melting_Curves/meltCurve_sp_Q9Y2B0_CNPY2_HUMAN_.pdf")</f>
        <v>Melting_Curves/meltCurve_sp_Q9Y2B0_CNPY2_HUMAN_.pdf</v>
      </c>
      <c r="AA2908" t="s">
        <v>13755</v>
      </c>
      <c r="AB2908" t="s">
        <v>17332</v>
      </c>
    </row>
    <row r="2909" spans="1:28" x14ac:dyDescent="0.25">
      <c r="A2909" t="s">
        <v>2913</v>
      </c>
      <c r="B2909">
        <v>0.98018197421672304</v>
      </c>
      <c r="C2909">
        <v>0.939783435332186</v>
      </c>
      <c r="D2909">
        <v>0.86361060441484905</v>
      </c>
      <c r="E2909">
        <v>0.53946172077818999</v>
      </c>
      <c r="F2909">
        <v>0.24567052584304899</v>
      </c>
      <c r="G2909">
        <v>0.19392662255727799</v>
      </c>
      <c r="H2909">
        <v>0.113528009492684</v>
      </c>
      <c r="I2909">
        <v>7.5185619291598504E-2</v>
      </c>
      <c r="J2909">
        <v>9.7176659007196298E-2</v>
      </c>
      <c r="K2909">
        <v>5.2294812112095801E-2</v>
      </c>
      <c r="L2909">
        <v>997.68291402924001</v>
      </c>
      <c r="M2909">
        <v>20.028100203804598</v>
      </c>
      <c r="N2909">
        <v>50.2431633842167</v>
      </c>
      <c r="O2909">
        <v>49.325523840934302</v>
      </c>
      <c r="P2909">
        <v>-9.3534786923725702E-2</v>
      </c>
      <c r="Q2909">
        <v>7.85941919435032E-2</v>
      </c>
      <c r="R2909">
        <v>0.99482263962991602</v>
      </c>
      <c r="S2909" t="s">
        <v>6538</v>
      </c>
      <c r="T2909" t="s">
        <v>7256</v>
      </c>
      <c r="U2909" t="s">
        <v>7256</v>
      </c>
      <c r="V2909" t="s">
        <v>7256</v>
      </c>
      <c r="W2909">
        <v>3</v>
      </c>
      <c r="X2909" t="s">
        <v>10165</v>
      </c>
      <c r="Y2909">
        <v>0.39282327317962928</v>
      </c>
      <c r="Z2909" t="str">
        <f>HYPERLINK("Melting_Curves/meltCurve_sp_Q9Y2D4_EXC6B_HUMAN_.pdf", "Melting_Curves/meltCurve_sp_Q9Y2D4_EXC6B_HUMAN_.pdf")</f>
        <v>Melting_Curves/meltCurve_sp_Q9Y2D4_EXC6B_HUMAN_.pdf</v>
      </c>
      <c r="AA2909" t="s">
        <v>13756</v>
      </c>
      <c r="AB2909" t="s">
        <v>17333</v>
      </c>
    </row>
    <row r="2910" spans="1:28" x14ac:dyDescent="0.25">
      <c r="A2910" t="s">
        <v>2914</v>
      </c>
      <c r="B2910">
        <v>0.98018197421672304</v>
      </c>
      <c r="C2910">
        <v>0.94485385726290405</v>
      </c>
      <c r="D2910">
        <v>0.93504796917273303</v>
      </c>
      <c r="E2910">
        <v>0.83760092883471604</v>
      </c>
      <c r="F2910">
        <v>0.74832446269431696</v>
      </c>
      <c r="G2910">
        <v>0.56986705270971405</v>
      </c>
      <c r="H2910">
        <v>0.55283703708507703</v>
      </c>
      <c r="I2910">
        <v>0.58693616724413999</v>
      </c>
      <c r="J2910">
        <v>0.71957910551050797</v>
      </c>
      <c r="K2910">
        <v>0.68872649260120899</v>
      </c>
      <c r="L2910">
        <v>1184.5541723822</v>
      </c>
      <c r="M2910">
        <v>23.520484444891299</v>
      </c>
      <c r="O2910">
        <v>50.002843469085803</v>
      </c>
      <c r="P2910">
        <v>-4.4248964615151501E-2</v>
      </c>
      <c r="Q2910">
        <v>0.62372610099481496</v>
      </c>
      <c r="R2910">
        <v>0.86633802224348999</v>
      </c>
      <c r="S2910" t="s">
        <v>6539</v>
      </c>
      <c r="T2910" t="s">
        <v>7256</v>
      </c>
      <c r="U2910" t="s">
        <v>7256</v>
      </c>
      <c r="V2910" t="s">
        <v>7256</v>
      </c>
      <c r="W2910">
        <v>30</v>
      </c>
      <c r="X2910" t="s">
        <v>10166</v>
      </c>
      <c r="Y2910">
        <v>0.75751046738977457</v>
      </c>
      <c r="Z2910" t="str">
        <f>HYPERLINK("Melting_Curves/meltCurve_sp_Q9Y2D5_6_AKAP2_HUMAN_.pdf", "Melting_Curves/meltCurve_sp_Q9Y2D5_6_AKAP2_HUMAN_.pdf")</f>
        <v>Melting_Curves/meltCurve_sp_Q9Y2D5_6_AKAP2_HUMAN_.pdf</v>
      </c>
      <c r="AA2910" t="s">
        <v>13757</v>
      </c>
      <c r="AB2910" t="s">
        <v>17334</v>
      </c>
    </row>
    <row r="2911" spans="1:28" x14ac:dyDescent="0.25">
      <c r="A2911" t="s">
        <v>2915</v>
      </c>
      <c r="B2911">
        <v>0.98018197421672304</v>
      </c>
      <c r="C2911">
        <v>0.94253952021617804</v>
      </c>
      <c r="D2911">
        <v>0.76209130747239695</v>
      </c>
      <c r="E2911">
        <v>0.75790094973172395</v>
      </c>
      <c r="F2911">
        <v>0.41646258158952199</v>
      </c>
      <c r="G2911">
        <v>0.20263998213888901</v>
      </c>
      <c r="H2911">
        <v>0.15630924464881699</v>
      </c>
      <c r="I2911">
        <v>0.16100736465092499</v>
      </c>
      <c r="J2911">
        <v>0.200053286288913</v>
      </c>
      <c r="K2911">
        <v>0.159811771592658</v>
      </c>
      <c r="L2911">
        <v>826.952885116743</v>
      </c>
      <c r="M2911">
        <v>16.202512340249399</v>
      </c>
      <c r="N2911">
        <v>52.016191797642598</v>
      </c>
      <c r="O2911">
        <v>50.2800852029265</v>
      </c>
      <c r="P2911">
        <v>-6.9991887545087395E-2</v>
      </c>
      <c r="Q2911">
        <v>0.1312618736383</v>
      </c>
      <c r="R2911">
        <v>0.96705554114129699</v>
      </c>
      <c r="S2911" t="s">
        <v>6540</v>
      </c>
      <c r="T2911" t="s">
        <v>7256</v>
      </c>
      <c r="U2911" t="s">
        <v>7256</v>
      </c>
      <c r="V2911" t="s">
        <v>7256</v>
      </c>
      <c r="W2911">
        <v>3</v>
      </c>
      <c r="X2911" t="s">
        <v>10167</v>
      </c>
      <c r="Y2911">
        <v>0.46852242670106931</v>
      </c>
      <c r="Z2911" t="str">
        <f>HYPERLINK("Melting_Curves/meltCurve_sp_Q9Y2E4_DIP2C_HUMAN_.pdf", "Melting_Curves/meltCurve_sp_Q9Y2E4_DIP2C_HUMAN_.pdf")</f>
        <v>Melting_Curves/meltCurve_sp_Q9Y2E4_DIP2C_HUMAN_.pdf</v>
      </c>
      <c r="AA2911" t="s">
        <v>13758</v>
      </c>
      <c r="AB2911" t="s">
        <v>17335</v>
      </c>
    </row>
    <row r="2912" spans="1:28" x14ac:dyDescent="0.25">
      <c r="A2912" t="s">
        <v>2916</v>
      </c>
      <c r="B2912">
        <v>0.98018197421672304</v>
      </c>
      <c r="C2912">
        <v>0.93041559003589003</v>
      </c>
      <c r="D2912">
        <v>0.82633807319050201</v>
      </c>
      <c r="E2912">
        <v>0.71422027007585398</v>
      </c>
      <c r="F2912">
        <v>0.54499218727591803</v>
      </c>
      <c r="G2912">
        <v>0.337761765244113</v>
      </c>
      <c r="H2912">
        <v>0.235060396316526</v>
      </c>
      <c r="I2912">
        <v>0.200557288707643</v>
      </c>
      <c r="J2912">
        <v>0.25777503870768298</v>
      </c>
      <c r="K2912">
        <v>0.27042341828050798</v>
      </c>
      <c r="L2912">
        <v>720.43998563947298</v>
      </c>
      <c r="M2912">
        <v>14.012385675675599</v>
      </c>
      <c r="N2912">
        <v>53.349317575104202</v>
      </c>
      <c r="O2912">
        <v>50.401323433117497</v>
      </c>
      <c r="P2912">
        <v>-5.5665759369302098E-2</v>
      </c>
      <c r="Q2912">
        <v>0.19920622949481201</v>
      </c>
      <c r="R2912">
        <v>0.98504141535198098</v>
      </c>
      <c r="S2912" t="s">
        <v>6541</v>
      </c>
      <c r="T2912" t="s">
        <v>7256</v>
      </c>
      <c r="U2912" t="s">
        <v>7256</v>
      </c>
      <c r="V2912" t="s">
        <v>7256</v>
      </c>
      <c r="W2912">
        <v>9</v>
      </c>
      <c r="X2912" t="s">
        <v>10168</v>
      </c>
      <c r="Y2912">
        <v>0.52421314340888192</v>
      </c>
      <c r="Z2912" t="str">
        <f>HYPERLINK("Melting_Curves/meltCurve_sp_Q9Y2H5_PKHA6_HUMAN_.pdf", "Melting_Curves/meltCurve_sp_Q9Y2H5_PKHA6_HUMAN_.pdf")</f>
        <v>Melting_Curves/meltCurve_sp_Q9Y2H5_PKHA6_HUMAN_.pdf</v>
      </c>
      <c r="AA2912" t="s">
        <v>13759</v>
      </c>
      <c r="AB2912" t="s">
        <v>17336</v>
      </c>
    </row>
    <row r="2913" spans="1:28" x14ac:dyDescent="0.25">
      <c r="A2913" t="s">
        <v>2917</v>
      </c>
      <c r="B2913">
        <v>0.98018197421672304</v>
      </c>
      <c r="C2913">
        <v>0.89616419537293202</v>
      </c>
      <c r="D2913">
        <v>0.77442718881486805</v>
      </c>
      <c r="E2913">
        <v>0.61067310316908896</v>
      </c>
      <c r="F2913">
        <v>0.27603491712844502</v>
      </c>
      <c r="G2913">
        <v>0.15074099994333601</v>
      </c>
      <c r="H2913">
        <v>8.9848570040005404E-2</v>
      </c>
      <c r="I2913">
        <v>7.8838836794096603E-2</v>
      </c>
      <c r="J2913">
        <v>0.11303415214675799</v>
      </c>
      <c r="K2913">
        <v>5.1183925662027001E-2</v>
      </c>
      <c r="L2913">
        <v>780.21524183931695</v>
      </c>
      <c r="M2913">
        <v>15.5956914230145</v>
      </c>
      <c r="N2913">
        <v>50.3608852474608</v>
      </c>
      <c r="O2913">
        <v>49.226747071146598</v>
      </c>
      <c r="P2913">
        <v>-7.5326562687451706E-2</v>
      </c>
      <c r="Q2913">
        <v>4.9029757761555201E-2</v>
      </c>
      <c r="R2913">
        <v>0.98786716242567196</v>
      </c>
      <c r="S2913" t="s">
        <v>6542</v>
      </c>
      <c r="T2913" t="s">
        <v>7256</v>
      </c>
      <c r="U2913" t="s">
        <v>7256</v>
      </c>
      <c r="V2913" t="s">
        <v>7256</v>
      </c>
      <c r="W2913">
        <v>3</v>
      </c>
      <c r="X2913" t="s">
        <v>10169</v>
      </c>
      <c r="Y2913">
        <v>0.3880315712505133</v>
      </c>
      <c r="Z2913" t="str">
        <f>HYPERLINK("Melting_Curves/meltCurve_sp_Q9Y2I1_4_NISCH_HUMAN_.pdf", "Melting_Curves/meltCurve_sp_Q9Y2I1_4_NISCH_HUMAN_.pdf")</f>
        <v>Melting_Curves/meltCurve_sp_Q9Y2I1_4_NISCH_HUMAN_.pdf</v>
      </c>
      <c r="AA2913" t="s">
        <v>13760</v>
      </c>
      <c r="AB2913" t="s">
        <v>17337</v>
      </c>
    </row>
    <row r="2914" spans="1:28" x14ac:dyDescent="0.25">
      <c r="A2914" t="s">
        <v>2918</v>
      </c>
      <c r="B2914">
        <v>0.98018197421672304</v>
      </c>
      <c r="C2914">
        <v>0.94727018409751795</v>
      </c>
      <c r="D2914">
        <v>0.843213228934524</v>
      </c>
      <c r="E2914">
        <v>0.49680752474192202</v>
      </c>
      <c r="F2914">
        <v>0.18564945271406399</v>
      </c>
      <c r="G2914">
        <v>0.110331825643691</v>
      </c>
      <c r="H2914">
        <v>6.6454640329509901E-2</v>
      </c>
      <c r="I2914">
        <v>4.7667299209570302E-2</v>
      </c>
      <c r="J2914">
        <v>6.9154104487807705E-2</v>
      </c>
      <c r="K2914">
        <v>4.2172285908678303E-2</v>
      </c>
      <c r="L2914">
        <v>1109.14305284793</v>
      </c>
      <c r="M2914">
        <v>22.4203840175464</v>
      </c>
      <c r="N2914">
        <v>49.701265479951402</v>
      </c>
      <c r="O2914">
        <v>49.081766604045796</v>
      </c>
      <c r="P2914">
        <v>-0.108551571693184</v>
      </c>
      <c r="Q2914">
        <v>4.9473156253217902E-2</v>
      </c>
      <c r="R2914">
        <v>0.99741194461734095</v>
      </c>
      <c r="S2914" t="s">
        <v>6543</v>
      </c>
      <c r="T2914" t="s">
        <v>7256</v>
      </c>
      <c r="U2914" t="s">
        <v>7256</v>
      </c>
      <c r="V2914" t="s">
        <v>7256</v>
      </c>
      <c r="W2914">
        <v>3</v>
      </c>
      <c r="X2914" t="s">
        <v>10170</v>
      </c>
      <c r="Y2914">
        <v>0.36007743862533698</v>
      </c>
      <c r="Z2914" t="str">
        <f>HYPERLINK("Melting_Curves/meltCurve_sp_Q9Y2L5_2_TPPC8_HUMAN_.pdf", "Melting_Curves/meltCurve_sp_Q9Y2L5_2_TPPC8_HUMAN_.pdf")</f>
        <v>Melting_Curves/meltCurve_sp_Q9Y2L5_2_TPPC8_HUMAN_.pdf</v>
      </c>
      <c r="AA2914" t="s">
        <v>13761</v>
      </c>
      <c r="AB2914" t="s">
        <v>17338</v>
      </c>
    </row>
    <row r="2915" spans="1:28" x14ac:dyDescent="0.25">
      <c r="A2915" t="s">
        <v>2919</v>
      </c>
      <c r="B2915">
        <v>0.98018197421672304</v>
      </c>
      <c r="C2915">
        <v>0.95728395313301495</v>
      </c>
      <c r="D2915">
        <v>0.81142441840138102</v>
      </c>
      <c r="E2915">
        <v>0.47345961566539702</v>
      </c>
      <c r="F2915">
        <v>0.260728524069683</v>
      </c>
      <c r="G2915">
        <v>0.17389474332545199</v>
      </c>
      <c r="H2915">
        <v>0.10006321832093799</v>
      </c>
      <c r="I2915">
        <v>7.8999998041729302E-2</v>
      </c>
      <c r="J2915">
        <v>0.10921078509127</v>
      </c>
      <c r="K2915">
        <v>5.7266369258535003E-2</v>
      </c>
      <c r="L2915">
        <v>930.72365481473196</v>
      </c>
      <c r="M2915">
        <v>18.891853497850299</v>
      </c>
      <c r="N2915">
        <v>49.721312882537298</v>
      </c>
      <c r="O2915">
        <v>48.723807241425902</v>
      </c>
      <c r="P2915">
        <v>-8.92355723374679E-2</v>
      </c>
      <c r="Q2915">
        <v>7.9450687614122995E-2</v>
      </c>
      <c r="R2915">
        <v>0.99806419321429896</v>
      </c>
      <c r="S2915" t="s">
        <v>6544</v>
      </c>
      <c r="T2915" t="s">
        <v>7256</v>
      </c>
      <c r="U2915" t="s">
        <v>7256</v>
      </c>
      <c r="V2915" t="s">
        <v>7256</v>
      </c>
      <c r="W2915">
        <v>4</v>
      </c>
      <c r="X2915" t="s">
        <v>10171</v>
      </c>
      <c r="Y2915">
        <v>0.37819432763660182</v>
      </c>
      <c r="Z2915" t="str">
        <f>HYPERLINK("Melting_Curves/meltCurve_sp_Q9Y2P5_S27A5_HUMAN_.pdf", "Melting_Curves/meltCurve_sp_Q9Y2P5_S27A5_HUMAN_.pdf")</f>
        <v>Melting_Curves/meltCurve_sp_Q9Y2P5_S27A5_HUMAN_.pdf</v>
      </c>
      <c r="AA2915" t="s">
        <v>13762</v>
      </c>
      <c r="AB2915" t="s">
        <v>17339</v>
      </c>
    </row>
    <row r="2916" spans="1:28" x14ac:dyDescent="0.25">
      <c r="A2916" t="s">
        <v>2920</v>
      </c>
      <c r="B2916">
        <v>0.98018197421672304</v>
      </c>
      <c r="C2916">
        <v>1.0122179740072701</v>
      </c>
      <c r="D2916">
        <v>0.89418189861770503</v>
      </c>
      <c r="E2916">
        <v>0.55571026514229904</v>
      </c>
      <c r="F2916">
        <v>0.18637299407261801</v>
      </c>
      <c r="G2916">
        <v>7.7018594212544006E-2</v>
      </c>
      <c r="H2916">
        <v>4.3141728585373802E-2</v>
      </c>
      <c r="I2916">
        <v>3.40706015328818E-2</v>
      </c>
      <c r="J2916">
        <v>3.6089180200948798E-2</v>
      </c>
      <c r="K2916">
        <v>3.36541131650498E-2</v>
      </c>
      <c r="L2916">
        <v>1382.8866654973399</v>
      </c>
      <c r="M2916">
        <v>27.5849908333206</v>
      </c>
      <c r="N2916">
        <v>50.258081897003002</v>
      </c>
      <c r="O2916">
        <v>49.870605037212499</v>
      </c>
      <c r="P2916">
        <v>-0.13365586260568299</v>
      </c>
      <c r="Q2916">
        <v>3.3468799899516899E-2</v>
      </c>
      <c r="R2916">
        <v>0.99822224289507899</v>
      </c>
      <c r="S2916" t="s">
        <v>6545</v>
      </c>
      <c r="T2916" t="s">
        <v>7256</v>
      </c>
      <c r="U2916" t="s">
        <v>7256</v>
      </c>
      <c r="V2916" t="s">
        <v>7256</v>
      </c>
      <c r="W2916">
        <v>14</v>
      </c>
      <c r="X2916" t="s">
        <v>10172</v>
      </c>
      <c r="Y2916">
        <v>0.3669909351394306</v>
      </c>
      <c r="Z2916" t="str">
        <f>HYPERLINK("Melting_Curves/meltCurve_sp_Q9Y2Q3_GSTK1_HUMAN_.pdf", "Melting_Curves/meltCurve_sp_Q9Y2Q3_GSTK1_HUMAN_.pdf")</f>
        <v>Melting_Curves/meltCurve_sp_Q9Y2Q3_GSTK1_HUMAN_.pdf</v>
      </c>
      <c r="AA2916" t="s">
        <v>13763</v>
      </c>
      <c r="AB2916" t="s">
        <v>17340</v>
      </c>
    </row>
    <row r="2917" spans="1:28" x14ac:dyDescent="0.25">
      <c r="A2917" t="s">
        <v>2921</v>
      </c>
      <c r="B2917">
        <v>0.98018197421672304</v>
      </c>
      <c r="C2917">
        <v>1.0454698108476099</v>
      </c>
      <c r="D2917">
        <v>0.88376312133693502</v>
      </c>
      <c r="E2917">
        <v>0.68315442043460495</v>
      </c>
      <c r="F2917">
        <v>0.57037549795548903</v>
      </c>
      <c r="G2917">
        <v>0.42722678583207901</v>
      </c>
      <c r="H2917">
        <v>0.30656218145797398</v>
      </c>
      <c r="I2917">
        <v>0.19266754496536501</v>
      </c>
      <c r="J2917">
        <v>9.1376547389970794E-2</v>
      </c>
      <c r="K2917">
        <v>5.1793323000576902E-2</v>
      </c>
      <c r="L2917">
        <v>581.41951750365502</v>
      </c>
      <c r="M2917">
        <v>10.603045582077501</v>
      </c>
      <c r="N2917">
        <v>54.835142669895703</v>
      </c>
      <c r="O2917">
        <v>52.992466166121801</v>
      </c>
      <c r="P2917">
        <v>-5.00409153021633E-2</v>
      </c>
      <c r="Q2917">
        <v>0</v>
      </c>
      <c r="R2917">
        <v>0.98462808906601496</v>
      </c>
      <c r="S2917" t="s">
        <v>6546</v>
      </c>
      <c r="T2917" t="s">
        <v>7256</v>
      </c>
      <c r="U2917" t="s">
        <v>7256</v>
      </c>
      <c r="V2917" t="s">
        <v>7256</v>
      </c>
      <c r="W2917">
        <v>1</v>
      </c>
      <c r="X2917" t="s">
        <v>10173</v>
      </c>
      <c r="Y2917">
        <v>0.52036835198905629</v>
      </c>
      <c r="Z2917" t="str">
        <f>HYPERLINK("Melting_Curves/meltCurve_sp_Q9Y2Q5_LTOR2_HUMAN_.pdf", "Melting_Curves/meltCurve_sp_Q9Y2Q5_LTOR2_HUMAN_.pdf")</f>
        <v>Melting_Curves/meltCurve_sp_Q9Y2Q5_LTOR2_HUMAN_.pdf</v>
      </c>
      <c r="AA2917" t="s">
        <v>13764</v>
      </c>
      <c r="AB2917" t="s">
        <v>17341</v>
      </c>
    </row>
    <row r="2918" spans="1:28" x14ac:dyDescent="0.25">
      <c r="A2918" t="s">
        <v>2922</v>
      </c>
      <c r="B2918">
        <v>0.98018197421672304</v>
      </c>
      <c r="C2918">
        <v>0.94454245694777295</v>
      </c>
      <c r="D2918">
        <v>0.85187016916838199</v>
      </c>
      <c r="E2918">
        <v>0.66794075542234599</v>
      </c>
      <c r="F2918">
        <v>0.47780000907285097</v>
      </c>
      <c r="G2918">
        <v>0.27689762952511499</v>
      </c>
      <c r="H2918">
        <v>0.245775652499863</v>
      </c>
      <c r="I2918">
        <v>0.18306652659606701</v>
      </c>
      <c r="J2918">
        <v>0.17117932399105801</v>
      </c>
      <c r="K2918">
        <v>0.14215732921094101</v>
      </c>
      <c r="L2918">
        <v>723.59126888991705</v>
      </c>
      <c r="M2918">
        <v>14.0734137969812</v>
      </c>
      <c r="N2918">
        <v>52.570327551308097</v>
      </c>
      <c r="O2918">
        <v>50.410756788217</v>
      </c>
      <c r="P2918">
        <v>-6.0521262095303903E-2</v>
      </c>
      <c r="Q2918">
        <v>0.132967538042704</v>
      </c>
      <c r="R2918">
        <v>0.99783215296621797</v>
      </c>
      <c r="S2918" t="s">
        <v>6547</v>
      </c>
      <c r="T2918" t="s">
        <v>7256</v>
      </c>
      <c r="U2918" t="s">
        <v>7256</v>
      </c>
      <c r="V2918" t="s">
        <v>7256</v>
      </c>
      <c r="W2918">
        <v>2</v>
      </c>
      <c r="X2918" t="s">
        <v>10174</v>
      </c>
      <c r="Y2918">
        <v>0.48473832204419692</v>
      </c>
      <c r="Z2918" t="str">
        <f>HYPERLINK("Melting_Curves/meltCurve_sp_Q9Y2Q9_RT28_HUMAN_.pdf", "Melting_Curves/meltCurve_sp_Q9Y2Q9_RT28_HUMAN_.pdf")</f>
        <v>Melting_Curves/meltCurve_sp_Q9Y2Q9_RT28_HUMAN_.pdf</v>
      </c>
      <c r="AA2918" t="s">
        <v>13765</v>
      </c>
      <c r="AB2918" t="s">
        <v>17342</v>
      </c>
    </row>
    <row r="2919" spans="1:28" x14ac:dyDescent="0.25">
      <c r="A2919" t="s">
        <v>2923</v>
      </c>
      <c r="B2919">
        <v>0.98018197421672304</v>
      </c>
      <c r="C2919">
        <v>0.96569551824998701</v>
      </c>
      <c r="D2919">
        <v>0.96518856124601804</v>
      </c>
      <c r="E2919">
        <v>0.74795172502458496</v>
      </c>
      <c r="F2919">
        <v>0.25278820309546202</v>
      </c>
      <c r="G2919">
        <v>0.10066974745245599</v>
      </c>
      <c r="H2919">
        <v>5.5056764173401697E-2</v>
      </c>
      <c r="I2919">
        <v>4.1193339292334097E-2</v>
      </c>
      <c r="J2919">
        <v>3.9638251482169901E-2</v>
      </c>
      <c r="K2919">
        <v>2.5676477799069501E-2</v>
      </c>
      <c r="L2919">
        <v>1935.2922457439799</v>
      </c>
      <c r="M2919">
        <v>37.726814426669897</v>
      </c>
      <c r="N2919">
        <v>51.428946578550402</v>
      </c>
      <c r="O2919">
        <v>51.154033638555703</v>
      </c>
      <c r="P2919">
        <v>-0.17590629109987799</v>
      </c>
      <c r="Q2919">
        <v>4.5952542312097798E-2</v>
      </c>
      <c r="R2919">
        <v>0.99774113051893398</v>
      </c>
      <c r="S2919" t="s">
        <v>6548</v>
      </c>
      <c r="T2919" t="s">
        <v>7256</v>
      </c>
      <c r="U2919" t="s">
        <v>7256</v>
      </c>
      <c r="V2919" t="s">
        <v>7256</v>
      </c>
      <c r="W2919">
        <v>22</v>
      </c>
      <c r="X2919" t="s">
        <v>10175</v>
      </c>
      <c r="Y2919">
        <v>0.40903684246228339</v>
      </c>
      <c r="Z2919" t="str">
        <f>HYPERLINK("Melting_Curves/meltCurve_sp_Q9Y2S2_CRYL1_HUMAN_.pdf", "Melting_Curves/meltCurve_sp_Q9Y2S2_CRYL1_HUMAN_.pdf")</f>
        <v>Melting_Curves/meltCurve_sp_Q9Y2S2_CRYL1_HUMAN_.pdf</v>
      </c>
      <c r="AA2919" t="s">
        <v>13766</v>
      </c>
      <c r="AB2919" t="s">
        <v>17343</v>
      </c>
    </row>
    <row r="2920" spans="1:28" x14ac:dyDescent="0.25">
      <c r="A2920" t="s">
        <v>2924</v>
      </c>
      <c r="B2920">
        <v>0.98018197421672304</v>
      </c>
      <c r="C2920">
        <v>0.93532793293456895</v>
      </c>
      <c r="D2920">
        <v>0.92378459929577506</v>
      </c>
      <c r="E2920">
        <v>0.84839526998625003</v>
      </c>
      <c r="F2920">
        <v>0.95076953597900304</v>
      </c>
      <c r="G2920">
        <v>0.89004990166394304</v>
      </c>
      <c r="H2920">
        <v>0.65660815996237198</v>
      </c>
      <c r="I2920">
        <v>0.71443918362679903</v>
      </c>
      <c r="J2920">
        <v>0.81165796708295801</v>
      </c>
      <c r="K2920">
        <v>1.2017812487377899</v>
      </c>
      <c r="L2920">
        <v>738.19223869969596</v>
      </c>
      <c r="M2920">
        <v>16.789819056793998</v>
      </c>
      <c r="O2920">
        <v>43.357155607236699</v>
      </c>
      <c r="P2920">
        <v>-1.31013602439793E-2</v>
      </c>
      <c r="Q2920">
        <v>0.86467969679915002</v>
      </c>
      <c r="R2920">
        <v>6.9941271585999595E-2</v>
      </c>
      <c r="S2920" t="s">
        <v>6549</v>
      </c>
      <c r="T2920" t="s">
        <v>7256</v>
      </c>
      <c r="U2920" t="s">
        <v>7256</v>
      </c>
      <c r="V2920" t="s">
        <v>7256</v>
      </c>
      <c r="W2920">
        <v>4</v>
      </c>
      <c r="X2920" t="s">
        <v>10176</v>
      </c>
      <c r="Y2920">
        <v>0.88647037803509576</v>
      </c>
      <c r="Z2920" t="str">
        <f>HYPERLINK("Melting_Curves/meltCurve_sp_Q9Y2S6_TMA7_HUMAN_.pdf", "Melting_Curves/meltCurve_sp_Q9Y2S6_TMA7_HUMAN_.pdf")</f>
        <v>Melting_Curves/meltCurve_sp_Q9Y2S6_TMA7_HUMAN_.pdf</v>
      </c>
      <c r="AA2920" t="s">
        <v>13767</v>
      </c>
      <c r="AB2920" t="s">
        <v>17344</v>
      </c>
    </row>
    <row r="2921" spans="1:28" x14ac:dyDescent="0.25">
      <c r="A2921" t="s">
        <v>2925</v>
      </c>
      <c r="B2921">
        <v>0.98018197421672304</v>
      </c>
      <c r="C2921">
        <v>0.89406302440397001</v>
      </c>
      <c r="D2921">
        <v>0.86044887263902803</v>
      </c>
      <c r="E2921">
        <v>0.67696589729804002</v>
      </c>
      <c r="F2921">
        <v>0.39588127207158502</v>
      </c>
      <c r="G2921">
        <v>0.141893768185339</v>
      </c>
      <c r="H2921">
        <v>0.106786823028335</v>
      </c>
      <c r="I2921">
        <v>8.5743011984045797E-2</v>
      </c>
      <c r="J2921">
        <v>0.10442590327755499</v>
      </c>
      <c r="K2921">
        <v>7.9287142641382299E-2</v>
      </c>
      <c r="L2921">
        <v>914.56621483916399</v>
      </c>
      <c r="M2921">
        <v>17.859040288514301</v>
      </c>
      <c r="N2921">
        <v>51.592348704065003</v>
      </c>
      <c r="O2921">
        <v>50.581132382330502</v>
      </c>
      <c r="P2921">
        <v>-8.2805833115549399E-2</v>
      </c>
      <c r="Q2921">
        <v>6.1942982490728798E-2</v>
      </c>
      <c r="R2921">
        <v>0.99015016150296198</v>
      </c>
      <c r="S2921" t="s">
        <v>6550</v>
      </c>
      <c r="T2921" t="s">
        <v>7256</v>
      </c>
      <c r="U2921" t="s">
        <v>7256</v>
      </c>
      <c r="V2921" t="s">
        <v>7256</v>
      </c>
      <c r="W2921">
        <v>14</v>
      </c>
      <c r="X2921" t="s">
        <v>10177</v>
      </c>
      <c r="Y2921">
        <v>0.42846091467156178</v>
      </c>
      <c r="Z2921" t="str">
        <f>HYPERLINK("Melting_Curves/meltCurve_sp_Q9Y2S7_PDIP2_HUMAN_.pdf", "Melting_Curves/meltCurve_sp_Q9Y2S7_PDIP2_HUMAN_.pdf")</f>
        <v>Melting_Curves/meltCurve_sp_Q9Y2S7_PDIP2_HUMAN_.pdf</v>
      </c>
      <c r="AA2921" t="s">
        <v>13768</v>
      </c>
      <c r="AB2921" t="s">
        <v>17345</v>
      </c>
    </row>
    <row r="2922" spans="1:28" x14ac:dyDescent="0.25">
      <c r="A2922" t="s">
        <v>2926</v>
      </c>
      <c r="B2922">
        <v>0.98018197421672304</v>
      </c>
      <c r="C2922">
        <v>0.91575214119451998</v>
      </c>
      <c r="D2922">
        <v>0.85150333421069602</v>
      </c>
      <c r="E2922">
        <v>0.43866016121971502</v>
      </c>
      <c r="F2922">
        <v>0.333817592005483</v>
      </c>
      <c r="G2922">
        <v>0.18358590465403399</v>
      </c>
      <c r="H2922">
        <v>0.11975680932743001</v>
      </c>
      <c r="I2922">
        <v>0.135072638061152</v>
      </c>
      <c r="J2922">
        <v>9.93208272065981E-2</v>
      </c>
      <c r="K2922">
        <v>5.1868900960570001E-2</v>
      </c>
      <c r="L2922">
        <v>857.618019887576</v>
      </c>
      <c r="M2922">
        <v>17.367831917096801</v>
      </c>
      <c r="N2922">
        <v>49.943464525457898</v>
      </c>
      <c r="O2922">
        <v>48.738983037111602</v>
      </c>
      <c r="P2922">
        <v>-8.1160430293845606E-2</v>
      </c>
      <c r="Q2922">
        <v>8.9016484920420802E-2</v>
      </c>
      <c r="R2922">
        <v>0.991666746004643</v>
      </c>
      <c r="S2922" t="s">
        <v>6551</v>
      </c>
      <c r="T2922" t="s">
        <v>7256</v>
      </c>
      <c r="U2922" t="s">
        <v>7256</v>
      </c>
      <c r="V2922" t="s">
        <v>7256</v>
      </c>
      <c r="W2922">
        <v>5</v>
      </c>
      <c r="X2922" t="s">
        <v>10178</v>
      </c>
      <c r="Y2922">
        <v>0.39064702850498217</v>
      </c>
      <c r="Z2922" t="str">
        <f>HYPERLINK("Melting_Curves/meltCurve_sp_Q9Y2T2_AP3M1_HUMAN_.pdf", "Melting_Curves/meltCurve_sp_Q9Y2T2_AP3M1_HUMAN_.pdf")</f>
        <v>Melting_Curves/meltCurve_sp_Q9Y2T2_AP3M1_HUMAN_.pdf</v>
      </c>
      <c r="AA2922" t="s">
        <v>13769</v>
      </c>
      <c r="AB2922" t="s">
        <v>17346</v>
      </c>
    </row>
    <row r="2923" spans="1:28" x14ac:dyDescent="0.25">
      <c r="A2923" t="s">
        <v>2927</v>
      </c>
      <c r="B2923">
        <v>0.98018197421672304</v>
      </c>
      <c r="C2923">
        <v>0.83336934592314604</v>
      </c>
      <c r="D2923">
        <v>0.92211777244781701</v>
      </c>
      <c r="E2923">
        <v>0.774559275025824</v>
      </c>
      <c r="F2923">
        <v>0.70459110166879002</v>
      </c>
      <c r="G2923">
        <v>0.55129956430957205</v>
      </c>
      <c r="H2923">
        <v>0.437038683372801</v>
      </c>
      <c r="I2923">
        <v>0.44439709939354799</v>
      </c>
      <c r="J2923">
        <v>0.29959321724521498</v>
      </c>
      <c r="K2923">
        <v>0.173415647158015</v>
      </c>
      <c r="L2923">
        <v>417.05492504540598</v>
      </c>
      <c r="M2923">
        <v>7.0658249762114602</v>
      </c>
      <c r="N2923">
        <v>59.024238713039097</v>
      </c>
      <c r="O2923">
        <v>54.843263538872598</v>
      </c>
      <c r="P2923">
        <v>-3.2266873685787498E-2</v>
      </c>
      <c r="Q2923">
        <v>0</v>
      </c>
      <c r="R2923">
        <v>0.96371188075580305</v>
      </c>
      <c r="S2923" t="s">
        <v>6552</v>
      </c>
      <c r="T2923" t="s">
        <v>7256</v>
      </c>
      <c r="U2923" t="s">
        <v>7256</v>
      </c>
      <c r="V2923" t="s">
        <v>7256</v>
      </c>
      <c r="W2923">
        <v>19</v>
      </c>
      <c r="X2923" t="s">
        <v>10179</v>
      </c>
      <c r="Y2923">
        <v>0.62223039079304066</v>
      </c>
      <c r="Z2923" t="str">
        <f>HYPERLINK("Melting_Curves/meltCurve_sp_Q9Y2T3_3_GUAD_HUMAN_.pdf", "Melting_Curves/meltCurve_sp_Q9Y2T3_3_GUAD_HUMAN_.pdf")</f>
        <v>Melting_Curves/meltCurve_sp_Q9Y2T3_3_GUAD_HUMAN_.pdf</v>
      </c>
      <c r="AA2923" t="s">
        <v>13770</v>
      </c>
      <c r="AB2923" t="s">
        <v>17347</v>
      </c>
    </row>
    <row r="2924" spans="1:28" x14ac:dyDescent="0.25">
      <c r="A2924" t="s">
        <v>2928</v>
      </c>
      <c r="B2924">
        <v>0.98018197421672304</v>
      </c>
      <c r="C2924">
        <v>0.90801764654953898</v>
      </c>
      <c r="D2924">
        <v>0.97233570061721697</v>
      </c>
      <c r="E2924">
        <v>0.85891047741097404</v>
      </c>
      <c r="F2924">
        <v>1.03220700772476</v>
      </c>
      <c r="G2924">
        <v>0.95989499060047301</v>
      </c>
      <c r="H2924">
        <v>0.94109194018767806</v>
      </c>
      <c r="I2924">
        <v>1.00704843647932</v>
      </c>
      <c r="J2924">
        <v>1.0291196264931699</v>
      </c>
      <c r="K2924">
        <v>1.1089051515564601</v>
      </c>
      <c r="L2924">
        <v>4231.6630776909797</v>
      </c>
      <c r="M2924">
        <v>61.878371362028297</v>
      </c>
      <c r="O2924">
        <v>68.315456159943096</v>
      </c>
      <c r="P2924">
        <v>3.0581331185518899E-2</v>
      </c>
      <c r="Q2924">
        <v>1.13505056554791</v>
      </c>
      <c r="R2924">
        <v>0.194792397935453</v>
      </c>
      <c r="S2924" t="s">
        <v>6553</v>
      </c>
      <c r="T2924" t="s">
        <v>7256</v>
      </c>
      <c r="U2924" t="s">
        <v>7256</v>
      </c>
      <c r="V2924" t="s">
        <v>7256</v>
      </c>
      <c r="W2924">
        <v>8</v>
      </c>
      <c r="X2924" t="s">
        <v>10180</v>
      </c>
      <c r="Y2924">
        <v>1.00816040980956</v>
      </c>
      <c r="Z2924" t="str">
        <f>HYPERLINK("Melting_Curves/meltCurve_sp_Q9Y2V2_CHSP1_HUMAN_.pdf", "Melting_Curves/meltCurve_sp_Q9Y2V2_CHSP1_HUMAN_.pdf")</f>
        <v>Melting_Curves/meltCurve_sp_Q9Y2V2_CHSP1_HUMAN_.pdf</v>
      </c>
      <c r="AA2924" t="s">
        <v>13771</v>
      </c>
      <c r="AB2924" t="s">
        <v>17348</v>
      </c>
    </row>
    <row r="2925" spans="1:28" x14ac:dyDescent="0.25">
      <c r="A2925" t="s">
        <v>2929</v>
      </c>
      <c r="B2925">
        <v>0.98018197421672304</v>
      </c>
      <c r="C2925">
        <v>0.92571106379365498</v>
      </c>
      <c r="D2925">
        <v>0.78136895989794197</v>
      </c>
      <c r="E2925">
        <v>0.37796879181097398</v>
      </c>
      <c r="F2925">
        <v>0.240820325016121</v>
      </c>
      <c r="G2925">
        <v>0.15379233796640901</v>
      </c>
      <c r="H2925">
        <v>8.6072438772811496E-2</v>
      </c>
      <c r="I2925">
        <v>8.3995137983054594E-2</v>
      </c>
      <c r="J2925">
        <v>8.3036137066741705E-2</v>
      </c>
      <c r="K2925">
        <v>5.41553745205864E-2</v>
      </c>
      <c r="L2925">
        <v>936.46005019068105</v>
      </c>
      <c r="M2925">
        <v>19.305772275247101</v>
      </c>
      <c r="N2925">
        <v>48.919458938904903</v>
      </c>
      <c r="O2925">
        <v>47.9952814110422</v>
      </c>
      <c r="P2925">
        <v>-9.3006878710472807E-2</v>
      </c>
      <c r="Q2925">
        <v>7.5152392759373507E-2</v>
      </c>
      <c r="R2925">
        <v>0.99756219329520202</v>
      </c>
      <c r="S2925" t="s">
        <v>6554</v>
      </c>
      <c r="T2925" t="s">
        <v>7256</v>
      </c>
      <c r="U2925" t="s">
        <v>7256</v>
      </c>
      <c r="V2925" t="s">
        <v>7256</v>
      </c>
      <c r="W2925">
        <v>2</v>
      </c>
      <c r="X2925" t="s">
        <v>10181</v>
      </c>
      <c r="Y2925">
        <v>0.35141846993027348</v>
      </c>
      <c r="Z2925" t="str">
        <f>HYPERLINK("Melting_Curves/meltCurve_sp_Q9Y2V7_2_COG6_HUMAN_.pdf", "Melting_Curves/meltCurve_sp_Q9Y2V7_2_COG6_HUMAN_.pdf")</f>
        <v>Melting_Curves/meltCurve_sp_Q9Y2V7_2_COG6_HUMAN_.pdf</v>
      </c>
      <c r="AA2925" t="s">
        <v>13772</v>
      </c>
      <c r="AB2925" t="s">
        <v>17349</v>
      </c>
    </row>
    <row r="2926" spans="1:28" x14ac:dyDescent="0.25">
      <c r="A2926" t="s">
        <v>2930</v>
      </c>
      <c r="B2926">
        <v>0.98018197421672304</v>
      </c>
      <c r="C2926">
        <v>0.91832765273985795</v>
      </c>
      <c r="D2926">
        <v>0.87740840258802999</v>
      </c>
      <c r="E2926">
        <v>0.74078105731764698</v>
      </c>
      <c r="F2926">
        <v>0.69707859213930101</v>
      </c>
      <c r="G2926">
        <v>0.56286135492618505</v>
      </c>
      <c r="H2926">
        <v>0.477592206421391</v>
      </c>
      <c r="I2926">
        <v>0.520151179908937</v>
      </c>
      <c r="J2926">
        <v>0.61148725622076705</v>
      </c>
      <c r="K2926">
        <v>0.63856302484929905</v>
      </c>
      <c r="L2926">
        <v>750.64144921924105</v>
      </c>
      <c r="M2926">
        <v>15.395962212901599</v>
      </c>
      <c r="O2926">
        <v>47.955369576574697</v>
      </c>
      <c r="P2926">
        <v>-3.5843043012463702E-2</v>
      </c>
      <c r="Q2926">
        <v>0.55346463234494903</v>
      </c>
      <c r="R2926">
        <v>0.91003851060805596</v>
      </c>
      <c r="S2926" t="s">
        <v>6555</v>
      </c>
      <c r="T2926" t="s">
        <v>7256</v>
      </c>
      <c r="U2926" t="s">
        <v>7256</v>
      </c>
      <c r="V2926" t="s">
        <v>7256</v>
      </c>
      <c r="W2926">
        <v>12</v>
      </c>
      <c r="X2926" t="s">
        <v>10182</v>
      </c>
      <c r="Y2926">
        <v>0.69437182885635917</v>
      </c>
      <c r="Z2926" t="str">
        <f>HYPERLINK("Melting_Curves/meltCurve_sp_Q9Y2W1_TR150_HUMAN_.pdf", "Melting_Curves/meltCurve_sp_Q9Y2W1_TR150_HUMAN_.pdf")</f>
        <v>Melting_Curves/meltCurve_sp_Q9Y2W1_TR150_HUMAN_.pdf</v>
      </c>
      <c r="AA2926" t="s">
        <v>13773</v>
      </c>
      <c r="AB2926" t="s">
        <v>17350</v>
      </c>
    </row>
    <row r="2927" spans="1:28" x14ac:dyDescent="0.25">
      <c r="A2927" t="s">
        <v>2931</v>
      </c>
      <c r="B2927">
        <v>0.98018197421672304</v>
      </c>
      <c r="C2927">
        <v>0.99650489607860004</v>
      </c>
      <c r="D2927">
        <v>0.95106953659341198</v>
      </c>
      <c r="E2927">
        <v>0.82478862402113096</v>
      </c>
      <c r="F2927">
        <v>0.67123458116979395</v>
      </c>
      <c r="G2927">
        <v>0.45085128825568799</v>
      </c>
      <c r="H2927">
        <v>0.40190635936227098</v>
      </c>
      <c r="I2927">
        <v>0.33596453945431398</v>
      </c>
      <c r="J2927">
        <v>0.271610422677311</v>
      </c>
      <c r="K2927">
        <v>0.22226058813232799</v>
      </c>
      <c r="L2927">
        <v>741.73222165928598</v>
      </c>
      <c r="M2927">
        <v>13.6529233725726</v>
      </c>
      <c r="N2927">
        <v>56.730274612739201</v>
      </c>
      <c r="O2927">
        <v>53.201931150963901</v>
      </c>
      <c r="P2927">
        <v>-5.0078094336923E-2</v>
      </c>
      <c r="Q2927">
        <v>0.21954774232121199</v>
      </c>
      <c r="R2927">
        <v>0.99355544261360196</v>
      </c>
      <c r="S2927" t="s">
        <v>6556</v>
      </c>
      <c r="T2927" t="s">
        <v>7256</v>
      </c>
      <c r="U2927" t="s">
        <v>7256</v>
      </c>
      <c r="V2927" t="s">
        <v>7256</v>
      </c>
      <c r="W2927">
        <v>12</v>
      </c>
      <c r="X2927" t="s">
        <v>10183</v>
      </c>
      <c r="Y2927">
        <v>0.60974343898371108</v>
      </c>
      <c r="Z2927" t="str">
        <f>HYPERLINK("Melting_Curves/meltCurve_sp_Q9Y2Z0_SUGT1_HUMAN_.pdf", "Melting_Curves/meltCurve_sp_Q9Y2Z0_SUGT1_HUMAN_.pdf")</f>
        <v>Melting_Curves/meltCurve_sp_Q9Y2Z0_SUGT1_HUMAN_.pdf</v>
      </c>
      <c r="AA2927" t="s">
        <v>13774</v>
      </c>
      <c r="AB2927" t="s">
        <v>17351</v>
      </c>
    </row>
    <row r="2928" spans="1:28" x14ac:dyDescent="0.25">
      <c r="A2928" t="s">
        <v>2932</v>
      </c>
      <c r="B2928">
        <v>0.98018197421672304</v>
      </c>
      <c r="C2928">
        <v>0.82378536809086</v>
      </c>
      <c r="D2928">
        <v>0.71901171176371304</v>
      </c>
      <c r="E2928">
        <v>0.56058656885006797</v>
      </c>
      <c r="F2928">
        <v>0.35669354926866098</v>
      </c>
      <c r="G2928">
        <v>0.204159512509789</v>
      </c>
      <c r="H2928">
        <v>0.115611695937116</v>
      </c>
      <c r="I2928">
        <v>0.10007857629674199</v>
      </c>
      <c r="J2928">
        <v>0.14120652577912099</v>
      </c>
      <c r="K2928">
        <v>0.109556069507909</v>
      </c>
      <c r="L2928">
        <v>586.506857573866</v>
      </c>
      <c r="M2928">
        <v>11.8276343632806</v>
      </c>
      <c r="N2928">
        <v>50.137748818547202</v>
      </c>
      <c r="O2928">
        <v>48.234029766743703</v>
      </c>
      <c r="P2928">
        <v>-5.7588883981740398E-2</v>
      </c>
      <c r="Q2928">
        <v>6.0831380879936302E-2</v>
      </c>
      <c r="R2928">
        <v>0.98936666627432801</v>
      </c>
      <c r="S2928" t="s">
        <v>6557</v>
      </c>
      <c r="T2928" t="s">
        <v>7256</v>
      </c>
      <c r="U2928" t="s">
        <v>7256</v>
      </c>
      <c r="V2928" t="s">
        <v>7256</v>
      </c>
      <c r="W2928">
        <v>2</v>
      </c>
      <c r="X2928" t="s">
        <v>10184</v>
      </c>
      <c r="Y2928">
        <v>0.39507650941402372</v>
      </c>
      <c r="Z2928" t="str">
        <f>HYPERLINK("Melting_Curves/meltCurve_sp_Q9Y2Z2_4_MTO1_HUMAN_.pdf", "Melting_Curves/meltCurve_sp_Q9Y2Z2_4_MTO1_HUMAN_.pdf")</f>
        <v>Melting_Curves/meltCurve_sp_Q9Y2Z2_4_MTO1_HUMAN_.pdf</v>
      </c>
      <c r="AA2928" t="s">
        <v>13775</v>
      </c>
      <c r="AB2928" t="s">
        <v>17352</v>
      </c>
    </row>
    <row r="2929" spans="1:28" x14ac:dyDescent="0.25">
      <c r="A2929" t="s">
        <v>2933</v>
      </c>
      <c r="B2929">
        <v>0.98018197421672304</v>
      </c>
      <c r="C2929">
        <v>0.96750714745405397</v>
      </c>
      <c r="D2929">
        <v>0.75069519103136795</v>
      </c>
      <c r="E2929">
        <v>0.45818494054680797</v>
      </c>
      <c r="F2929">
        <v>0.29010045986423399</v>
      </c>
      <c r="G2929">
        <v>0.171441766750668</v>
      </c>
      <c r="H2929">
        <v>9.99126955099046E-2</v>
      </c>
      <c r="I2929">
        <v>6.1965788120791697E-2</v>
      </c>
      <c r="J2929">
        <v>0.101888572046722</v>
      </c>
      <c r="K2929">
        <v>5.6452772512261502E-2</v>
      </c>
      <c r="L2929">
        <v>815.53497873311801</v>
      </c>
      <c r="M2929">
        <v>16.5965344221678</v>
      </c>
      <c r="N2929">
        <v>49.564480499741101</v>
      </c>
      <c r="O2929">
        <v>48.442082184967298</v>
      </c>
      <c r="P2929">
        <v>-7.9968557724983597E-2</v>
      </c>
      <c r="Q2929">
        <v>6.6412228931848297E-2</v>
      </c>
      <c r="R2929">
        <v>0.99651246426475604</v>
      </c>
      <c r="S2929" t="s">
        <v>6558</v>
      </c>
      <c r="T2929" t="s">
        <v>7256</v>
      </c>
      <c r="U2929" t="s">
        <v>7256</v>
      </c>
      <c r="V2929" t="s">
        <v>7256</v>
      </c>
      <c r="W2929">
        <v>8</v>
      </c>
      <c r="X2929" t="s">
        <v>10185</v>
      </c>
      <c r="Y2929">
        <v>0.36972085052176579</v>
      </c>
      <c r="Z2929" t="str">
        <f>HYPERLINK("Melting_Curves/meltCurve_sp_Q9Y2Z4_SYYM_HUMAN_.pdf", "Melting_Curves/meltCurve_sp_Q9Y2Z4_SYYM_HUMAN_.pdf")</f>
        <v>Melting_Curves/meltCurve_sp_Q9Y2Z4_SYYM_HUMAN_.pdf</v>
      </c>
      <c r="AA2929" t="s">
        <v>13776</v>
      </c>
      <c r="AB2929" t="s">
        <v>17353</v>
      </c>
    </row>
    <row r="2930" spans="1:28" x14ac:dyDescent="0.25">
      <c r="A2930" t="s">
        <v>2934</v>
      </c>
      <c r="B2930">
        <v>0.98018197421672304</v>
      </c>
      <c r="C2930">
        <v>1.0629921146129</v>
      </c>
      <c r="D2930">
        <v>0.829945067990004</v>
      </c>
      <c r="E2930">
        <v>0.72589586507655801</v>
      </c>
      <c r="F2930">
        <v>0.453067770466627</v>
      </c>
      <c r="G2930">
        <v>0.242032317369999</v>
      </c>
      <c r="H2930">
        <v>5.3983993496408499E-2</v>
      </c>
      <c r="I2930">
        <v>1.45166028299721E-2</v>
      </c>
      <c r="J2930">
        <v>7.8849210979021703E-3</v>
      </c>
      <c r="K2930">
        <v>1.1331801476376999E-2</v>
      </c>
      <c r="L2930">
        <v>888.96929538971904</v>
      </c>
      <c r="M2930">
        <v>16.932080470115402</v>
      </c>
      <c r="N2930">
        <v>52.502072444647297</v>
      </c>
      <c r="O2930">
        <v>51.786148449262001</v>
      </c>
      <c r="P2930">
        <v>-8.1745526200926094E-2</v>
      </c>
      <c r="Q2930">
        <v>0</v>
      </c>
      <c r="R2930">
        <v>0.98844557446298698</v>
      </c>
      <c r="S2930" t="s">
        <v>6559</v>
      </c>
      <c r="T2930" t="s">
        <v>7256</v>
      </c>
      <c r="U2930" t="s">
        <v>7256</v>
      </c>
      <c r="V2930" t="s">
        <v>7256</v>
      </c>
      <c r="W2930">
        <v>6</v>
      </c>
      <c r="X2930" t="s">
        <v>10186</v>
      </c>
      <c r="Y2930">
        <v>0.43497768015220872</v>
      </c>
      <c r="Z2930" t="str">
        <f>HYPERLINK("Melting_Curves/meltCurve_sp_Q9Y303_NAGA_HUMAN_.pdf", "Melting_Curves/meltCurve_sp_Q9Y303_NAGA_HUMAN_.pdf")</f>
        <v>Melting_Curves/meltCurve_sp_Q9Y303_NAGA_HUMAN_.pdf</v>
      </c>
      <c r="AA2930" t="s">
        <v>13777</v>
      </c>
      <c r="AB2930" t="s">
        <v>17354</v>
      </c>
    </row>
    <row r="2931" spans="1:28" x14ac:dyDescent="0.25">
      <c r="A2931" t="s">
        <v>2935</v>
      </c>
      <c r="B2931">
        <v>0.98018197421672304</v>
      </c>
      <c r="C2931">
        <v>0.70368052425787897</v>
      </c>
      <c r="D2931">
        <v>0.42846737417431902</v>
      </c>
      <c r="E2931">
        <v>0.244709067739659</v>
      </c>
      <c r="F2931">
        <v>0.14306987761809301</v>
      </c>
      <c r="G2931">
        <v>8.5032144475564703E-2</v>
      </c>
      <c r="H2931">
        <v>5.3652762899085403E-2</v>
      </c>
      <c r="I2931">
        <v>4.05347740832466E-2</v>
      </c>
      <c r="J2931">
        <v>5.3248675848646398E-2</v>
      </c>
      <c r="K2931">
        <v>3.5277750332265101E-2</v>
      </c>
      <c r="L2931">
        <v>766.03580037538802</v>
      </c>
      <c r="M2931">
        <v>16.929298910647798</v>
      </c>
      <c r="N2931">
        <v>45.527873025437501</v>
      </c>
      <c r="O2931">
        <v>44.631895472435701</v>
      </c>
      <c r="P2931">
        <v>-9.0164493495487705E-2</v>
      </c>
      <c r="Q2931">
        <v>4.9231872439043103E-2</v>
      </c>
      <c r="R2931">
        <v>0.99029789471636698</v>
      </c>
      <c r="S2931" t="s">
        <v>6560</v>
      </c>
      <c r="T2931" t="s">
        <v>7256</v>
      </c>
      <c r="U2931" t="s">
        <v>7256</v>
      </c>
      <c r="V2931" t="s">
        <v>7256</v>
      </c>
      <c r="W2931">
        <v>8</v>
      </c>
      <c r="X2931" t="s">
        <v>10187</v>
      </c>
      <c r="Y2931">
        <v>0.23849031751691199</v>
      </c>
      <c r="Z2931" t="str">
        <f>HYPERLINK("Melting_Curves/meltCurve_sp_Q9Y305_ACOT9_HUMAN_.pdf", "Melting_Curves/meltCurve_sp_Q9Y305_ACOT9_HUMAN_.pdf")</f>
        <v>Melting_Curves/meltCurve_sp_Q9Y305_ACOT9_HUMAN_.pdf</v>
      </c>
      <c r="AA2931" t="s">
        <v>13778</v>
      </c>
      <c r="AB2931" t="s">
        <v>17355</v>
      </c>
    </row>
    <row r="2932" spans="1:28" x14ac:dyDescent="0.25">
      <c r="A2932" t="s">
        <v>2936</v>
      </c>
      <c r="B2932">
        <v>0.98018197421672304</v>
      </c>
      <c r="C2932">
        <v>0.82599298509393304</v>
      </c>
      <c r="D2932">
        <v>0.80213958322425105</v>
      </c>
      <c r="E2932">
        <v>0.68279177681086101</v>
      </c>
      <c r="F2932">
        <v>0.53438830826741301</v>
      </c>
      <c r="G2932">
        <v>0.21123396910561201</v>
      </c>
      <c r="H2932">
        <v>4.6997064831720399E-2</v>
      </c>
      <c r="I2932">
        <v>4.0606204618393101E-2</v>
      </c>
      <c r="J2932">
        <v>6.5461576716941E-2</v>
      </c>
      <c r="K2932">
        <v>4.3700154298821299E-2</v>
      </c>
      <c r="L2932">
        <v>693.20263554866597</v>
      </c>
      <c r="M2932">
        <v>13.2798547217775</v>
      </c>
      <c r="N2932">
        <v>52.199544753452798</v>
      </c>
      <c r="O2932">
        <v>51.0584905509658</v>
      </c>
      <c r="P2932">
        <v>-6.5033327229244403E-2</v>
      </c>
      <c r="Q2932">
        <v>0</v>
      </c>
      <c r="R2932">
        <v>0.97226643609044106</v>
      </c>
      <c r="S2932" t="s">
        <v>6561</v>
      </c>
      <c r="T2932" t="s">
        <v>7256</v>
      </c>
      <c r="U2932" t="s">
        <v>7256</v>
      </c>
      <c r="V2932" t="s">
        <v>7256</v>
      </c>
      <c r="W2932">
        <v>1</v>
      </c>
      <c r="X2932" t="s">
        <v>10188</v>
      </c>
      <c r="Y2932">
        <v>0.43309077382070188</v>
      </c>
      <c r="Z2932" t="str">
        <f>HYPERLINK("Melting_Curves/meltCurve_sp_Q9Y312_AAR2_HUMAN_.pdf", "Melting_Curves/meltCurve_sp_Q9Y312_AAR2_HUMAN_.pdf")</f>
        <v>Melting_Curves/meltCurve_sp_Q9Y312_AAR2_HUMAN_.pdf</v>
      </c>
      <c r="AA2932" t="s">
        <v>13779</v>
      </c>
      <c r="AB2932" t="s">
        <v>17356</v>
      </c>
    </row>
    <row r="2933" spans="1:28" x14ac:dyDescent="0.25">
      <c r="A2933" t="s">
        <v>2937</v>
      </c>
      <c r="B2933">
        <v>0.98018197421672304</v>
      </c>
      <c r="C2933">
        <v>1.0994369544596601</v>
      </c>
      <c r="D2933">
        <v>0.86960841284952395</v>
      </c>
      <c r="E2933">
        <v>0.55269752989980503</v>
      </c>
      <c r="F2933">
        <v>0.25620841615846501</v>
      </c>
      <c r="G2933">
        <v>0.14734586427811999</v>
      </c>
      <c r="H2933">
        <v>0.138471029319264</v>
      </c>
      <c r="I2933">
        <v>0.102988560523575</v>
      </c>
      <c r="J2933">
        <v>0.17074648775677601</v>
      </c>
      <c r="K2933">
        <v>0.20703707494128001</v>
      </c>
      <c r="L2933">
        <v>1410.260429084</v>
      </c>
      <c r="M2933">
        <v>28.403246314678199</v>
      </c>
      <c r="N2933">
        <v>50.269178042557598</v>
      </c>
      <c r="O2933">
        <v>49.407215728142198</v>
      </c>
      <c r="P2933">
        <v>-0.122547155599597</v>
      </c>
      <c r="Q2933">
        <v>0.14732778963302101</v>
      </c>
      <c r="R2933">
        <v>0.98390856601759502</v>
      </c>
      <c r="S2933" t="s">
        <v>6562</v>
      </c>
      <c r="T2933" t="s">
        <v>7256</v>
      </c>
      <c r="U2933" t="s">
        <v>7256</v>
      </c>
      <c r="V2933" t="s">
        <v>7256</v>
      </c>
      <c r="W2933">
        <v>2</v>
      </c>
      <c r="X2933" t="s">
        <v>10189</v>
      </c>
      <c r="Y2933">
        <v>0.4275044368588371</v>
      </c>
      <c r="Z2933" t="str">
        <f>HYPERLINK("Melting_Curves/meltCurve_sp_Q9Y314_NOSIP_HUMAN_.pdf", "Melting_Curves/meltCurve_sp_Q9Y314_NOSIP_HUMAN_.pdf")</f>
        <v>Melting_Curves/meltCurve_sp_Q9Y314_NOSIP_HUMAN_.pdf</v>
      </c>
      <c r="AA2933" t="s">
        <v>13780</v>
      </c>
      <c r="AB2933" t="s">
        <v>17357</v>
      </c>
    </row>
    <row r="2934" spans="1:28" x14ac:dyDescent="0.25">
      <c r="A2934" t="s">
        <v>2938</v>
      </c>
      <c r="B2934">
        <v>0.98018197421672304</v>
      </c>
      <c r="C2934">
        <v>0.96711282895014905</v>
      </c>
      <c r="D2934">
        <v>0.91428579184747105</v>
      </c>
      <c r="E2934">
        <v>0.74357687746929302</v>
      </c>
      <c r="F2934">
        <v>0.60599930508909206</v>
      </c>
      <c r="G2934">
        <v>0.44586908547598197</v>
      </c>
      <c r="H2934">
        <v>0.28975900318623499</v>
      </c>
      <c r="I2934">
        <v>0.135740417594816</v>
      </c>
      <c r="J2934">
        <v>5.8297063795197397E-2</v>
      </c>
      <c r="K2934">
        <v>3.3450356444042602E-2</v>
      </c>
      <c r="L2934">
        <v>658.23749667522497</v>
      </c>
      <c r="M2934">
        <v>11.9379759138825</v>
      </c>
      <c r="N2934">
        <v>55.138115654850303</v>
      </c>
      <c r="O2934">
        <v>53.659249339892398</v>
      </c>
      <c r="P2934">
        <v>-5.56330565577988E-2</v>
      </c>
      <c r="Q2934">
        <v>0</v>
      </c>
      <c r="R2934">
        <v>0.99223993965622304</v>
      </c>
      <c r="S2934" t="s">
        <v>6563</v>
      </c>
      <c r="T2934" t="s">
        <v>7256</v>
      </c>
      <c r="U2934" t="s">
        <v>7256</v>
      </c>
      <c r="V2934" t="s">
        <v>7256</v>
      </c>
      <c r="W2934">
        <v>9</v>
      </c>
      <c r="X2934" t="s">
        <v>10190</v>
      </c>
      <c r="Y2934">
        <v>0.52773500841462839</v>
      </c>
      <c r="Z2934" t="str">
        <f>HYPERLINK("Melting_Curves/meltCurve_sp_Q9Y315_DEOC_HUMAN_.pdf", "Melting_Curves/meltCurve_sp_Q9Y315_DEOC_HUMAN_.pdf")</f>
        <v>Melting_Curves/meltCurve_sp_Q9Y315_DEOC_HUMAN_.pdf</v>
      </c>
      <c r="AA2934" t="s">
        <v>13781</v>
      </c>
      <c r="AB2934" t="s">
        <v>17358</v>
      </c>
    </row>
    <row r="2935" spans="1:28" x14ac:dyDescent="0.25">
      <c r="A2935" t="s">
        <v>2939</v>
      </c>
      <c r="B2935">
        <v>0.98018197421672304</v>
      </c>
      <c r="C2935">
        <v>0.95186759010516997</v>
      </c>
      <c r="D2935">
        <v>0.93247180891187498</v>
      </c>
      <c r="E2935">
        <v>0.74465242375741902</v>
      </c>
      <c r="F2935">
        <v>0.57599272758026798</v>
      </c>
      <c r="G2935">
        <v>0.22762759541254099</v>
      </c>
      <c r="H2935">
        <v>8.9725512228491205E-2</v>
      </c>
      <c r="I2935">
        <v>7.5747877273712697E-2</v>
      </c>
      <c r="J2935">
        <v>8.0846640657088506E-2</v>
      </c>
      <c r="K2935">
        <v>6.7638756071652595E-2</v>
      </c>
      <c r="L2935">
        <v>982.35458547215001</v>
      </c>
      <c r="M2935">
        <v>18.499641965936199</v>
      </c>
      <c r="N2935">
        <v>53.345892127782697</v>
      </c>
      <c r="O2935">
        <v>52.492462486288403</v>
      </c>
      <c r="P2935">
        <v>-8.4527073037026501E-2</v>
      </c>
      <c r="Q2935">
        <v>4.0665173733379599E-2</v>
      </c>
      <c r="R2935">
        <v>0.99528315940174605</v>
      </c>
      <c r="S2935" t="s">
        <v>6564</v>
      </c>
      <c r="T2935" t="s">
        <v>7256</v>
      </c>
      <c r="U2935" t="s">
        <v>7256</v>
      </c>
      <c r="V2935" t="s">
        <v>7256</v>
      </c>
      <c r="W2935">
        <v>5</v>
      </c>
      <c r="X2935" t="s">
        <v>10191</v>
      </c>
      <c r="Y2935">
        <v>0.4746188508230324</v>
      </c>
      <c r="Z2935" t="str">
        <f>HYPERLINK("Melting_Curves/meltCurve_sp_Q9Y316_MEMO1_HUMAN_.pdf", "Melting_Curves/meltCurve_sp_Q9Y316_MEMO1_HUMAN_.pdf")</f>
        <v>Melting_Curves/meltCurve_sp_Q9Y316_MEMO1_HUMAN_.pdf</v>
      </c>
      <c r="AA2935" t="s">
        <v>13782</v>
      </c>
      <c r="AB2935" t="s">
        <v>17359</v>
      </c>
    </row>
    <row r="2936" spans="1:28" x14ac:dyDescent="0.25">
      <c r="A2936" t="s">
        <v>2940</v>
      </c>
      <c r="B2936">
        <v>0.98018197421672304</v>
      </c>
      <c r="C2936">
        <v>0.89441853411240002</v>
      </c>
      <c r="D2936">
        <v>0.92964767804918103</v>
      </c>
      <c r="E2936">
        <v>0.85790353410695896</v>
      </c>
      <c r="F2936">
        <v>0.67887015137967599</v>
      </c>
      <c r="G2936">
        <v>0.58241201202111303</v>
      </c>
      <c r="H2936">
        <v>0.42967223201226701</v>
      </c>
      <c r="I2936">
        <v>0.37146637658223902</v>
      </c>
      <c r="J2936">
        <v>0.32949220462260598</v>
      </c>
      <c r="K2936">
        <v>0.20723720264453199</v>
      </c>
      <c r="L2936">
        <v>460.04017913509</v>
      </c>
      <c r="M2936">
        <v>7.7504340017031401</v>
      </c>
      <c r="N2936">
        <v>59.356719097369798</v>
      </c>
      <c r="O2936">
        <v>55.793449176059802</v>
      </c>
      <c r="P2936">
        <v>-3.4772449093102703E-2</v>
      </c>
      <c r="Q2936">
        <v>0</v>
      </c>
      <c r="R2936">
        <v>0.98572531006618602</v>
      </c>
      <c r="S2936" t="s">
        <v>6565</v>
      </c>
      <c r="T2936" t="s">
        <v>7256</v>
      </c>
      <c r="U2936" t="s">
        <v>7256</v>
      </c>
      <c r="V2936" t="s">
        <v>7256</v>
      </c>
      <c r="W2936">
        <v>1</v>
      </c>
      <c r="X2936" t="s">
        <v>10192</v>
      </c>
      <c r="Y2936">
        <v>0.6347908644971737</v>
      </c>
      <c r="Z2936" t="str">
        <f>HYPERLINK("Melting_Curves/meltCurve_sp_Q9Y333_LSM2_HUMAN_.pdf", "Melting_Curves/meltCurve_sp_Q9Y333_LSM2_HUMAN_.pdf")</f>
        <v>Melting_Curves/meltCurve_sp_Q9Y333_LSM2_HUMAN_.pdf</v>
      </c>
      <c r="AA2936" t="s">
        <v>13783</v>
      </c>
      <c r="AB2936" t="s">
        <v>17360</v>
      </c>
    </row>
    <row r="2937" spans="1:28" x14ac:dyDescent="0.25">
      <c r="A2937" t="s">
        <v>2941</v>
      </c>
      <c r="B2937">
        <v>0.98018197421672304</v>
      </c>
      <c r="C2937">
        <v>0.83631814520139502</v>
      </c>
      <c r="D2937">
        <v>0.76759284602072997</v>
      </c>
      <c r="E2937">
        <v>0.43646387868951603</v>
      </c>
      <c r="F2937">
        <v>0.15170268275597301</v>
      </c>
      <c r="G2937">
        <v>7.49099401626631E-2</v>
      </c>
      <c r="H2937">
        <v>7.42172687608596E-2</v>
      </c>
      <c r="I2937">
        <v>7.0337456490069505E-2</v>
      </c>
      <c r="J2937">
        <v>5.7330721303357299E-2</v>
      </c>
      <c r="K2937">
        <v>6.4243969795851494E-2</v>
      </c>
      <c r="L2937">
        <v>885.20617524321494</v>
      </c>
      <c r="M2937">
        <v>18.263603549207801</v>
      </c>
      <c r="N2937">
        <v>48.716451481322999</v>
      </c>
      <c r="O2937">
        <v>47.898450152208603</v>
      </c>
      <c r="P2937">
        <v>-9.1095103784714193E-2</v>
      </c>
      <c r="Q2937">
        <v>4.4414008818171799E-2</v>
      </c>
      <c r="R2937">
        <v>0.98858100645418601</v>
      </c>
      <c r="S2937" t="s">
        <v>6566</v>
      </c>
      <c r="T2937" t="s">
        <v>7256</v>
      </c>
      <c r="U2937" t="s">
        <v>7256</v>
      </c>
      <c r="V2937" t="s">
        <v>7256</v>
      </c>
      <c r="W2937">
        <v>2</v>
      </c>
      <c r="X2937" t="s">
        <v>10193</v>
      </c>
      <c r="Y2937">
        <v>0.33040383820398428</v>
      </c>
      <c r="Z2937" t="str">
        <f>HYPERLINK("Melting_Curves/meltCurve_sp_Q9Y371_SHLB1_HUMAN_.pdf", "Melting_Curves/meltCurve_sp_Q9Y371_SHLB1_HUMAN_.pdf")</f>
        <v>Melting_Curves/meltCurve_sp_Q9Y371_SHLB1_HUMAN_.pdf</v>
      </c>
      <c r="AA2937" t="s">
        <v>13784</v>
      </c>
      <c r="AB2937" t="s">
        <v>17361</v>
      </c>
    </row>
    <row r="2938" spans="1:28" x14ac:dyDescent="0.25">
      <c r="A2938" t="s">
        <v>2942</v>
      </c>
      <c r="B2938">
        <v>0.98018197421672304</v>
      </c>
      <c r="C2938">
        <v>0.94378268528767895</v>
      </c>
      <c r="D2938">
        <v>0.93368405738467697</v>
      </c>
      <c r="E2938">
        <v>0.82075481169967701</v>
      </c>
      <c r="F2938">
        <v>0.796558822330656</v>
      </c>
      <c r="G2938">
        <v>0.59624302443004995</v>
      </c>
      <c r="H2938">
        <v>0.29943228650618903</v>
      </c>
      <c r="I2938">
        <v>8.6849871719435798E-2</v>
      </c>
      <c r="J2938">
        <v>6.52635854454265E-2</v>
      </c>
      <c r="K2938">
        <v>4.1999742561883102E-2</v>
      </c>
      <c r="L2938">
        <v>922.68973679609996</v>
      </c>
      <c r="M2938">
        <v>16.068963830109102</v>
      </c>
      <c r="N2938">
        <v>57.4206121812473</v>
      </c>
      <c r="O2938">
        <v>56.553387272151497</v>
      </c>
      <c r="P2938">
        <v>-7.1039946702402906E-2</v>
      </c>
      <c r="Q2938">
        <v>0</v>
      </c>
      <c r="R2938">
        <v>0.98172310243969296</v>
      </c>
      <c r="S2938" t="s">
        <v>6567</v>
      </c>
      <c r="T2938" t="s">
        <v>7256</v>
      </c>
      <c r="U2938" t="s">
        <v>7256</v>
      </c>
      <c r="V2938" t="s">
        <v>7256</v>
      </c>
      <c r="W2938">
        <v>12</v>
      </c>
      <c r="X2938" t="s">
        <v>10194</v>
      </c>
      <c r="Y2938">
        <v>0.59504618945622856</v>
      </c>
      <c r="Z2938" t="str">
        <f>HYPERLINK("Melting_Curves/meltCurve_sp_Q9Y376_CAB39_HUMAN_.pdf", "Melting_Curves/meltCurve_sp_Q9Y376_CAB39_HUMAN_.pdf")</f>
        <v>Melting_Curves/meltCurve_sp_Q9Y376_CAB39_HUMAN_.pdf</v>
      </c>
      <c r="AA2938" t="s">
        <v>13785</v>
      </c>
      <c r="AB2938" t="s">
        <v>17362</v>
      </c>
    </row>
    <row r="2939" spans="1:28" x14ac:dyDescent="0.25">
      <c r="A2939" t="s">
        <v>2943</v>
      </c>
      <c r="B2939">
        <v>0.98018197421672304</v>
      </c>
      <c r="C2939">
        <v>0.88813447712613203</v>
      </c>
      <c r="D2939">
        <v>0.77553451772387605</v>
      </c>
      <c r="E2939">
        <v>0.59399465564665399</v>
      </c>
      <c r="F2939">
        <v>0.48403316864380302</v>
      </c>
      <c r="G2939">
        <v>0.195149742276086</v>
      </c>
      <c r="H2939">
        <v>0.167232435011062</v>
      </c>
      <c r="I2939">
        <v>0.17360129706021399</v>
      </c>
      <c r="J2939">
        <v>0.22047183221585101</v>
      </c>
      <c r="K2939">
        <v>0.25328286586284698</v>
      </c>
      <c r="L2939">
        <v>707.84531256190496</v>
      </c>
      <c r="M2939">
        <v>14.227405576406699</v>
      </c>
      <c r="N2939">
        <v>51.221583444749797</v>
      </c>
      <c r="O2939">
        <v>48.800288283692701</v>
      </c>
      <c r="P2939">
        <v>-6.0681204973748001E-2</v>
      </c>
      <c r="Q2939">
        <v>0.16755242296775</v>
      </c>
      <c r="R2939">
        <v>0.97161558033236295</v>
      </c>
      <c r="S2939" t="s">
        <v>6568</v>
      </c>
      <c r="T2939" t="s">
        <v>7256</v>
      </c>
      <c r="U2939" t="s">
        <v>7256</v>
      </c>
      <c r="V2939" t="s">
        <v>7256</v>
      </c>
      <c r="W2939">
        <v>11</v>
      </c>
      <c r="X2939" t="s">
        <v>10195</v>
      </c>
      <c r="Y2939">
        <v>0.46014410554776591</v>
      </c>
      <c r="Z2939" t="str">
        <f>HYPERLINK("Melting_Curves/meltCurve_sp_Q9Y383_LC7L2_HUMAN_.pdf", "Melting_Curves/meltCurve_sp_Q9Y383_LC7L2_HUMAN_.pdf")</f>
        <v>Melting_Curves/meltCurve_sp_Q9Y383_LC7L2_HUMAN_.pdf</v>
      </c>
      <c r="AA2939" t="s">
        <v>13786</v>
      </c>
      <c r="AB2939" t="s">
        <v>17363</v>
      </c>
    </row>
    <row r="2940" spans="1:28" x14ac:dyDescent="0.25">
      <c r="A2940" t="s">
        <v>2944</v>
      </c>
      <c r="B2940">
        <v>0.98018197421672304</v>
      </c>
      <c r="C2940">
        <v>0.89766501759019102</v>
      </c>
      <c r="D2940">
        <v>1.0189591886957301</v>
      </c>
      <c r="E2940">
        <v>0.81578643770237702</v>
      </c>
      <c r="F2940">
        <v>0.76722983701316805</v>
      </c>
      <c r="G2940">
        <v>0.45351820123511899</v>
      </c>
      <c r="H2940">
        <v>0.131560513077913</v>
      </c>
      <c r="I2940">
        <v>6.5028678775645901E-2</v>
      </c>
      <c r="J2940">
        <v>5.9571080913661499E-2</v>
      </c>
      <c r="K2940">
        <v>2.0035275354200899E-2</v>
      </c>
      <c r="L2940">
        <v>1034.69669460759</v>
      </c>
      <c r="M2940">
        <v>18.4960032238601</v>
      </c>
      <c r="N2940">
        <v>55.941636797232803</v>
      </c>
      <c r="O2940">
        <v>55.3000115802392</v>
      </c>
      <c r="P2940">
        <v>-8.3620340659441003E-2</v>
      </c>
      <c r="Q2940">
        <v>0</v>
      </c>
      <c r="R2940">
        <v>0.98482156432921597</v>
      </c>
      <c r="S2940" t="s">
        <v>6569</v>
      </c>
      <c r="T2940" t="s">
        <v>7256</v>
      </c>
      <c r="U2940" t="s">
        <v>7256</v>
      </c>
      <c r="V2940" t="s">
        <v>7256</v>
      </c>
      <c r="W2940">
        <v>2</v>
      </c>
      <c r="X2940" t="s">
        <v>10196</v>
      </c>
      <c r="Y2940">
        <v>0.54568737205277429</v>
      </c>
      <c r="Z2940" t="str">
        <f>HYPERLINK("Melting_Curves/meltCurve_sp_Q9Y385_UB2J1_HUMAN_.pdf", "Melting_Curves/meltCurve_sp_Q9Y385_UB2J1_HUMAN_.pdf")</f>
        <v>Melting_Curves/meltCurve_sp_Q9Y385_UB2J1_HUMAN_.pdf</v>
      </c>
      <c r="AA2940" t="s">
        <v>13787</v>
      </c>
      <c r="AB2940" t="s">
        <v>17364</v>
      </c>
    </row>
    <row r="2941" spans="1:28" x14ac:dyDescent="0.25">
      <c r="A2941" t="s">
        <v>2945</v>
      </c>
      <c r="B2941">
        <v>0.98018197421672304</v>
      </c>
      <c r="C2941">
        <v>0.96924710861241603</v>
      </c>
      <c r="D2941">
        <v>0.76710911082339694</v>
      </c>
      <c r="E2941">
        <v>0.39013311878325602</v>
      </c>
      <c r="F2941">
        <v>0.212185190393467</v>
      </c>
      <c r="G2941">
        <v>0.125356490413216</v>
      </c>
      <c r="H2941">
        <v>0.100720115848311</v>
      </c>
      <c r="I2941">
        <v>7.6309743025626903E-2</v>
      </c>
      <c r="J2941">
        <v>8.7568085419623007E-2</v>
      </c>
      <c r="K2941">
        <v>5.3196079400373901E-2</v>
      </c>
      <c r="L2941">
        <v>1019.75215491265</v>
      </c>
      <c r="M2941">
        <v>21.038206051210999</v>
      </c>
      <c r="N2941">
        <v>48.857678530780099</v>
      </c>
      <c r="O2941">
        <v>48.039867943455903</v>
      </c>
      <c r="P2941">
        <v>-0.101098227943762</v>
      </c>
      <c r="Q2941">
        <v>7.6610153610937995E-2</v>
      </c>
      <c r="R2941">
        <v>0.99861527830044505</v>
      </c>
      <c r="S2941" t="s">
        <v>6570</v>
      </c>
      <c r="T2941" t="s">
        <v>7256</v>
      </c>
      <c r="U2941" t="s">
        <v>7256</v>
      </c>
      <c r="V2941" t="s">
        <v>7256</v>
      </c>
      <c r="W2941">
        <v>2</v>
      </c>
      <c r="X2941" t="s">
        <v>10197</v>
      </c>
      <c r="Y2941">
        <v>0.34907092356849201</v>
      </c>
      <c r="Z2941" t="str">
        <f>HYPERLINK("Melting_Curves/meltCurve_sp_Q9Y399_RT02_HUMAN_.pdf", "Melting_Curves/meltCurve_sp_Q9Y399_RT02_HUMAN_.pdf")</f>
        <v>Melting_Curves/meltCurve_sp_Q9Y399_RT02_HUMAN_.pdf</v>
      </c>
      <c r="AA2941" t="s">
        <v>13788</v>
      </c>
      <c r="AB2941" t="s">
        <v>17365</v>
      </c>
    </row>
    <row r="2942" spans="1:28" x14ac:dyDescent="0.25">
      <c r="A2942" t="s">
        <v>2946</v>
      </c>
      <c r="B2942">
        <v>0.98018197421672304</v>
      </c>
      <c r="C2942">
        <v>0.98501053628204305</v>
      </c>
      <c r="D2942">
        <v>0.93381580364191696</v>
      </c>
      <c r="E2942">
        <v>0.76706312970203305</v>
      </c>
      <c r="F2942">
        <v>0.645068711850315</v>
      </c>
      <c r="G2942">
        <v>0.33668947733259202</v>
      </c>
      <c r="H2942">
        <v>0.176480367789876</v>
      </c>
      <c r="I2942">
        <v>0.13997973898138599</v>
      </c>
      <c r="J2942">
        <v>0.165318976781271</v>
      </c>
      <c r="K2942">
        <v>0.15154278162864501</v>
      </c>
      <c r="L2942">
        <v>927.69883464237</v>
      </c>
      <c r="M2942">
        <v>17.320641134746602</v>
      </c>
      <c r="N2942">
        <v>54.375887895680698</v>
      </c>
      <c r="O2942">
        <v>52.8616530741783</v>
      </c>
      <c r="P2942">
        <v>-7.2548556101122305E-2</v>
      </c>
      <c r="Q2942">
        <v>0.114393885918426</v>
      </c>
      <c r="R2942">
        <v>0.99447107629991605</v>
      </c>
      <c r="S2942" t="s">
        <v>6571</v>
      </c>
      <c r="T2942" t="s">
        <v>7256</v>
      </c>
      <c r="U2942" t="s">
        <v>7256</v>
      </c>
      <c r="V2942" t="s">
        <v>7256</v>
      </c>
      <c r="W2942">
        <v>7</v>
      </c>
      <c r="X2942" t="s">
        <v>10198</v>
      </c>
      <c r="Y2942">
        <v>0.52988635786252258</v>
      </c>
      <c r="Z2942" t="str">
        <f>HYPERLINK("Melting_Curves/meltCurve_sp_Q9Y3A5_SBDS_HUMAN_.pdf", "Melting_Curves/meltCurve_sp_Q9Y3A5_SBDS_HUMAN_.pdf")</f>
        <v>Melting_Curves/meltCurve_sp_Q9Y3A5_SBDS_HUMAN_.pdf</v>
      </c>
      <c r="AA2942" t="s">
        <v>13789</v>
      </c>
      <c r="AB2942" t="s">
        <v>17366</v>
      </c>
    </row>
    <row r="2943" spans="1:28" x14ac:dyDescent="0.25">
      <c r="A2943" t="s">
        <v>2947</v>
      </c>
      <c r="B2943">
        <v>0.98018197421672304</v>
      </c>
      <c r="C2943">
        <v>0.74630758817340104</v>
      </c>
      <c r="D2943">
        <v>0.91267531197861596</v>
      </c>
      <c r="E2943">
        <v>0.73840069175488898</v>
      </c>
      <c r="F2943">
        <v>0.72289785267810702</v>
      </c>
      <c r="G2943">
        <v>0.64056904656164004</v>
      </c>
      <c r="H2943">
        <v>0.59532191948584301</v>
      </c>
      <c r="I2943">
        <v>0.63887587253046496</v>
      </c>
      <c r="J2943">
        <v>0.67965033702390198</v>
      </c>
      <c r="K2943">
        <v>0.42882872724904197</v>
      </c>
      <c r="L2943">
        <v>219.05164265507699</v>
      </c>
      <c r="M2943">
        <v>3.5036326574160799</v>
      </c>
      <c r="O2943">
        <v>49.034750076434896</v>
      </c>
      <c r="P2943">
        <v>-1.4326634409772301E-2</v>
      </c>
      <c r="Q2943">
        <v>0.213294570115832</v>
      </c>
      <c r="R2943">
        <v>0.73354271834038598</v>
      </c>
      <c r="S2943" t="s">
        <v>6572</v>
      </c>
      <c r="T2943" t="s">
        <v>7256</v>
      </c>
      <c r="U2943" t="s">
        <v>7256</v>
      </c>
      <c r="V2943" t="s">
        <v>7256</v>
      </c>
      <c r="W2943">
        <v>1</v>
      </c>
      <c r="X2943" t="s">
        <v>10199</v>
      </c>
      <c r="Y2943">
        <v>0.70691486821391813</v>
      </c>
      <c r="Z2943" t="str">
        <f>HYPERLINK("Melting_Curves/meltCurve_sp_Q9Y3B9_RRP15_HUMAN_.pdf", "Melting_Curves/meltCurve_sp_Q9Y3B9_RRP15_HUMAN_.pdf")</f>
        <v>Melting_Curves/meltCurve_sp_Q9Y3B9_RRP15_HUMAN_.pdf</v>
      </c>
      <c r="AA2943" t="s">
        <v>13790</v>
      </c>
      <c r="AB2943" t="s">
        <v>17367</v>
      </c>
    </row>
    <row r="2944" spans="1:28" x14ac:dyDescent="0.25">
      <c r="A2944" t="s">
        <v>2948</v>
      </c>
      <c r="B2944">
        <v>0.98018197421672304</v>
      </c>
      <c r="C2944">
        <v>0.98834985448949197</v>
      </c>
      <c r="D2944">
        <v>0.821631651803995</v>
      </c>
      <c r="E2944">
        <v>0.73461967411597595</v>
      </c>
      <c r="F2944">
        <v>0.62258350095451798</v>
      </c>
      <c r="G2944">
        <v>0.47820759107752198</v>
      </c>
      <c r="H2944">
        <v>0.36336896472536101</v>
      </c>
      <c r="I2944">
        <v>0.403591453938069</v>
      </c>
      <c r="J2944">
        <v>0.33364675637164598</v>
      </c>
      <c r="K2944">
        <v>0.57606581967630799</v>
      </c>
      <c r="L2944">
        <v>769.18658021949204</v>
      </c>
      <c r="M2944">
        <v>15.338991971361301</v>
      </c>
      <c r="N2944">
        <v>56.281773495209897</v>
      </c>
      <c r="O2944">
        <v>49.316708275196802</v>
      </c>
      <c r="P2944">
        <v>-4.61852203568398E-2</v>
      </c>
      <c r="Q2944">
        <v>0.40609066721378401</v>
      </c>
      <c r="R2944">
        <v>0.91254266775705195</v>
      </c>
      <c r="S2944" t="s">
        <v>6573</v>
      </c>
      <c r="T2944" t="s">
        <v>7256</v>
      </c>
      <c r="U2944" t="s">
        <v>7256</v>
      </c>
      <c r="V2944" t="s">
        <v>7256</v>
      </c>
      <c r="W2944">
        <v>3</v>
      </c>
      <c r="X2944" t="s">
        <v>10200</v>
      </c>
      <c r="Y2944">
        <v>0.6204991676530327</v>
      </c>
      <c r="Z2944" t="str">
        <f>HYPERLINK("Melting_Curves/meltCurve_sp_Q9Y3C1_NOP16_HUMAN_.pdf", "Melting_Curves/meltCurve_sp_Q9Y3C1_NOP16_HUMAN_.pdf")</f>
        <v>Melting_Curves/meltCurve_sp_Q9Y3C1_NOP16_HUMAN_.pdf</v>
      </c>
      <c r="AA2944" t="s">
        <v>13791</v>
      </c>
      <c r="AB2944" t="s">
        <v>17368</v>
      </c>
    </row>
    <row r="2945" spans="1:28" x14ac:dyDescent="0.25">
      <c r="A2945" t="s">
        <v>2949</v>
      </c>
      <c r="B2945">
        <v>0.98018197421672304</v>
      </c>
      <c r="C2945">
        <v>1.0555542924157</v>
      </c>
      <c r="D2945">
        <v>0.91816442082132399</v>
      </c>
      <c r="E2945">
        <v>0.520622399223449</v>
      </c>
      <c r="F2945">
        <v>0.31020105303149398</v>
      </c>
      <c r="G2945">
        <v>0.15449902888231801</v>
      </c>
      <c r="H2945">
        <v>8.2957093302604507E-2</v>
      </c>
      <c r="I2945">
        <v>5.4954693459692401E-2</v>
      </c>
      <c r="J2945">
        <v>7.8130154369586202E-2</v>
      </c>
      <c r="K2945">
        <v>3.01464028516918E-2</v>
      </c>
      <c r="L2945">
        <v>1121.2386671271399</v>
      </c>
      <c r="M2945">
        <v>22.301543868797499</v>
      </c>
      <c r="N2945">
        <v>50.573523318960902</v>
      </c>
      <c r="O2945">
        <v>49.877271132386603</v>
      </c>
      <c r="P2945">
        <v>-0.104918157631347</v>
      </c>
      <c r="Q2945">
        <v>6.14244843553566E-2</v>
      </c>
      <c r="R2945">
        <v>0.99307841051129597</v>
      </c>
      <c r="S2945" t="s">
        <v>6574</v>
      </c>
      <c r="T2945" t="s">
        <v>7256</v>
      </c>
      <c r="U2945" t="s">
        <v>7256</v>
      </c>
      <c r="V2945" t="s">
        <v>7256</v>
      </c>
      <c r="W2945">
        <v>2</v>
      </c>
      <c r="X2945" t="s">
        <v>10201</v>
      </c>
      <c r="Y2945">
        <v>0.39348133461815188</v>
      </c>
      <c r="Z2945" t="str">
        <f>HYPERLINK("Melting_Curves/meltCurve_sp_Q9Y3C4_2_TPRKB_HUMAN_.pdf", "Melting_Curves/meltCurve_sp_Q9Y3C4_2_TPRKB_HUMAN_.pdf")</f>
        <v>Melting_Curves/meltCurve_sp_Q9Y3C4_2_TPRKB_HUMAN_.pdf</v>
      </c>
      <c r="AA2945" t="s">
        <v>13792</v>
      </c>
      <c r="AB2945" t="s">
        <v>17369</v>
      </c>
    </row>
    <row r="2946" spans="1:28" x14ac:dyDescent="0.25">
      <c r="A2946" t="s">
        <v>2950</v>
      </c>
      <c r="B2946">
        <v>0.98018197421672304</v>
      </c>
      <c r="C2946">
        <v>1.10804482171348</v>
      </c>
      <c r="D2946">
        <v>0.94834292556035005</v>
      </c>
      <c r="E2946">
        <v>0.49505342815680398</v>
      </c>
      <c r="F2946">
        <v>0.25627436553794702</v>
      </c>
      <c r="G2946">
        <v>0.17052327074367299</v>
      </c>
      <c r="H2946">
        <v>9.6072633477128105E-2</v>
      </c>
      <c r="I2946">
        <v>7.5479676267579704E-2</v>
      </c>
      <c r="J2946">
        <v>0.104054513188199</v>
      </c>
      <c r="K2946">
        <v>7.3683219303066899E-2</v>
      </c>
      <c r="L2946">
        <v>1463.6293819600801</v>
      </c>
      <c r="M2946">
        <v>29.394969582252301</v>
      </c>
      <c r="N2946">
        <v>50.174195570140803</v>
      </c>
      <c r="O2946">
        <v>49.563094017611398</v>
      </c>
      <c r="P2946">
        <v>-0.13339241577366301</v>
      </c>
      <c r="Q2946">
        <v>0.100350267272879</v>
      </c>
      <c r="R2946">
        <v>0.98777774618301795</v>
      </c>
      <c r="S2946" t="s">
        <v>6575</v>
      </c>
      <c r="T2946" t="s">
        <v>7256</v>
      </c>
      <c r="U2946" t="s">
        <v>7256</v>
      </c>
      <c r="V2946" t="s">
        <v>7256</v>
      </c>
      <c r="W2946">
        <v>4</v>
      </c>
      <c r="X2946" t="s">
        <v>10202</v>
      </c>
      <c r="Y2946">
        <v>0.39977077053351823</v>
      </c>
      <c r="Z2946" t="str">
        <f>HYPERLINK("Melting_Curves/meltCurve_sp_Q9Y3C6_PPIL1_HUMAN_.pdf", "Melting_Curves/meltCurve_sp_Q9Y3C6_PPIL1_HUMAN_.pdf")</f>
        <v>Melting_Curves/meltCurve_sp_Q9Y3C6_PPIL1_HUMAN_.pdf</v>
      </c>
      <c r="AA2946" t="s">
        <v>13793</v>
      </c>
      <c r="AB2946" t="s">
        <v>17370</v>
      </c>
    </row>
    <row r="2947" spans="1:28" x14ac:dyDescent="0.25">
      <c r="A2947" t="s">
        <v>2951</v>
      </c>
      <c r="B2947">
        <v>0.98018197421672304</v>
      </c>
      <c r="C2947">
        <v>1.0024646621375399</v>
      </c>
      <c r="D2947">
        <v>0.93356106882719803</v>
      </c>
      <c r="E2947">
        <v>0.75635045976033999</v>
      </c>
      <c r="F2947">
        <v>0.72568449115391498</v>
      </c>
      <c r="G2947">
        <v>0.56797273556889205</v>
      </c>
      <c r="H2947">
        <v>0.27376622548562102</v>
      </c>
      <c r="I2947">
        <v>0.14852224300727601</v>
      </c>
      <c r="J2947">
        <v>0.11618645394572</v>
      </c>
      <c r="K2947">
        <v>0.114832527885204</v>
      </c>
      <c r="L2947">
        <v>690.47944447180896</v>
      </c>
      <c r="M2947">
        <v>12.1688043117242</v>
      </c>
      <c r="N2947">
        <v>56.741765346078601</v>
      </c>
      <c r="O2947">
        <v>55.274640934635599</v>
      </c>
      <c r="P2947">
        <v>-5.5050481580213299E-2</v>
      </c>
      <c r="Q2947">
        <v>0</v>
      </c>
      <c r="R2947">
        <v>0.98452101724012198</v>
      </c>
      <c r="S2947" t="s">
        <v>6576</v>
      </c>
      <c r="T2947" t="s">
        <v>7256</v>
      </c>
      <c r="U2947" t="s">
        <v>7256</v>
      </c>
      <c r="V2947" t="s">
        <v>7256</v>
      </c>
      <c r="W2947">
        <v>5</v>
      </c>
      <c r="X2947" t="s">
        <v>10203</v>
      </c>
      <c r="Y2947">
        <v>0.57583163533126391</v>
      </c>
      <c r="Z2947" t="str">
        <f>HYPERLINK("Melting_Curves/meltCurve_sp_Q9Y3C8_UFC1_HUMAN_.pdf", "Melting_Curves/meltCurve_sp_Q9Y3C8_UFC1_HUMAN_.pdf")</f>
        <v>Melting_Curves/meltCurve_sp_Q9Y3C8_UFC1_HUMAN_.pdf</v>
      </c>
      <c r="AA2947" t="s">
        <v>13794</v>
      </c>
      <c r="AB2947" t="s">
        <v>17371</v>
      </c>
    </row>
    <row r="2948" spans="1:28" x14ac:dyDescent="0.25">
      <c r="A2948" t="s">
        <v>2952</v>
      </c>
      <c r="B2948">
        <v>0.98018197421672304</v>
      </c>
      <c r="C2948">
        <v>0.94080392291487203</v>
      </c>
      <c r="D2948">
        <v>0.89278661353701705</v>
      </c>
      <c r="E2948">
        <v>0.71703988981989297</v>
      </c>
      <c r="F2948">
        <v>0.48833066832593502</v>
      </c>
      <c r="G2948">
        <v>0.32385503455730102</v>
      </c>
      <c r="H2948">
        <v>0.203175701845416</v>
      </c>
      <c r="I2948">
        <v>0.10890591309605099</v>
      </c>
      <c r="J2948">
        <v>9.2570700839842507E-2</v>
      </c>
      <c r="K2948">
        <v>7.2237321823509795E-2</v>
      </c>
      <c r="L2948">
        <v>683.75869121931203</v>
      </c>
      <c r="M2948">
        <v>12.883071406225699</v>
      </c>
      <c r="N2948">
        <v>53.332007603109901</v>
      </c>
      <c r="O2948">
        <v>51.844210614557198</v>
      </c>
      <c r="P2948">
        <v>-6.0259663164125898E-2</v>
      </c>
      <c r="Q2948">
        <v>3.0186826042932401E-2</v>
      </c>
      <c r="R2948">
        <v>0.99794031325847699</v>
      </c>
      <c r="S2948" t="s">
        <v>6577</v>
      </c>
      <c r="T2948" t="s">
        <v>7256</v>
      </c>
      <c r="U2948" t="s">
        <v>7256</v>
      </c>
      <c r="V2948" t="s">
        <v>7256</v>
      </c>
      <c r="W2948">
        <v>1</v>
      </c>
      <c r="X2948" t="s">
        <v>10204</v>
      </c>
      <c r="Y2948">
        <v>0.47814027586739738</v>
      </c>
      <c r="Z2948" t="str">
        <f>HYPERLINK("Melting_Curves/meltCurve_sp_Q9Y3D0_MIP18_HUMAN_.pdf", "Melting_Curves/meltCurve_sp_Q9Y3D0_MIP18_HUMAN_.pdf")</f>
        <v>Melting_Curves/meltCurve_sp_Q9Y3D0_MIP18_HUMAN_.pdf</v>
      </c>
      <c r="AA2948" t="s">
        <v>13795</v>
      </c>
      <c r="AB2948" t="s">
        <v>17372</v>
      </c>
    </row>
    <row r="2949" spans="1:28" x14ac:dyDescent="0.25">
      <c r="A2949" t="s">
        <v>2953</v>
      </c>
      <c r="B2949">
        <v>0.98018197421672304</v>
      </c>
      <c r="C2949">
        <v>1.05823545016937</v>
      </c>
      <c r="D2949">
        <v>0.87627163090859295</v>
      </c>
      <c r="E2949">
        <v>0.70627240452890505</v>
      </c>
      <c r="F2949">
        <v>0.64841420461147603</v>
      </c>
      <c r="G2949">
        <v>0.48479344905341198</v>
      </c>
      <c r="H2949">
        <v>0.397331819314648</v>
      </c>
      <c r="I2949">
        <v>0.52446265300486505</v>
      </c>
      <c r="J2949">
        <v>0.61961732752104404</v>
      </c>
      <c r="K2949">
        <v>0.886425481838923</v>
      </c>
      <c r="L2949">
        <v>1361.6337979514999</v>
      </c>
      <c r="M2949">
        <v>28.356784939459999</v>
      </c>
      <c r="O2949">
        <v>47.781018336973801</v>
      </c>
      <c r="P2949">
        <v>-6.0949349544579902E-2</v>
      </c>
      <c r="Q2949">
        <v>0.58920615445252</v>
      </c>
      <c r="R2949">
        <v>0.66379386491888104</v>
      </c>
      <c r="S2949" t="s">
        <v>6578</v>
      </c>
      <c r="T2949" t="s">
        <v>7256</v>
      </c>
      <c r="U2949" t="s">
        <v>7256</v>
      </c>
      <c r="V2949" t="s">
        <v>7256</v>
      </c>
      <c r="W2949">
        <v>9</v>
      </c>
      <c r="X2949" t="s">
        <v>10205</v>
      </c>
      <c r="Y2949">
        <v>0.70177896301060572</v>
      </c>
      <c r="Z2949" t="str">
        <f>HYPERLINK("Melting_Curves/meltCurve_sp_Q9Y3D2_MSRB2_HUMAN_.pdf", "Melting_Curves/meltCurve_sp_Q9Y3D2_MSRB2_HUMAN_.pdf")</f>
        <v>Melting_Curves/meltCurve_sp_Q9Y3D2_MSRB2_HUMAN_.pdf</v>
      </c>
      <c r="AA2949" t="s">
        <v>13796</v>
      </c>
      <c r="AB2949" t="s">
        <v>17373</v>
      </c>
    </row>
    <row r="2950" spans="1:28" x14ac:dyDescent="0.25">
      <c r="A2950" t="s">
        <v>2954</v>
      </c>
      <c r="B2950">
        <v>0.98018197421672304</v>
      </c>
      <c r="C2950">
        <v>0.95961020052129598</v>
      </c>
      <c r="D2950">
        <v>0.77275261639859805</v>
      </c>
      <c r="E2950">
        <v>0.45948308299482699</v>
      </c>
      <c r="F2950">
        <v>0.27011076270419199</v>
      </c>
      <c r="G2950">
        <v>0.18668885720698</v>
      </c>
      <c r="H2950">
        <v>0.133047648754995</v>
      </c>
      <c r="I2950">
        <v>7.4256855840626801E-2</v>
      </c>
      <c r="J2950">
        <v>0.24850603079827099</v>
      </c>
      <c r="K2950">
        <v>6.6222074033120498E-2</v>
      </c>
      <c r="L2950">
        <v>939.37612182211797</v>
      </c>
      <c r="M2950">
        <v>19.2976855786392</v>
      </c>
      <c r="N2950">
        <v>49.413720777059901</v>
      </c>
      <c r="O2950">
        <v>48.164486240629202</v>
      </c>
      <c r="P2950">
        <v>-8.7664184185201804E-2</v>
      </c>
      <c r="Q2950">
        <v>0.124839652338107</v>
      </c>
      <c r="R2950">
        <v>0.98079928826751805</v>
      </c>
      <c r="S2950" t="s">
        <v>6579</v>
      </c>
      <c r="T2950" t="s">
        <v>7256</v>
      </c>
      <c r="U2950" t="s">
        <v>7256</v>
      </c>
      <c r="V2950" t="s">
        <v>7256</v>
      </c>
      <c r="W2950">
        <v>2</v>
      </c>
      <c r="X2950" t="s">
        <v>10206</v>
      </c>
      <c r="Y2950">
        <v>0.39123894655035601</v>
      </c>
      <c r="Z2950" t="str">
        <f>HYPERLINK("Melting_Curves/meltCurve_sp_Q9Y3D3_RT16_HUMAN_.pdf", "Melting_Curves/meltCurve_sp_Q9Y3D3_RT16_HUMAN_.pdf")</f>
        <v>Melting_Curves/meltCurve_sp_Q9Y3D3_RT16_HUMAN_.pdf</v>
      </c>
      <c r="AA2950" t="s">
        <v>13797</v>
      </c>
      <c r="AB2950" t="s">
        <v>17374</v>
      </c>
    </row>
    <row r="2951" spans="1:28" x14ac:dyDescent="0.25">
      <c r="A2951" t="s">
        <v>2955</v>
      </c>
      <c r="B2951">
        <v>0.98018197421672304</v>
      </c>
      <c r="C2951">
        <v>1.1066002085317199</v>
      </c>
      <c r="D2951">
        <v>0.91638761846271999</v>
      </c>
      <c r="E2951">
        <v>0.78362152783615702</v>
      </c>
      <c r="F2951">
        <v>0.25375534486550999</v>
      </c>
      <c r="G2951">
        <v>0.18520227028890299</v>
      </c>
      <c r="H2951">
        <v>0.36421769655262798</v>
      </c>
      <c r="I2951">
        <v>0.37108416222028601</v>
      </c>
      <c r="J2951">
        <v>0.29734306612977102</v>
      </c>
      <c r="K2951">
        <v>0.38652243993442298</v>
      </c>
      <c r="L2951">
        <v>12539.201844864199</v>
      </c>
      <c r="M2951">
        <v>250</v>
      </c>
      <c r="N2951">
        <v>50.351354097908803</v>
      </c>
      <c r="O2951">
        <v>50.153597503897402</v>
      </c>
      <c r="P2951">
        <v>-0.86024816174357099</v>
      </c>
      <c r="Q2951">
        <v>0.30968735751287602</v>
      </c>
      <c r="R2951">
        <v>0.95264616525285895</v>
      </c>
      <c r="S2951" t="s">
        <v>6580</v>
      </c>
      <c r="T2951" t="s">
        <v>7256</v>
      </c>
      <c r="U2951" t="s">
        <v>7256</v>
      </c>
      <c r="V2951" t="s">
        <v>7256</v>
      </c>
      <c r="W2951">
        <v>1</v>
      </c>
      <c r="X2951" t="s">
        <v>10207</v>
      </c>
      <c r="Y2951">
        <v>0.5434605399251734</v>
      </c>
      <c r="Z2951" t="str">
        <f>HYPERLINK("Melting_Curves/meltCurve_sp_Q9Y3D6_FIS1_HUMAN_.pdf", "Melting_Curves/meltCurve_sp_Q9Y3D6_FIS1_HUMAN_.pdf")</f>
        <v>Melting_Curves/meltCurve_sp_Q9Y3D6_FIS1_HUMAN_.pdf</v>
      </c>
      <c r="AA2951" t="s">
        <v>13798</v>
      </c>
      <c r="AB2951" t="s">
        <v>17375</v>
      </c>
    </row>
    <row r="2952" spans="1:28" x14ac:dyDescent="0.25">
      <c r="A2952" t="s">
        <v>2956</v>
      </c>
      <c r="B2952">
        <v>0.98018197421672304</v>
      </c>
      <c r="C2952">
        <v>0.96612025651240496</v>
      </c>
      <c r="D2952">
        <v>0.855036409998984</v>
      </c>
      <c r="E2952">
        <v>0.73263313181359302</v>
      </c>
      <c r="F2952">
        <v>0.67274365417117699</v>
      </c>
      <c r="G2952">
        <v>0.54279045861280495</v>
      </c>
      <c r="H2952">
        <v>0.41514551957406598</v>
      </c>
      <c r="I2952">
        <v>0.44812198831810302</v>
      </c>
      <c r="J2952">
        <v>0.46732285948533497</v>
      </c>
      <c r="K2952">
        <v>0.67627319288300503</v>
      </c>
      <c r="L2952">
        <v>797.69387645544396</v>
      </c>
      <c r="M2952">
        <v>16.137437890915098</v>
      </c>
      <c r="O2952">
        <v>48.690877954653203</v>
      </c>
      <c r="P2952">
        <v>-4.1600739695573798E-2</v>
      </c>
      <c r="Q2952">
        <v>0.49795676070751099</v>
      </c>
      <c r="R2952">
        <v>0.87274174995475995</v>
      </c>
      <c r="S2952" t="s">
        <v>6581</v>
      </c>
      <c r="T2952" t="s">
        <v>7256</v>
      </c>
      <c r="U2952" t="s">
        <v>7256</v>
      </c>
      <c r="V2952" t="s">
        <v>7256</v>
      </c>
      <c r="W2952">
        <v>4</v>
      </c>
      <c r="X2952" t="s">
        <v>10208</v>
      </c>
      <c r="Y2952">
        <v>0.66643481699082419</v>
      </c>
      <c r="Z2952" t="str">
        <f>HYPERLINK("Melting_Curves/meltCurve_sp_Q9Y3E2_BOLA1_HUMAN_.pdf", "Melting_Curves/meltCurve_sp_Q9Y3E2_BOLA1_HUMAN_.pdf")</f>
        <v>Melting_Curves/meltCurve_sp_Q9Y3E2_BOLA1_HUMAN_.pdf</v>
      </c>
      <c r="AA2952" t="s">
        <v>13799</v>
      </c>
      <c r="AB2952" t="s">
        <v>17376</v>
      </c>
    </row>
    <row r="2953" spans="1:28" x14ac:dyDescent="0.25">
      <c r="A2953" t="s">
        <v>2957</v>
      </c>
      <c r="B2953">
        <v>0.98018197421672304</v>
      </c>
      <c r="C2953">
        <v>0.98389646726832303</v>
      </c>
      <c r="D2953">
        <v>0.88579946756930605</v>
      </c>
      <c r="E2953">
        <v>0.71410079563321505</v>
      </c>
      <c r="F2953">
        <v>0.66923424037311896</v>
      </c>
      <c r="G2953">
        <v>0.40671506258394902</v>
      </c>
      <c r="H2953">
        <v>0.115001224788887</v>
      </c>
      <c r="I2953">
        <v>4.2026649071566502E-2</v>
      </c>
      <c r="J2953">
        <v>3.4709681184791098E-2</v>
      </c>
      <c r="K2953">
        <v>3.5793809801905697E-2</v>
      </c>
      <c r="L2953">
        <v>805.21903083378197</v>
      </c>
      <c r="M2953">
        <v>14.776995376872801</v>
      </c>
      <c r="N2953">
        <v>54.491390914345502</v>
      </c>
      <c r="O2953">
        <v>53.522637805713998</v>
      </c>
      <c r="P2953">
        <v>-6.9029568921064502E-2</v>
      </c>
      <c r="Q2953">
        <v>0</v>
      </c>
      <c r="R2953">
        <v>0.98347458725430503</v>
      </c>
      <c r="S2953" t="s">
        <v>6582</v>
      </c>
      <c r="T2953" t="s">
        <v>7256</v>
      </c>
      <c r="U2953" t="s">
        <v>7256</v>
      </c>
      <c r="V2953" t="s">
        <v>7256</v>
      </c>
      <c r="W2953">
        <v>10</v>
      </c>
      <c r="X2953" t="s">
        <v>10209</v>
      </c>
      <c r="Y2953">
        <v>0.50333571982850767</v>
      </c>
      <c r="Z2953" t="str">
        <f>HYPERLINK("Melting_Curves/meltCurve_sp_Q9Y3F4_STRAP_HUMAN_.pdf", "Melting_Curves/meltCurve_sp_Q9Y3F4_STRAP_HUMAN_.pdf")</f>
        <v>Melting_Curves/meltCurve_sp_Q9Y3F4_STRAP_HUMAN_.pdf</v>
      </c>
      <c r="AA2953" t="s">
        <v>13800</v>
      </c>
      <c r="AB2953" t="s">
        <v>17377</v>
      </c>
    </row>
    <row r="2954" spans="1:28" x14ac:dyDescent="0.25">
      <c r="A2954" t="s">
        <v>2958</v>
      </c>
      <c r="B2954">
        <v>0.98018197421672304</v>
      </c>
      <c r="C2954">
        <v>0.97855046763212405</v>
      </c>
      <c r="D2954">
        <v>0.84249073848897205</v>
      </c>
      <c r="E2954">
        <v>0.51869915891920204</v>
      </c>
      <c r="F2954">
        <v>0.29547842687238202</v>
      </c>
      <c r="G2954">
        <v>0.199928006347658</v>
      </c>
      <c r="H2954">
        <v>9.8473388927826894E-2</v>
      </c>
      <c r="I2954">
        <v>5.5786056957154398E-2</v>
      </c>
      <c r="J2954">
        <v>6.9363683555605807E-2</v>
      </c>
      <c r="K2954">
        <v>4.1679676950990001E-2</v>
      </c>
      <c r="L2954">
        <v>880.46064848032404</v>
      </c>
      <c r="M2954">
        <v>17.590684979739301</v>
      </c>
      <c r="N2954">
        <v>50.379409054367201</v>
      </c>
      <c r="O2954">
        <v>49.419237112280598</v>
      </c>
      <c r="P2954">
        <v>-8.4194275345816999E-2</v>
      </c>
      <c r="Q2954">
        <v>5.3910078571810301E-2</v>
      </c>
      <c r="R2954">
        <v>0.99695457770731599</v>
      </c>
      <c r="S2954" t="s">
        <v>6583</v>
      </c>
      <c r="T2954" t="s">
        <v>7256</v>
      </c>
      <c r="U2954" t="s">
        <v>7256</v>
      </c>
      <c r="V2954" t="s">
        <v>7256</v>
      </c>
      <c r="W2954">
        <v>9</v>
      </c>
      <c r="X2954" t="s">
        <v>10210</v>
      </c>
      <c r="Y2954">
        <v>0.38777265171099679</v>
      </c>
      <c r="Z2954" t="str">
        <f>HYPERLINK("Melting_Curves/meltCurve_sp_Q9Y3I0_RTCB_HUMAN_.pdf", "Melting_Curves/meltCurve_sp_Q9Y3I0_RTCB_HUMAN_.pdf")</f>
        <v>Melting_Curves/meltCurve_sp_Q9Y3I0_RTCB_HUMAN_.pdf</v>
      </c>
      <c r="AA2954" t="s">
        <v>13801</v>
      </c>
      <c r="AB2954" t="s">
        <v>17378</v>
      </c>
    </row>
    <row r="2955" spans="1:28" x14ac:dyDescent="0.25">
      <c r="A2955" t="s">
        <v>2959</v>
      </c>
      <c r="B2955">
        <v>0.98018197421672304</v>
      </c>
      <c r="C2955">
        <v>0.97966838984398397</v>
      </c>
      <c r="D2955">
        <v>0.91014912544321702</v>
      </c>
      <c r="E2955">
        <v>0.679740087727426</v>
      </c>
      <c r="F2955">
        <v>0.49004651503037</v>
      </c>
      <c r="G2955">
        <v>0.244358372755522</v>
      </c>
      <c r="H2955">
        <v>0.149268755906805</v>
      </c>
      <c r="I2955">
        <v>0.115604023381339</v>
      </c>
      <c r="J2955">
        <v>0.150376898697236</v>
      </c>
      <c r="K2955">
        <v>4.9132273475662097E-2</v>
      </c>
      <c r="L2955">
        <v>853.18328752891705</v>
      </c>
      <c r="M2955">
        <v>16.373380253197901</v>
      </c>
      <c r="N2955">
        <v>52.6334876861822</v>
      </c>
      <c r="O2955">
        <v>51.349282990016597</v>
      </c>
      <c r="P2955">
        <v>-7.3709612053227305E-2</v>
      </c>
      <c r="Q2955">
        <v>7.5410544782009301E-2</v>
      </c>
      <c r="R2955">
        <v>0.99616254841319196</v>
      </c>
      <c r="S2955" t="s">
        <v>6584</v>
      </c>
      <c r="T2955" t="s">
        <v>7256</v>
      </c>
      <c r="U2955" t="s">
        <v>7256</v>
      </c>
      <c r="V2955" t="s">
        <v>7256</v>
      </c>
      <c r="W2955">
        <v>4</v>
      </c>
      <c r="X2955" t="s">
        <v>10211</v>
      </c>
      <c r="Y2955">
        <v>0.46653554537270381</v>
      </c>
      <c r="Z2955" t="str">
        <f>HYPERLINK("Melting_Curves/meltCurve_sp_Q9Y3I1_3_FBX7_HUMAN_.pdf", "Melting_Curves/meltCurve_sp_Q9Y3I1_3_FBX7_HUMAN_.pdf")</f>
        <v>Melting_Curves/meltCurve_sp_Q9Y3I1_3_FBX7_HUMAN_.pdf</v>
      </c>
      <c r="AA2955" t="s">
        <v>13802</v>
      </c>
      <c r="AB2955" t="s">
        <v>17379</v>
      </c>
    </row>
    <row r="2956" spans="1:28" x14ac:dyDescent="0.25">
      <c r="A2956" t="s">
        <v>2960</v>
      </c>
      <c r="B2956">
        <v>0.98018197421672304</v>
      </c>
      <c r="C2956">
        <v>0.80966866816369498</v>
      </c>
      <c r="D2956">
        <v>0.661202308031972</v>
      </c>
      <c r="E2956">
        <v>0.614219338346222</v>
      </c>
      <c r="F2956">
        <v>0.51517913761966705</v>
      </c>
      <c r="G2956">
        <v>0.30600608070268898</v>
      </c>
      <c r="H2956">
        <v>0.26313988647172498</v>
      </c>
      <c r="I2956">
        <v>0.268202618414356</v>
      </c>
      <c r="J2956">
        <v>0.195852853091704</v>
      </c>
      <c r="K2956">
        <v>0.145917078850301</v>
      </c>
      <c r="L2956">
        <v>402.82825745165297</v>
      </c>
      <c r="M2956">
        <v>7.8577721689803104</v>
      </c>
      <c r="N2956">
        <v>52.186664922310499</v>
      </c>
      <c r="O2956">
        <v>48.263042891066597</v>
      </c>
      <c r="P2956">
        <v>-3.8111612736421899E-2</v>
      </c>
      <c r="Q2956">
        <v>6.4793037248377094E-2</v>
      </c>
      <c r="R2956">
        <v>0.97466272908155405</v>
      </c>
      <c r="S2956" t="s">
        <v>6585</v>
      </c>
      <c r="T2956" t="s">
        <v>7256</v>
      </c>
      <c r="U2956" t="s">
        <v>7256</v>
      </c>
      <c r="V2956" t="s">
        <v>7256</v>
      </c>
      <c r="W2956">
        <v>2</v>
      </c>
      <c r="X2956" t="s">
        <v>10212</v>
      </c>
      <c r="Y2956">
        <v>0.46517620599978732</v>
      </c>
      <c r="Z2956" t="str">
        <f>HYPERLINK("Melting_Curves/meltCurve_sp_Q9Y3L5_RAP2C_HUMAN_.pdf", "Melting_Curves/meltCurve_sp_Q9Y3L5_RAP2C_HUMAN_.pdf")</f>
        <v>Melting_Curves/meltCurve_sp_Q9Y3L5_RAP2C_HUMAN_.pdf</v>
      </c>
      <c r="AA2956" t="s">
        <v>13803</v>
      </c>
      <c r="AB2956" t="s">
        <v>17380</v>
      </c>
    </row>
    <row r="2957" spans="1:28" x14ac:dyDescent="0.25">
      <c r="A2957" t="s">
        <v>2961</v>
      </c>
      <c r="B2957">
        <v>0.98018197421672304</v>
      </c>
      <c r="C2957">
        <v>0.911658667342375</v>
      </c>
      <c r="D2957">
        <v>0.84341066238304097</v>
      </c>
      <c r="E2957">
        <v>0.71018617804068296</v>
      </c>
      <c r="F2957">
        <v>0.50036571396677698</v>
      </c>
      <c r="G2957">
        <v>0.25756895062398499</v>
      </c>
      <c r="H2957">
        <v>0.150772277411059</v>
      </c>
      <c r="I2957">
        <v>0.13132602249373401</v>
      </c>
      <c r="J2957">
        <v>0.17941727399586299</v>
      </c>
      <c r="K2957">
        <v>0.12329412267388599</v>
      </c>
      <c r="L2957">
        <v>755.12072592927302</v>
      </c>
      <c r="M2957">
        <v>14.5465892786731</v>
      </c>
      <c r="N2957">
        <v>52.675647672960103</v>
      </c>
      <c r="O2957">
        <v>50.959055552861102</v>
      </c>
      <c r="P2957">
        <v>-6.4575199906555997E-2</v>
      </c>
      <c r="Q2957">
        <v>9.5233584399415705E-2</v>
      </c>
      <c r="R2957">
        <v>0.99015385064391503</v>
      </c>
      <c r="S2957" t="s">
        <v>6586</v>
      </c>
      <c r="T2957" t="s">
        <v>7256</v>
      </c>
      <c r="U2957" t="s">
        <v>7256</v>
      </c>
      <c r="V2957" t="s">
        <v>7256</v>
      </c>
      <c r="W2957">
        <v>9</v>
      </c>
      <c r="X2957" t="s">
        <v>10213</v>
      </c>
      <c r="Y2957">
        <v>0.47570277220657259</v>
      </c>
      <c r="Z2957" t="str">
        <f>HYPERLINK("Melting_Curves/meltCurve_sp_Q9Y3P9_RBGP1_HUMAN_.pdf", "Melting_Curves/meltCurve_sp_Q9Y3P9_RBGP1_HUMAN_.pdf")</f>
        <v>Melting_Curves/meltCurve_sp_Q9Y3P9_RBGP1_HUMAN_.pdf</v>
      </c>
      <c r="AA2957" t="s">
        <v>13804</v>
      </c>
      <c r="AB2957" t="s">
        <v>17381</v>
      </c>
    </row>
    <row r="2958" spans="1:28" x14ac:dyDescent="0.25">
      <c r="A2958" t="s">
        <v>2962</v>
      </c>
      <c r="B2958">
        <v>0.98018197421672304</v>
      </c>
      <c r="C2958">
        <v>0.85221996131567801</v>
      </c>
      <c r="D2958">
        <v>0.59548043091325098</v>
      </c>
      <c r="E2958">
        <v>0.45726450082888598</v>
      </c>
      <c r="F2958">
        <v>0.19027467036389101</v>
      </c>
      <c r="G2958">
        <v>0.130058062656666</v>
      </c>
      <c r="H2958">
        <v>6.8307055520248697E-2</v>
      </c>
      <c r="I2958">
        <v>5.4098127159281903E-2</v>
      </c>
      <c r="J2958">
        <v>8.2651637673244793E-2</v>
      </c>
      <c r="K2958">
        <v>6.4330137993614894E-2</v>
      </c>
      <c r="L2958">
        <v>681.56546318878202</v>
      </c>
      <c r="M2958">
        <v>14.2514800101875</v>
      </c>
      <c r="N2958">
        <v>48.131922650624503</v>
      </c>
      <c r="O2958">
        <v>46.912117312029501</v>
      </c>
      <c r="P2958">
        <v>-7.2649734609355796E-2</v>
      </c>
      <c r="Q2958">
        <v>4.3542923099532199E-2</v>
      </c>
      <c r="R2958">
        <v>0.98739934590811296</v>
      </c>
      <c r="S2958" t="s">
        <v>6587</v>
      </c>
      <c r="T2958" t="s">
        <v>7256</v>
      </c>
      <c r="U2958" t="s">
        <v>7256</v>
      </c>
      <c r="V2958" t="s">
        <v>7256</v>
      </c>
      <c r="W2958">
        <v>1</v>
      </c>
      <c r="X2958" t="s">
        <v>10214</v>
      </c>
      <c r="Y2958">
        <v>0.32045469199931342</v>
      </c>
      <c r="Z2958" t="str">
        <f>HYPERLINK("Melting_Curves/meltCurve_sp_Q9Y3R5_2_DOP2_HUMAN_.pdf", "Melting_Curves/meltCurve_sp_Q9Y3R5_2_DOP2_HUMAN_.pdf")</f>
        <v>Melting_Curves/meltCurve_sp_Q9Y3R5_2_DOP2_HUMAN_.pdf</v>
      </c>
      <c r="AA2958" t="s">
        <v>13805</v>
      </c>
      <c r="AB2958" t="s">
        <v>17382</v>
      </c>
    </row>
    <row r="2959" spans="1:28" x14ac:dyDescent="0.25">
      <c r="A2959" t="s">
        <v>2963</v>
      </c>
      <c r="B2959">
        <v>0.98018197421672304</v>
      </c>
      <c r="C2959">
        <v>0.783025776330321</v>
      </c>
      <c r="D2959">
        <v>0.79522988021168295</v>
      </c>
      <c r="E2959">
        <v>0.697216376708235</v>
      </c>
      <c r="F2959">
        <v>0.60787441941078502</v>
      </c>
      <c r="G2959">
        <v>0.55382962339692698</v>
      </c>
      <c r="H2959">
        <v>0.43090439491504501</v>
      </c>
      <c r="I2959">
        <v>0.40475714753681302</v>
      </c>
      <c r="J2959">
        <v>0.582836691802887</v>
      </c>
      <c r="K2959">
        <v>0.384829898127375</v>
      </c>
      <c r="L2959">
        <v>412.72176694768501</v>
      </c>
      <c r="M2959">
        <v>8.3884641951052501</v>
      </c>
      <c r="N2959">
        <v>59.854036749446301</v>
      </c>
      <c r="O2959">
        <v>46.643326719128801</v>
      </c>
      <c r="P2959">
        <v>-2.7557726229266999E-2</v>
      </c>
      <c r="Q2959">
        <v>0.387650474300758</v>
      </c>
      <c r="R2959">
        <v>0.88564613000004699</v>
      </c>
      <c r="S2959" t="s">
        <v>6588</v>
      </c>
      <c r="T2959" t="s">
        <v>7256</v>
      </c>
      <c r="U2959" t="s">
        <v>7256</v>
      </c>
      <c r="V2959" t="s">
        <v>7256</v>
      </c>
      <c r="W2959">
        <v>3</v>
      </c>
      <c r="X2959" t="s">
        <v>10215</v>
      </c>
      <c r="Y2959">
        <v>0.61285823912946924</v>
      </c>
      <c r="Z2959" t="str">
        <f>HYPERLINK("Melting_Curves/meltCurve_sp_Q9Y3S2_ZN330_HUMAN_.pdf", "Melting_Curves/meltCurve_sp_Q9Y3S2_ZN330_HUMAN_.pdf")</f>
        <v>Melting_Curves/meltCurve_sp_Q9Y3S2_ZN330_HUMAN_.pdf</v>
      </c>
      <c r="AA2959" t="s">
        <v>13806</v>
      </c>
      <c r="AB2959" t="s">
        <v>17383</v>
      </c>
    </row>
    <row r="2960" spans="1:28" x14ac:dyDescent="0.25">
      <c r="A2960" t="s">
        <v>2964</v>
      </c>
      <c r="B2960">
        <v>0.98018197421672304</v>
      </c>
      <c r="C2960">
        <v>0.98135857407023097</v>
      </c>
      <c r="D2960">
        <v>0.75934270592952102</v>
      </c>
      <c r="E2960">
        <v>0.71855998753908401</v>
      </c>
      <c r="F2960">
        <v>0.75894776248458495</v>
      </c>
      <c r="G2960">
        <v>0.63551771650336997</v>
      </c>
      <c r="H2960">
        <v>0.48602973696824198</v>
      </c>
      <c r="I2960">
        <v>0.53827583906616705</v>
      </c>
      <c r="J2960">
        <v>0.76612010283614396</v>
      </c>
      <c r="K2960">
        <v>0.83478679038682302</v>
      </c>
      <c r="L2960">
        <v>2179.1266547207601</v>
      </c>
      <c r="M2960">
        <v>48.360915470949301</v>
      </c>
      <c r="O2960">
        <v>44.982819040767502</v>
      </c>
      <c r="P2960">
        <v>-8.7077086091713093E-2</v>
      </c>
      <c r="Q2960">
        <v>0.67602193314150705</v>
      </c>
      <c r="R2960">
        <v>0.59225300251636703</v>
      </c>
      <c r="S2960" t="s">
        <v>6589</v>
      </c>
      <c r="T2960" t="s">
        <v>7256</v>
      </c>
      <c r="U2960" t="s">
        <v>7256</v>
      </c>
      <c r="V2960" t="s">
        <v>7256</v>
      </c>
      <c r="W2960">
        <v>1</v>
      </c>
      <c r="X2960" t="s">
        <v>10216</v>
      </c>
      <c r="Y2960">
        <v>0.73136806526715858</v>
      </c>
      <c r="Z2960" t="str">
        <f>HYPERLINK("Melting_Curves/meltCurve_sp_Q9Y3T9_NOC2L_HUMAN_.pdf", "Melting_Curves/meltCurve_sp_Q9Y3T9_NOC2L_HUMAN_.pdf")</f>
        <v>Melting_Curves/meltCurve_sp_Q9Y3T9_NOC2L_HUMAN_.pdf</v>
      </c>
      <c r="AA2960" t="s">
        <v>13807</v>
      </c>
      <c r="AB2960" t="s">
        <v>17384</v>
      </c>
    </row>
    <row r="2961" spans="1:28" x14ac:dyDescent="0.25">
      <c r="A2961" t="s">
        <v>2965</v>
      </c>
      <c r="B2961">
        <v>0.98018197421672304</v>
      </c>
      <c r="C2961">
        <v>0.90551722978095495</v>
      </c>
      <c r="D2961">
        <v>0.86892363109743997</v>
      </c>
      <c r="E2961">
        <v>0.72646016956478798</v>
      </c>
      <c r="F2961">
        <v>0.70590962940204205</v>
      </c>
      <c r="G2961">
        <v>0.47441235429004203</v>
      </c>
      <c r="H2961">
        <v>0.43517398123759399</v>
      </c>
      <c r="I2961">
        <v>0.38222220649829203</v>
      </c>
      <c r="J2961">
        <v>0.43541397870334703</v>
      </c>
      <c r="K2961">
        <v>0.32469954219964797</v>
      </c>
      <c r="L2961">
        <v>514.78028210863204</v>
      </c>
      <c r="M2961">
        <v>9.7363641718608704</v>
      </c>
      <c r="N2961">
        <v>58.086542888500801</v>
      </c>
      <c r="O2961">
        <v>50.786156571404398</v>
      </c>
      <c r="P2961">
        <v>-3.3981482124245101E-2</v>
      </c>
      <c r="Q2961">
        <v>0.29137415550687501</v>
      </c>
      <c r="R2961">
        <v>0.975102784873774</v>
      </c>
      <c r="S2961" t="s">
        <v>6590</v>
      </c>
      <c r="T2961" t="s">
        <v>7256</v>
      </c>
      <c r="U2961" t="s">
        <v>7256</v>
      </c>
      <c r="V2961" t="s">
        <v>7256</v>
      </c>
      <c r="W2961">
        <v>2</v>
      </c>
      <c r="X2961" t="s">
        <v>10217</v>
      </c>
      <c r="Y2961">
        <v>0.62061648854144746</v>
      </c>
      <c r="Z2961" t="str">
        <f>HYPERLINK("Melting_Curves/meltCurve_sp_Q9Y3X0_CCDC9_HUMAN_.pdf", "Melting_Curves/meltCurve_sp_Q9Y3X0_CCDC9_HUMAN_.pdf")</f>
        <v>Melting_Curves/meltCurve_sp_Q9Y3X0_CCDC9_HUMAN_.pdf</v>
      </c>
      <c r="AA2961" t="s">
        <v>13808</v>
      </c>
      <c r="AB2961" t="s">
        <v>17385</v>
      </c>
    </row>
    <row r="2962" spans="1:28" x14ac:dyDescent="0.25">
      <c r="A2962" t="s">
        <v>2966</v>
      </c>
      <c r="B2962">
        <v>0.98018197421672304</v>
      </c>
      <c r="C2962">
        <v>0.83563464924219</v>
      </c>
      <c r="D2962">
        <v>0.852358232299119</v>
      </c>
      <c r="E2962">
        <v>0.74177343004198204</v>
      </c>
      <c r="F2962">
        <v>0.57446625452783395</v>
      </c>
      <c r="G2962">
        <v>0.40982155124786901</v>
      </c>
      <c r="H2962">
        <v>0.37334354900050098</v>
      </c>
      <c r="I2962">
        <v>0.41965945990180598</v>
      </c>
      <c r="J2962">
        <v>0.360830925595574</v>
      </c>
      <c r="K2962">
        <v>0.44366326936509898</v>
      </c>
      <c r="L2962">
        <v>623.98033837625997</v>
      </c>
      <c r="M2962">
        <v>12.4848164009657</v>
      </c>
      <c r="N2962">
        <v>55.599667595876099</v>
      </c>
      <c r="O2962">
        <v>48.748847704805399</v>
      </c>
      <c r="P2962">
        <v>-4.1083358746655502E-2</v>
      </c>
      <c r="Q2962">
        <v>0.358467996220801</v>
      </c>
      <c r="R2962">
        <v>0.94993348213199202</v>
      </c>
      <c r="S2962" t="s">
        <v>6591</v>
      </c>
      <c r="T2962" t="s">
        <v>7256</v>
      </c>
      <c r="U2962" t="s">
        <v>7256</v>
      </c>
      <c r="V2962" t="s">
        <v>7256</v>
      </c>
      <c r="W2962">
        <v>1</v>
      </c>
      <c r="X2962" t="s">
        <v>10218</v>
      </c>
      <c r="Y2962">
        <v>0.59274843591804394</v>
      </c>
      <c r="Z2962" t="str">
        <f>HYPERLINK("Melting_Curves/meltCurve_sp_Q9Y3Y2_4_CHTOP_HUMAN_.pdf", "Melting_Curves/meltCurve_sp_Q9Y3Y2_4_CHTOP_HUMAN_.pdf")</f>
        <v>Melting_Curves/meltCurve_sp_Q9Y3Y2_4_CHTOP_HUMAN_.pdf</v>
      </c>
      <c r="AA2962" t="s">
        <v>13809</v>
      </c>
      <c r="AB2962" t="s">
        <v>17386</v>
      </c>
    </row>
    <row r="2963" spans="1:28" x14ac:dyDescent="0.25">
      <c r="A2963" t="s">
        <v>2967</v>
      </c>
      <c r="B2963">
        <v>0.98018197421672304</v>
      </c>
      <c r="C2963">
        <v>0.72643059622355699</v>
      </c>
      <c r="D2963">
        <v>0.720211677188486</v>
      </c>
      <c r="E2963">
        <v>0.73280910385063003</v>
      </c>
      <c r="F2963">
        <v>0.69318782157339698</v>
      </c>
      <c r="G2963">
        <v>0.41045199109633401</v>
      </c>
      <c r="H2963">
        <v>9.1502509642734403E-2</v>
      </c>
      <c r="I2963">
        <v>5.1259094811299602E-2</v>
      </c>
      <c r="J2963">
        <v>5.77615231640312E-2</v>
      </c>
      <c r="K2963">
        <v>3.13382668200144E-2</v>
      </c>
      <c r="L2963">
        <v>588.28968718202998</v>
      </c>
      <c r="M2963">
        <v>10.9785240020936</v>
      </c>
      <c r="N2963">
        <v>53.585498333769998</v>
      </c>
      <c r="O2963">
        <v>51.8996363029962</v>
      </c>
      <c r="P2963">
        <v>-5.2901411053104898E-2</v>
      </c>
      <c r="Q2963">
        <v>0</v>
      </c>
      <c r="R2963">
        <v>0.89602633201954796</v>
      </c>
      <c r="S2963" t="s">
        <v>6592</v>
      </c>
      <c r="T2963" t="s">
        <v>7256</v>
      </c>
      <c r="U2963" t="s">
        <v>7256</v>
      </c>
      <c r="V2963" t="s">
        <v>7256</v>
      </c>
      <c r="W2963">
        <v>2</v>
      </c>
      <c r="X2963" t="s">
        <v>10219</v>
      </c>
      <c r="Y2963">
        <v>0.48236624869860573</v>
      </c>
      <c r="Z2963" t="str">
        <f>HYPERLINK("Melting_Curves/meltCurve_sp_Q9Y3Z3_4_SAMH1_HUMAN_.pdf", "Melting_Curves/meltCurve_sp_Q9Y3Z3_4_SAMH1_HUMAN_.pdf")</f>
        <v>Melting_Curves/meltCurve_sp_Q9Y3Z3_4_SAMH1_HUMAN_.pdf</v>
      </c>
      <c r="AA2963" t="s">
        <v>13810</v>
      </c>
      <c r="AB2963" t="s">
        <v>17387</v>
      </c>
    </row>
    <row r="2964" spans="1:28" x14ac:dyDescent="0.25">
      <c r="A2964" t="s">
        <v>2968</v>
      </c>
      <c r="B2964">
        <v>0.98018197421672304</v>
      </c>
      <c r="C2964">
        <v>1.0385746697634901</v>
      </c>
      <c r="D2964">
        <v>0.80773232658374505</v>
      </c>
      <c r="E2964">
        <v>0.57783279778546004</v>
      </c>
      <c r="F2964">
        <v>0.60082072087461302</v>
      </c>
      <c r="G2964">
        <v>0.20794653590845799</v>
      </c>
      <c r="H2964">
        <v>1.2840471879011099</v>
      </c>
      <c r="I2964">
        <v>0.27677895643649397</v>
      </c>
      <c r="J2964">
        <v>11.0880663499675</v>
      </c>
      <c r="K2964">
        <v>3.7183415406044</v>
      </c>
      <c r="L2964">
        <v>4933.3106635101403</v>
      </c>
      <c r="M2964">
        <v>77.276175644238805</v>
      </c>
      <c r="O2964">
        <v>63.7972817082861</v>
      </c>
      <c r="P2964">
        <v>0.15140964246373301</v>
      </c>
      <c r="Q2964">
        <v>1.5</v>
      </c>
      <c r="R2964">
        <v>4.0279315172946396E-3</v>
      </c>
      <c r="S2964" t="s">
        <v>6593</v>
      </c>
      <c r="T2964" t="s">
        <v>7256</v>
      </c>
      <c r="U2964" t="s">
        <v>7256</v>
      </c>
      <c r="V2964" t="s">
        <v>7256</v>
      </c>
      <c r="W2964">
        <v>1</v>
      </c>
      <c r="X2964" t="s">
        <v>10220</v>
      </c>
      <c r="Y2964">
        <v>1.1020981782929959</v>
      </c>
      <c r="Z2964" t="str">
        <f>HYPERLINK("Melting_Curves/meltCurve_sp_Q9Y446_PKP3_HUMAN_.pdf", "Melting_Curves/meltCurve_sp_Q9Y446_PKP3_HUMAN_.pdf")</f>
        <v>Melting_Curves/meltCurve_sp_Q9Y446_PKP3_HUMAN_.pdf</v>
      </c>
      <c r="AA2964" t="s">
        <v>13811</v>
      </c>
      <c r="AB2964" t="s">
        <v>17388</v>
      </c>
    </row>
    <row r="2965" spans="1:28" x14ac:dyDescent="0.25">
      <c r="A2965" t="s">
        <v>2969</v>
      </c>
      <c r="B2965">
        <v>0.98018197421672304</v>
      </c>
      <c r="C2965">
        <v>0.886581594916381</v>
      </c>
      <c r="D2965">
        <v>0.83608483762749697</v>
      </c>
      <c r="E2965">
        <v>0.70813851105785497</v>
      </c>
      <c r="F2965">
        <v>0.27746920675381598</v>
      </c>
      <c r="G2965">
        <v>0.13914075590855801</v>
      </c>
      <c r="H2965">
        <v>0.106459978278828</v>
      </c>
      <c r="I2965">
        <v>5.4479881958136099E-2</v>
      </c>
      <c r="J2965">
        <v>0.105968131228709</v>
      </c>
      <c r="K2965">
        <v>3.2912258783932502E-2</v>
      </c>
      <c r="L2965">
        <v>1005.86955500597</v>
      </c>
      <c r="M2965">
        <v>19.763032090194901</v>
      </c>
      <c r="N2965">
        <v>51.177946281773899</v>
      </c>
      <c r="O2965">
        <v>50.384005064754803</v>
      </c>
      <c r="P2965">
        <v>-9.3016028320296304E-2</v>
      </c>
      <c r="Q2965">
        <v>5.1489710927218199E-2</v>
      </c>
      <c r="R2965">
        <v>0.97771402168013399</v>
      </c>
      <c r="S2965" t="s">
        <v>6594</v>
      </c>
      <c r="T2965" t="s">
        <v>7256</v>
      </c>
      <c r="U2965" t="s">
        <v>7256</v>
      </c>
      <c r="V2965" t="s">
        <v>7256</v>
      </c>
      <c r="W2965">
        <v>1</v>
      </c>
      <c r="X2965" t="s">
        <v>10221</v>
      </c>
      <c r="Y2965">
        <v>0.40947311939900471</v>
      </c>
      <c r="Z2965" t="str">
        <f>HYPERLINK("Melting_Curves/meltCurve_sp_Q9Y478_AAKB1_HUMAN_.pdf", "Melting_Curves/meltCurve_sp_Q9Y478_AAKB1_HUMAN_.pdf")</f>
        <v>Melting_Curves/meltCurve_sp_Q9Y478_AAKB1_HUMAN_.pdf</v>
      </c>
      <c r="AA2965" t="s">
        <v>13812</v>
      </c>
      <c r="AB2965" t="s">
        <v>17389</v>
      </c>
    </row>
    <row r="2966" spans="1:28" x14ac:dyDescent="0.25">
      <c r="A2966" t="s">
        <v>2970</v>
      </c>
      <c r="B2966">
        <v>0.98018197421672304</v>
      </c>
      <c r="C2966">
        <v>0.96850224958591802</v>
      </c>
      <c r="D2966">
        <v>0.90364745826701798</v>
      </c>
      <c r="E2966">
        <v>0.80018844843673897</v>
      </c>
      <c r="F2966">
        <v>0.31791701544150602</v>
      </c>
      <c r="G2966">
        <v>0.19076753122513601</v>
      </c>
      <c r="H2966">
        <v>6.8642428289984403E-2</v>
      </c>
      <c r="I2966">
        <v>5.00821378417362E-2</v>
      </c>
      <c r="J2966">
        <v>5.8635541550494302E-2</v>
      </c>
      <c r="K2966">
        <v>3.8356529421845302E-2</v>
      </c>
      <c r="L2966">
        <v>1539.5767118349199</v>
      </c>
      <c r="M2966">
        <v>29.763513317531199</v>
      </c>
      <c r="N2966">
        <v>51.955868190575799</v>
      </c>
      <c r="O2966">
        <v>51.495170923540996</v>
      </c>
      <c r="P2966">
        <v>-0.13561964097621901</v>
      </c>
      <c r="Q2966">
        <v>6.1440370383381002E-2</v>
      </c>
      <c r="R2966">
        <v>0.98881633978827299</v>
      </c>
      <c r="S2966" t="s">
        <v>6595</v>
      </c>
      <c r="T2966" t="s">
        <v>7256</v>
      </c>
      <c r="U2966" t="s">
        <v>7256</v>
      </c>
      <c r="V2966" t="s">
        <v>7256</v>
      </c>
      <c r="W2966">
        <v>98</v>
      </c>
      <c r="X2966" t="s">
        <v>10222</v>
      </c>
      <c r="Y2966">
        <v>0.43438845087205258</v>
      </c>
      <c r="Z2966" t="str">
        <f>HYPERLINK("Melting_Curves/meltCurve_sp_Q9Y490_TLN1_HUMAN_.pdf", "Melting_Curves/meltCurve_sp_Q9Y490_TLN1_HUMAN_.pdf")</f>
        <v>Melting_Curves/meltCurve_sp_Q9Y490_TLN1_HUMAN_.pdf</v>
      </c>
      <c r="AA2966" t="s">
        <v>13813</v>
      </c>
      <c r="AB2966" t="s">
        <v>17390</v>
      </c>
    </row>
    <row r="2967" spans="1:28" x14ac:dyDescent="0.25">
      <c r="A2967" t="s">
        <v>2971</v>
      </c>
      <c r="B2967">
        <v>0.98018197421672304</v>
      </c>
      <c r="C2967">
        <v>0.94788774304079504</v>
      </c>
      <c r="D2967">
        <v>0.92948716501996997</v>
      </c>
      <c r="E2967">
        <v>0.74479382533135496</v>
      </c>
      <c r="F2967">
        <v>0.46666914013509198</v>
      </c>
      <c r="G2967">
        <v>0.18546480663217599</v>
      </c>
      <c r="H2967">
        <v>0.77464658226097405</v>
      </c>
      <c r="I2967">
        <v>8.4406179613986193E-2</v>
      </c>
      <c r="J2967">
        <v>9.8540319077309206</v>
      </c>
      <c r="K2967">
        <v>3.65275408223247</v>
      </c>
      <c r="L2967">
        <v>15000</v>
      </c>
      <c r="M2967">
        <v>230.242651473998</v>
      </c>
      <c r="O2967">
        <v>65.143744425215601</v>
      </c>
      <c r="P2967">
        <v>0.44179732047607401</v>
      </c>
      <c r="Q2967">
        <v>1.5</v>
      </c>
      <c r="R2967">
        <v>4.4385739653858503E-2</v>
      </c>
      <c r="S2967" t="s">
        <v>6596</v>
      </c>
      <c r="T2967" t="s">
        <v>7256</v>
      </c>
      <c r="U2967" t="s">
        <v>7256</v>
      </c>
      <c r="V2967" t="s">
        <v>7256</v>
      </c>
      <c r="W2967">
        <v>4</v>
      </c>
      <c r="X2967" t="s">
        <v>10223</v>
      </c>
      <c r="Y2967">
        <v>1.0807882808668281</v>
      </c>
      <c r="Z2967" t="str">
        <f>HYPERLINK("Melting_Curves/meltCurve_sp_Q9Y4B6_3_VPRBP_HUMAN_.pdf", "Melting_Curves/meltCurve_sp_Q9Y4B6_3_VPRBP_HUMAN_.pdf")</f>
        <v>Melting_Curves/meltCurve_sp_Q9Y4B6_3_VPRBP_HUMAN_.pdf</v>
      </c>
      <c r="AA2967" t="s">
        <v>13814</v>
      </c>
      <c r="AB2967" t="s">
        <v>17391</v>
      </c>
    </row>
    <row r="2968" spans="1:28" x14ac:dyDescent="0.25">
      <c r="A2968" t="s">
        <v>2972</v>
      </c>
      <c r="B2968">
        <v>0.98018197421672304</v>
      </c>
      <c r="C2968">
        <v>0.84639329447582701</v>
      </c>
      <c r="D2968">
        <v>0.62692620402521604</v>
      </c>
      <c r="E2968">
        <v>0.31846218978254198</v>
      </c>
      <c r="F2968">
        <v>0.21466430073540399</v>
      </c>
      <c r="G2968">
        <v>0.143205124980367</v>
      </c>
      <c r="H2968">
        <v>0.114261810204195</v>
      </c>
      <c r="I2968">
        <v>0.11703369655446</v>
      </c>
      <c r="J2968">
        <v>0.125797858696263</v>
      </c>
      <c r="K2968">
        <v>0.107009679893215</v>
      </c>
      <c r="L2968">
        <v>848.81120465298795</v>
      </c>
      <c r="M2968">
        <v>18.138693792101499</v>
      </c>
      <c r="N2968">
        <v>47.450603458923098</v>
      </c>
      <c r="O2968">
        <v>46.237938102548902</v>
      </c>
      <c r="P2968">
        <v>-8.7215359216083393E-2</v>
      </c>
      <c r="Q2968">
        <v>0.110748213567776</v>
      </c>
      <c r="R2968">
        <v>0.99917937740013696</v>
      </c>
      <c r="S2968" t="s">
        <v>6597</v>
      </c>
      <c r="T2968" t="s">
        <v>7256</v>
      </c>
      <c r="U2968" t="s">
        <v>7256</v>
      </c>
      <c r="V2968" t="s">
        <v>7256</v>
      </c>
      <c r="W2968">
        <v>3</v>
      </c>
      <c r="X2968" t="s">
        <v>10224</v>
      </c>
      <c r="Y2968">
        <v>0.32848497102821472</v>
      </c>
      <c r="Z2968" t="str">
        <f>HYPERLINK("Melting_Curves/meltCurve_sp_Q9Y4C2_2_F115A_HUMAN_.pdf", "Melting_Curves/meltCurve_sp_Q9Y4C2_2_F115A_HUMAN_.pdf")</f>
        <v>Melting_Curves/meltCurve_sp_Q9Y4C2_2_F115A_HUMAN_.pdf</v>
      </c>
      <c r="AA2968" t="s">
        <v>13815</v>
      </c>
      <c r="AB2968" t="s">
        <v>17392</v>
      </c>
    </row>
    <row r="2969" spans="1:28" x14ac:dyDescent="0.25">
      <c r="A2969" t="s">
        <v>2973</v>
      </c>
      <c r="B2969">
        <v>0.98018197421672304</v>
      </c>
      <c r="C2969">
        <v>0.99797037898034602</v>
      </c>
      <c r="D2969">
        <v>0.88563525008426602</v>
      </c>
      <c r="E2969">
        <v>0.65760567461977004</v>
      </c>
      <c r="F2969">
        <v>0.36400132562416698</v>
      </c>
      <c r="G2969">
        <v>0.172312058694577</v>
      </c>
      <c r="H2969">
        <v>8.9689302706719001E-2</v>
      </c>
      <c r="I2969">
        <v>5.8179335609684198E-2</v>
      </c>
      <c r="J2969">
        <v>7.1192966473809197E-2</v>
      </c>
      <c r="K2969">
        <v>3.8914112064598397E-2</v>
      </c>
      <c r="L2969">
        <v>988.48353833629506</v>
      </c>
      <c r="M2969">
        <v>19.268983831676401</v>
      </c>
      <c r="N2969">
        <v>51.550836025973801</v>
      </c>
      <c r="O2969">
        <v>50.756272087400099</v>
      </c>
      <c r="P2969">
        <v>-9.0652879969472605E-2</v>
      </c>
      <c r="Q2969">
        <v>4.4883975028655203E-2</v>
      </c>
      <c r="R2969">
        <v>0.99859436354079101</v>
      </c>
      <c r="S2969" t="s">
        <v>6598</v>
      </c>
      <c r="T2969" t="s">
        <v>7256</v>
      </c>
      <c r="U2969" t="s">
        <v>7256</v>
      </c>
      <c r="V2969" t="s">
        <v>7256</v>
      </c>
      <c r="W2969">
        <v>14</v>
      </c>
      <c r="X2969" t="s">
        <v>10225</v>
      </c>
      <c r="Y2969">
        <v>0.41880493294212051</v>
      </c>
      <c r="Z2969" t="str">
        <f>HYPERLINK("Melting_Curves/meltCurve_sp_Q9Y4E8_UBP15_HUMAN_.pdf", "Melting_Curves/meltCurve_sp_Q9Y4E8_UBP15_HUMAN_.pdf")</f>
        <v>Melting_Curves/meltCurve_sp_Q9Y4E8_UBP15_HUMAN_.pdf</v>
      </c>
      <c r="AA2969" t="s">
        <v>13816</v>
      </c>
      <c r="AB2969" t="s">
        <v>17393</v>
      </c>
    </row>
    <row r="2970" spans="1:28" x14ac:dyDescent="0.25">
      <c r="A2970" t="s">
        <v>2974</v>
      </c>
      <c r="B2970">
        <v>0.98018197421672304</v>
      </c>
      <c r="C2970">
        <v>0.94104699072880604</v>
      </c>
      <c r="D2970">
        <v>0.80471071418537499</v>
      </c>
      <c r="E2970">
        <v>0.65927390282440101</v>
      </c>
      <c r="F2970">
        <v>0.446780499906551</v>
      </c>
      <c r="G2970">
        <v>0.17953969562411601</v>
      </c>
      <c r="H2970">
        <v>9.1210248269935304E-2</v>
      </c>
      <c r="I2970">
        <v>6.3696827453432303E-2</v>
      </c>
      <c r="J2970">
        <v>7.5884712539002794E-2</v>
      </c>
      <c r="K2970">
        <v>5.4956693582360397E-2</v>
      </c>
      <c r="L2970">
        <v>736.80439011947396</v>
      </c>
      <c r="M2970">
        <v>14.257590954257701</v>
      </c>
      <c r="N2970">
        <v>51.783853732473503</v>
      </c>
      <c r="O2970">
        <v>50.693275528746298</v>
      </c>
      <c r="P2970">
        <v>-6.9312111491859493E-2</v>
      </c>
      <c r="Q2970">
        <v>1.43563136266955E-2</v>
      </c>
      <c r="R2970">
        <v>0.99406770999927696</v>
      </c>
      <c r="S2970" t="s">
        <v>6599</v>
      </c>
      <c r="T2970" t="s">
        <v>7256</v>
      </c>
      <c r="U2970" t="s">
        <v>7256</v>
      </c>
      <c r="V2970" t="s">
        <v>7256</v>
      </c>
      <c r="W2970">
        <v>6</v>
      </c>
      <c r="X2970" t="s">
        <v>10226</v>
      </c>
      <c r="Y2970">
        <v>0.42213101379751472</v>
      </c>
      <c r="Z2970" t="str">
        <f>HYPERLINK("Melting_Curves/meltCurve_sp_Q9Y4F1_FARP1_HUMAN_.pdf", "Melting_Curves/meltCurve_sp_Q9Y4F1_FARP1_HUMAN_.pdf")</f>
        <v>Melting_Curves/meltCurve_sp_Q9Y4F1_FARP1_HUMAN_.pdf</v>
      </c>
      <c r="AA2970" t="s">
        <v>13817</v>
      </c>
      <c r="AB2970" t="s">
        <v>17394</v>
      </c>
    </row>
    <row r="2971" spans="1:28" x14ac:dyDescent="0.25">
      <c r="A2971" t="s">
        <v>2975</v>
      </c>
      <c r="B2971">
        <v>0.98018197421672304</v>
      </c>
      <c r="C2971">
        <v>0.83501225032882198</v>
      </c>
      <c r="D2971">
        <v>0.74082906208579602</v>
      </c>
      <c r="E2971">
        <v>0.55138411804284404</v>
      </c>
      <c r="F2971">
        <v>0.31016338842455698</v>
      </c>
      <c r="G2971">
        <v>0.15519725700647199</v>
      </c>
      <c r="H2971">
        <v>0.11609582423112901</v>
      </c>
      <c r="I2971">
        <v>7.5468747706375502E-2</v>
      </c>
      <c r="J2971">
        <v>9.9380302945558205E-2</v>
      </c>
      <c r="K2971">
        <v>0.116859376901884</v>
      </c>
      <c r="L2971">
        <v>661.93316497528099</v>
      </c>
      <c r="M2971">
        <v>13.398604087951201</v>
      </c>
      <c r="N2971">
        <v>49.862913861742399</v>
      </c>
      <c r="O2971">
        <v>48.341581881630297</v>
      </c>
      <c r="P2971">
        <v>-6.5275120821917706E-2</v>
      </c>
      <c r="Q2971">
        <v>5.8108726460890298E-2</v>
      </c>
      <c r="R2971">
        <v>0.98947313360488198</v>
      </c>
      <c r="S2971" t="s">
        <v>6600</v>
      </c>
      <c r="T2971" t="s">
        <v>7256</v>
      </c>
      <c r="U2971" t="s">
        <v>7256</v>
      </c>
      <c r="V2971" t="s">
        <v>7256</v>
      </c>
      <c r="W2971">
        <v>17</v>
      </c>
      <c r="X2971" t="s">
        <v>10227</v>
      </c>
      <c r="Y2971">
        <v>0.38137815527823482</v>
      </c>
      <c r="Z2971" t="str">
        <f>HYPERLINK("Melting_Curves/meltCurve_sp_Q9Y4G6_TLN2_HUMAN_.pdf", "Melting_Curves/meltCurve_sp_Q9Y4G6_TLN2_HUMAN_.pdf")</f>
        <v>Melting_Curves/meltCurve_sp_Q9Y4G6_TLN2_HUMAN_.pdf</v>
      </c>
      <c r="AA2971" t="s">
        <v>13818</v>
      </c>
      <c r="AB2971" t="s">
        <v>17395</v>
      </c>
    </row>
    <row r="2972" spans="1:28" x14ac:dyDescent="0.25">
      <c r="A2972" t="s">
        <v>2976</v>
      </c>
      <c r="B2972">
        <v>0.98018197421672304</v>
      </c>
      <c r="C2972">
        <v>0.79454657668339601</v>
      </c>
      <c r="D2972">
        <v>0.640360381953053</v>
      </c>
      <c r="E2972">
        <v>0.40368517666282999</v>
      </c>
      <c r="F2972">
        <v>0.42704274004918003</v>
      </c>
      <c r="G2972">
        <v>0.23843688275143099</v>
      </c>
      <c r="H2972">
        <v>0.236919867033515</v>
      </c>
      <c r="I2972">
        <v>0.24259715998628101</v>
      </c>
      <c r="J2972">
        <v>0.386657968704052</v>
      </c>
      <c r="K2972">
        <v>0.65269622713062803</v>
      </c>
      <c r="L2972">
        <v>957.33382224589104</v>
      </c>
      <c r="M2972">
        <v>21.2720805764056</v>
      </c>
      <c r="N2972">
        <v>47.815848361562502</v>
      </c>
      <c r="O2972">
        <v>44.612178454455197</v>
      </c>
      <c r="P2972">
        <v>-7.6667273460722302E-2</v>
      </c>
      <c r="Q2972">
        <v>0.35686464733641599</v>
      </c>
      <c r="R2972">
        <v>0.76690629433926205</v>
      </c>
      <c r="S2972" t="s">
        <v>6601</v>
      </c>
      <c r="T2972" t="s">
        <v>7256</v>
      </c>
      <c r="U2972" t="s">
        <v>7256</v>
      </c>
      <c r="V2972" t="s">
        <v>7256</v>
      </c>
      <c r="W2972">
        <v>3</v>
      </c>
      <c r="X2972" t="s">
        <v>10228</v>
      </c>
      <c r="Y2972">
        <v>0.47356094319490211</v>
      </c>
      <c r="Z2972" t="str">
        <f>HYPERLINK("Melting_Curves/meltCurve_sp_Q9Y4H2_IRS2_HUMAN_.pdf", "Melting_Curves/meltCurve_sp_Q9Y4H2_IRS2_HUMAN_.pdf")</f>
        <v>Melting_Curves/meltCurve_sp_Q9Y4H2_IRS2_HUMAN_.pdf</v>
      </c>
      <c r="AA2972" t="s">
        <v>13819</v>
      </c>
      <c r="AB2972" t="s">
        <v>17396</v>
      </c>
    </row>
    <row r="2973" spans="1:28" x14ac:dyDescent="0.25">
      <c r="A2973" t="s">
        <v>2977</v>
      </c>
      <c r="B2973">
        <v>0.98018197421672304</v>
      </c>
      <c r="C2973">
        <v>0.89309747706448805</v>
      </c>
      <c r="D2973">
        <v>0.786470884094845</v>
      </c>
      <c r="E2973">
        <v>0.71091625686493398</v>
      </c>
      <c r="F2973">
        <v>0.57300741777912301</v>
      </c>
      <c r="G2973">
        <v>0.51186786307861898</v>
      </c>
      <c r="H2973">
        <v>0.375654087491475</v>
      </c>
      <c r="I2973">
        <v>0.38109463003187599</v>
      </c>
      <c r="J2973">
        <v>0.47828259729851702</v>
      </c>
      <c r="K2973">
        <v>0.60321380396055202</v>
      </c>
      <c r="L2973">
        <v>670.55209334909603</v>
      </c>
      <c r="M2973">
        <v>13.9347553983814</v>
      </c>
      <c r="N2973">
        <v>57.895063366116197</v>
      </c>
      <c r="O2973">
        <v>47.162302990194597</v>
      </c>
      <c r="P2973">
        <v>-4.0451708905469098E-2</v>
      </c>
      <c r="Q2973">
        <v>0.45243712518944101</v>
      </c>
      <c r="R2973">
        <v>0.887896859962648</v>
      </c>
      <c r="S2973" t="s">
        <v>6602</v>
      </c>
      <c r="T2973" t="s">
        <v>7256</v>
      </c>
      <c r="U2973" t="s">
        <v>7256</v>
      </c>
      <c r="V2973" t="s">
        <v>7256</v>
      </c>
      <c r="W2973">
        <v>4</v>
      </c>
      <c r="X2973" t="s">
        <v>10229</v>
      </c>
      <c r="Y2973">
        <v>0.61682141276529712</v>
      </c>
      <c r="Z2973" t="str">
        <f>HYPERLINK("Melting_Curves/meltCurve_sp_Q9Y4K1_AIM1_HUMAN_.pdf", "Melting_Curves/meltCurve_sp_Q9Y4K1_AIM1_HUMAN_.pdf")</f>
        <v>Melting_Curves/meltCurve_sp_Q9Y4K1_AIM1_HUMAN_.pdf</v>
      </c>
      <c r="AA2973" t="s">
        <v>13820</v>
      </c>
      <c r="AB2973" t="s">
        <v>17397</v>
      </c>
    </row>
    <row r="2974" spans="1:28" x14ac:dyDescent="0.25">
      <c r="A2974" t="s">
        <v>2978</v>
      </c>
      <c r="B2974">
        <v>0.98018197421672304</v>
      </c>
      <c r="C2974">
        <v>0.837326485845868</v>
      </c>
      <c r="D2974">
        <v>0.81410598657955702</v>
      </c>
      <c r="E2974">
        <v>0.62943099919226597</v>
      </c>
      <c r="F2974">
        <v>0.46042997971022498</v>
      </c>
      <c r="G2974">
        <v>0.26853796705084998</v>
      </c>
      <c r="H2974">
        <v>0.160689945158659</v>
      </c>
      <c r="I2974">
        <v>9.7859139478149101E-2</v>
      </c>
      <c r="J2974">
        <v>6.9075800381180996E-2</v>
      </c>
      <c r="K2974">
        <v>3.8314566498304302E-2</v>
      </c>
      <c r="L2974">
        <v>572.33522366692796</v>
      </c>
      <c r="M2974">
        <v>11.0130380958083</v>
      </c>
      <c r="N2974">
        <v>51.9688671180079</v>
      </c>
      <c r="O2974">
        <v>50.343587760643302</v>
      </c>
      <c r="P2974">
        <v>-5.4707751836725799E-2</v>
      </c>
      <c r="Q2974">
        <v>0</v>
      </c>
      <c r="R2974">
        <v>0.99383845265875603</v>
      </c>
      <c r="S2974" t="s">
        <v>6603</v>
      </c>
      <c r="T2974" t="s">
        <v>7256</v>
      </c>
      <c r="U2974" t="s">
        <v>7256</v>
      </c>
      <c r="V2974" t="s">
        <v>7256</v>
      </c>
      <c r="W2974">
        <v>3</v>
      </c>
      <c r="X2974" t="s">
        <v>10230</v>
      </c>
      <c r="Y2974">
        <v>0.43307572467123551</v>
      </c>
      <c r="Z2974" t="str">
        <f>HYPERLINK("Melting_Curves/meltCurve_sp_Q9Y4K3_TRAF6_HUMAN_.pdf", "Melting_Curves/meltCurve_sp_Q9Y4K3_TRAF6_HUMAN_.pdf")</f>
        <v>Melting_Curves/meltCurve_sp_Q9Y4K3_TRAF6_HUMAN_.pdf</v>
      </c>
      <c r="AA2974" t="s">
        <v>13821</v>
      </c>
      <c r="AB2974" t="s">
        <v>17398</v>
      </c>
    </row>
    <row r="2975" spans="1:28" x14ac:dyDescent="0.25">
      <c r="A2975" t="s">
        <v>2979</v>
      </c>
      <c r="B2975">
        <v>0.98018197421672304</v>
      </c>
      <c r="C2975">
        <v>0.88697579513209901</v>
      </c>
      <c r="D2975">
        <v>0.81978390807222001</v>
      </c>
      <c r="E2975">
        <v>0.51007634317990702</v>
      </c>
      <c r="F2975">
        <v>0.22777882622559201</v>
      </c>
      <c r="G2975">
        <v>8.7722945544767006E-2</v>
      </c>
      <c r="H2975">
        <v>6.3144246995736897E-2</v>
      </c>
      <c r="I2975">
        <v>3.8495648037067398E-2</v>
      </c>
      <c r="J2975">
        <v>6.2602200492498594E-2</v>
      </c>
      <c r="K2975">
        <v>4.6308781766113E-2</v>
      </c>
      <c r="L2975">
        <v>918.45369067882802</v>
      </c>
      <c r="M2975">
        <v>18.537089023902301</v>
      </c>
      <c r="N2975">
        <v>49.726054298063097</v>
      </c>
      <c r="O2975">
        <v>48.981006792661603</v>
      </c>
      <c r="P2975">
        <v>-9.1560026044747805E-2</v>
      </c>
      <c r="Q2975">
        <v>3.2317365113553202E-2</v>
      </c>
      <c r="R2975">
        <v>0.99486188124335295</v>
      </c>
      <c r="S2975" t="s">
        <v>6604</v>
      </c>
      <c r="T2975" t="s">
        <v>7256</v>
      </c>
      <c r="U2975" t="s">
        <v>7256</v>
      </c>
      <c r="V2975" t="s">
        <v>7256</v>
      </c>
      <c r="W2975">
        <v>2</v>
      </c>
      <c r="X2975" t="s">
        <v>10231</v>
      </c>
      <c r="Y2975">
        <v>0.35594263565807999</v>
      </c>
      <c r="Z2975" t="str">
        <f>HYPERLINK("Melting_Curves/meltCurve_sp_Q9Y4P8_3_WIPI2_HUMAN_.pdf", "Melting_Curves/meltCurve_sp_Q9Y4P8_3_WIPI2_HUMAN_.pdf")</f>
        <v>Melting_Curves/meltCurve_sp_Q9Y4P8_3_WIPI2_HUMAN_.pdf</v>
      </c>
      <c r="AA2975" t="s">
        <v>13822</v>
      </c>
      <c r="AB2975" t="s">
        <v>17399</v>
      </c>
    </row>
    <row r="2976" spans="1:28" x14ac:dyDescent="0.25">
      <c r="A2976" t="s">
        <v>2980</v>
      </c>
      <c r="B2976">
        <v>0.98018197421672304</v>
      </c>
      <c r="C2976">
        <v>0.89466044872283101</v>
      </c>
      <c r="D2976">
        <v>0.90843938585679695</v>
      </c>
      <c r="E2976">
        <v>0.74677810051728399</v>
      </c>
      <c r="F2976">
        <v>0.64389003433405401</v>
      </c>
      <c r="G2976">
        <v>0.44165929961759498</v>
      </c>
      <c r="H2976">
        <v>0.332412000413913</v>
      </c>
      <c r="I2976">
        <v>0.173458967732604</v>
      </c>
      <c r="J2976">
        <v>0.16542674006101701</v>
      </c>
      <c r="K2976">
        <v>0.18264489135815401</v>
      </c>
      <c r="L2976">
        <v>560.793815522508</v>
      </c>
      <c r="M2976">
        <v>10.152363952438201</v>
      </c>
      <c r="N2976">
        <v>55.707541408933103</v>
      </c>
      <c r="O2976">
        <v>53.223152597984601</v>
      </c>
      <c r="P2976">
        <v>-4.5752262050355499E-2</v>
      </c>
      <c r="Q2976">
        <v>4.1026370353359598E-2</v>
      </c>
      <c r="R2976">
        <v>0.98957191114813803</v>
      </c>
      <c r="S2976" t="s">
        <v>6605</v>
      </c>
      <c r="T2976" t="s">
        <v>7256</v>
      </c>
      <c r="U2976" t="s">
        <v>7256</v>
      </c>
      <c r="V2976" t="s">
        <v>7256</v>
      </c>
      <c r="W2976">
        <v>5</v>
      </c>
      <c r="X2976" t="s">
        <v>10232</v>
      </c>
      <c r="Y2976">
        <v>0.55176115553031946</v>
      </c>
      <c r="Z2976" t="str">
        <f>HYPERLINK("Melting_Curves/meltCurve_sp_Q9Y4X5_ARI1_HUMAN_.pdf", "Melting_Curves/meltCurve_sp_Q9Y4X5_ARI1_HUMAN_.pdf")</f>
        <v>Melting_Curves/meltCurve_sp_Q9Y4X5_ARI1_HUMAN_.pdf</v>
      </c>
      <c r="AA2976" t="s">
        <v>13823</v>
      </c>
      <c r="AB2976" t="s">
        <v>17400</v>
      </c>
    </row>
    <row r="2977" spans="1:28" x14ac:dyDescent="0.25">
      <c r="A2977" t="s">
        <v>2981</v>
      </c>
      <c r="B2977">
        <v>0.98018197421672304</v>
      </c>
      <c r="C2977">
        <v>1.01646042347406</v>
      </c>
      <c r="D2977">
        <v>1.0115145542834401</v>
      </c>
      <c r="E2977">
        <v>0.85811451601752997</v>
      </c>
      <c r="F2977">
        <v>0.73487489219063495</v>
      </c>
      <c r="G2977">
        <v>0.64524187298425995</v>
      </c>
      <c r="H2977">
        <v>0.42182798623975798</v>
      </c>
      <c r="I2977">
        <v>0.360025139725002</v>
      </c>
      <c r="J2977">
        <v>0.27881663550124403</v>
      </c>
      <c r="K2977">
        <v>0.22281081108062001</v>
      </c>
      <c r="L2977">
        <v>654.06595464420002</v>
      </c>
      <c r="M2977">
        <v>11.257488943579</v>
      </c>
      <c r="N2977">
        <v>59.489309045389497</v>
      </c>
      <c r="O2977">
        <v>56.3576750929928</v>
      </c>
      <c r="P2977">
        <v>-4.4180753947589503E-2</v>
      </c>
      <c r="Q2977">
        <v>0.11555536072729</v>
      </c>
      <c r="R2977">
        <v>0.99026629984029602</v>
      </c>
      <c r="S2977" t="s">
        <v>6606</v>
      </c>
      <c r="T2977" t="s">
        <v>7256</v>
      </c>
      <c r="U2977" t="s">
        <v>7256</v>
      </c>
      <c r="V2977" t="s">
        <v>7256</v>
      </c>
      <c r="W2977">
        <v>4</v>
      </c>
      <c r="X2977" t="s">
        <v>10233</v>
      </c>
      <c r="Y2977">
        <v>0.65931978656740298</v>
      </c>
      <c r="Z2977" t="str">
        <f>HYPERLINK("Melting_Curves/meltCurve_sp_Q9Y4Z0_LSM4_HUMAN_.pdf", "Melting_Curves/meltCurve_sp_Q9Y4Z0_LSM4_HUMAN_.pdf")</f>
        <v>Melting_Curves/meltCurve_sp_Q9Y4Z0_LSM4_HUMAN_.pdf</v>
      </c>
      <c r="AA2977" t="s">
        <v>13824</v>
      </c>
      <c r="AB2977" t="s">
        <v>17401</v>
      </c>
    </row>
    <row r="2978" spans="1:28" x14ac:dyDescent="0.25">
      <c r="A2978" t="s">
        <v>2982</v>
      </c>
      <c r="B2978">
        <v>0.98018197421672304</v>
      </c>
      <c r="C2978">
        <v>0.96264341684271004</v>
      </c>
      <c r="D2978">
        <v>0.91622885883017302</v>
      </c>
      <c r="E2978">
        <v>0.75482051288843799</v>
      </c>
      <c r="F2978">
        <v>0.66861002542127601</v>
      </c>
      <c r="G2978">
        <v>0.473373947580081</v>
      </c>
      <c r="H2978">
        <v>0.45190458354158303</v>
      </c>
      <c r="I2978">
        <v>0.464623244009503</v>
      </c>
      <c r="J2978">
        <v>0.56296254591689099</v>
      </c>
      <c r="K2978">
        <v>0.659312574747004</v>
      </c>
      <c r="L2978">
        <v>1103.17673132492</v>
      </c>
      <c r="M2978">
        <v>22.142889089038199</v>
      </c>
      <c r="O2978">
        <v>49.419808686560998</v>
      </c>
      <c r="P2978">
        <v>-5.35151055360076E-2</v>
      </c>
      <c r="Q2978">
        <v>0.52225769297792601</v>
      </c>
      <c r="R2978">
        <v>0.89830875846084401</v>
      </c>
      <c r="S2978" t="s">
        <v>6607</v>
      </c>
      <c r="T2978" t="s">
        <v>7256</v>
      </c>
      <c r="U2978" t="s">
        <v>7256</v>
      </c>
      <c r="V2978" t="s">
        <v>7256</v>
      </c>
      <c r="W2978">
        <v>20</v>
      </c>
      <c r="X2978" t="s">
        <v>10234</v>
      </c>
      <c r="Y2978">
        <v>0.68409120056497363</v>
      </c>
      <c r="Z2978" t="str">
        <f>HYPERLINK("Melting_Curves/meltCurve_sp_Q9Y520_4_PRC2C_HUMAN_.pdf", "Melting_Curves/meltCurve_sp_Q9Y520_4_PRC2C_HUMAN_.pdf")</f>
        <v>Melting_Curves/meltCurve_sp_Q9Y520_4_PRC2C_HUMAN_.pdf</v>
      </c>
      <c r="AA2978" t="s">
        <v>13825</v>
      </c>
      <c r="AB2978" t="s">
        <v>17402</v>
      </c>
    </row>
    <row r="2979" spans="1:28" x14ac:dyDescent="0.25">
      <c r="A2979" t="s">
        <v>2983</v>
      </c>
      <c r="B2979">
        <v>0.98018197421672304</v>
      </c>
      <c r="C2979">
        <v>1.0010009324593201</v>
      </c>
      <c r="D2979">
        <v>0.91134212992915997</v>
      </c>
      <c r="E2979">
        <v>0.81198134412783496</v>
      </c>
      <c r="F2979">
        <v>0.65207905044284797</v>
      </c>
      <c r="G2979">
        <v>0.24926324624624099</v>
      </c>
      <c r="H2979">
        <v>6.8215089801034495E-2</v>
      </c>
      <c r="I2979">
        <v>5.1433300009126298E-2</v>
      </c>
      <c r="J2979">
        <v>6.68602564602747E-2</v>
      </c>
      <c r="K2979">
        <v>4.36542194648721E-2</v>
      </c>
      <c r="L2979">
        <v>1125.2297832403101</v>
      </c>
      <c r="M2979">
        <v>20.844139318056101</v>
      </c>
      <c r="N2979">
        <v>54.102824186710201</v>
      </c>
      <c r="O2979">
        <v>53.493531311160297</v>
      </c>
      <c r="P2979">
        <v>-9.5220031422208196E-2</v>
      </c>
      <c r="Q2979">
        <v>2.2552127381030899E-2</v>
      </c>
      <c r="R2979">
        <v>0.99368835002790901</v>
      </c>
      <c r="S2979" t="s">
        <v>6608</v>
      </c>
      <c r="T2979" t="s">
        <v>7256</v>
      </c>
      <c r="U2979" t="s">
        <v>7256</v>
      </c>
      <c r="V2979" t="s">
        <v>7256</v>
      </c>
      <c r="W2979">
        <v>5</v>
      </c>
      <c r="X2979" t="s">
        <v>10235</v>
      </c>
      <c r="Y2979">
        <v>0.490561512857832</v>
      </c>
      <c r="Z2979" t="str">
        <f>HYPERLINK("Melting_Curves/meltCurve_sp_Q9Y570_PPME1_HUMAN_.pdf", "Melting_Curves/meltCurve_sp_Q9Y570_PPME1_HUMAN_.pdf")</f>
        <v>Melting_Curves/meltCurve_sp_Q9Y570_PPME1_HUMAN_.pdf</v>
      </c>
      <c r="AA2979" t="s">
        <v>13826</v>
      </c>
      <c r="AB2979" t="s">
        <v>17403</v>
      </c>
    </row>
    <row r="2980" spans="1:28" x14ac:dyDescent="0.25">
      <c r="A2980" t="s">
        <v>2984</v>
      </c>
      <c r="B2980">
        <v>0.98018197421672304</v>
      </c>
      <c r="C2980">
        <v>0.87671678965732702</v>
      </c>
      <c r="D2980">
        <v>0.80801619530080704</v>
      </c>
      <c r="E2980">
        <v>0.63764620719972798</v>
      </c>
      <c r="F2980">
        <v>0.46903405976350698</v>
      </c>
      <c r="G2980">
        <v>0.243176098617886</v>
      </c>
      <c r="H2980">
        <v>0.119169742116394</v>
      </c>
      <c r="I2980">
        <v>0.119340756475422</v>
      </c>
      <c r="J2980">
        <v>0.10771156543238899</v>
      </c>
      <c r="K2980">
        <v>0.131553873246293</v>
      </c>
      <c r="L2980">
        <v>642.68345912243399</v>
      </c>
      <c r="M2980">
        <v>12.5035793823559</v>
      </c>
      <c r="N2980">
        <v>51.8716162146372</v>
      </c>
      <c r="O2980">
        <v>50.138338857312903</v>
      </c>
      <c r="P2980">
        <v>-5.9007480140020198E-2</v>
      </c>
      <c r="Q2980">
        <v>5.3733767552149002E-2</v>
      </c>
      <c r="R2980">
        <v>0.991142383722878</v>
      </c>
      <c r="S2980" t="s">
        <v>6609</v>
      </c>
      <c r="T2980" t="s">
        <v>7256</v>
      </c>
      <c r="U2980" t="s">
        <v>7256</v>
      </c>
      <c r="V2980" t="s">
        <v>7256</v>
      </c>
      <c r="W2980">
        <v>2</v>
      </c>
      <c r="X2980" t="s">
        <v>10236</v>
      </c>
      <c r="Y2980">
        <v>0.44174252324315971</v>
      </c>
      <c r="Z2980" t="str">
        <f>HYPERLINK("Melting_Curves/meltCurve_sp_Q9Y5A7_2_NUB1_HUMAN_.pdf", "Melting_Curves/meltCurve_sp_Q9Y5A7_2_NUB1_HUMAN_.pdf")</f>
        <v>Melting_Curves/meltCurve_sp_Q9Y5A7_2_NUB1_HUMAN_.pdf</v>
      </c>
      <c r="AA2980" t="s">
        <v>13827</v>
      </c>
      <c r="AB2980" t="s">
        <v>17404</v>
      </c>
    </row>
    <row r="2981" spans="1:28" x14ac:dyDescent="0.25">
      <c r="A2981" t="s">
        <v>2985</v>
      </c>
      <c r="B2981">
        <v>0.98018197421672304</v>
      </c>
      <c r="C2981">
        <v>1.04165778922651</v>
      </c>
      <c r="D2981">
        <v>0.95073063484547105</v>
      </c>
      <c r="E2981">
        <v>0.82506401236304505</v>
      </c>
      <c r="F2981">
        <v>0.67718123407359998</v>
      </c>
      <c r="G2981">
        <v>0.423903737305939</v>
      </c>
      <c r="H2981">
        <v>0.43044036922808798</v>
      </c>
      <c r="I2981">
        <v>0.41040350778545398</v>
      </c>
      <c r="J2981">
        <v>0.79317877163216699</v>
      </c>
      <c r="K2981">
        <v>0.61333082012072204</v>
      </c>
      <c r="L2981">
        <v>1715.8545783504601</v>
      </c>
      <c r="M2981">
        <v>33.716880780379199</v>
      </c>
      <c r="O2981">
        <v>50.712063433630497</v>
      </c>
      <c r="P2981">
        <v>-7.6789667546499296E-2</v>
      </c>
      <c r="Q2981">
        <v>0.53801822371874697</v>
      </c>
      <c r="R2981">
        <v>0.76864284405286798</v>
      </c>
      <c r="S2981" t="s">
        <v>6610</v>
      </c>
      <c r="T2981" t="s">
        <v>7256</v>
      </c>
      <c r="U2981" t="s">
        <v>7256</v>
      </c>
      <c r="V2981" t="s">
        <v>7256</v>
      </c>
      <c r="W2981">
        <v>6</v>
      </c>
      <c r="X2981" t="s">
        <v>10237</v>
      </c>
      <c r="Y2981">
        <v>0.70801158149174415</v>
      </c>
      <c r="Z2981" t="str">
        <f>HYPERLINK("Melting_Curves/meltCurve_sp_Q9Y5A9_2_YTHD2_HUMAN_.pdf", "Melting_Curves/meltCurve_sp_Q9Y5A9_2_YTHD2_HUMAN_.pdf")</f>
        <v>Melting_Curves/meltCurve_sp_Q9Y5A9_2_YTHD2_HUMAN_.pdf</v>
      </c>
      <c r="AA2981" t="s">
        <v>13828</v>
      </c>
      <c r="AB2981" t="s">
        <v>17405</v>
      </c>
    </row>
    <row r="2982" spans="1:28" x14ac:dyDescent="0.25">
      <c r="A2982" t="s">
        <v>2986</v>
      </c>
      <c r="B2982">
        <v>0.98018197421672304</v>
      </c>
      <c r="C2982">
        <v>0.89003402478536398</v>
      </c>
      <c r="D2982">
        <v>0.79633138352697597</v>
      </c>
      <c r="E2982">
        <v>0.47184220545803002</v>
      </c>
      <c r="F2982">
        <v>0.32909266408340798</v>
      </c>
      <c r="G2982">
        <v>0.18542572528267601</v>
      </c>
      <c r="H2982">
        <v>0.108196303847992</v>
      </c>
      <c r="I2982">
        <v>7.4816217921002307E-2</v>
      </c>
      <c r="J2982">
        <v>9.6789438989038301E-2</v>
      </c>
      <c r="K2982">
        <v>8.5879611185932403E-2</v>
      </c>
      <c r="L2982">
        <v>744.530085082033</v>
      </c>
      <c r="M2982">
        <v>15.060335287179401</v>
      </c>
      <c r="N2982">
        <v>49.9102407837592</v>
      </c>
      <c r="O2982">
        <v>48.589432392384197</v>
      </c>
      <c r="P2982">
        <v>-7.2333982001408698E-2</v>
      </c>
      <c r="Q2982">
        <v>6.6603067230207702E-2</v>
      </c>
      <c r="R2982">
        <v>0.99765296543829096</v>
      </c>
      <c r="S2982" t="s">
        <v>6611</v>
      </c>
      <c r="T2982" t="s">
        <v>7256</v>
      </c>
      <c r="U2982" t="s">
        <v>7256</v>
      </c>
      <c r="V2982" t="s">
        <v>7256</v>
      </c>
      <c r="W2982">
        <v>2</v>
      </c>
      <c r="X2982" t="s">
        <v>10238</v>
      </c>
      <c r="Y2982">
        <v>0.38271551128651221</v>
      </c>
      <c r="Z2982" t="str">
        <f>HYPERLINK("Melting_Curves/meltCurve_sp_Q9Y5B0_CTDP1_HUMAN_.pdf", "Melting_Curves/meltCurve_sp_Q9Y5B0_CTDP1_HUMAN_.pdf")</f>
        <v>Melting_Curves/meltCurve_sp_Q9Y5B0_CTDP1_HUMAN_.pdf</v>
      </c>
      <c r="AA2982" t="s">
        <v>13829</v>
      </c>
      <c r="AB2982" t="s">
        <v>17406</v>
      </c>
    </row>
    <row r="2983" spans="1:28" x14ac:dyDescent="0.25">
      <c r="A2983" t="s">
        <v>2987</v>
      </c>
      <c r="B2983">
        <v>0.98018197421672304</v>
      </c>
      <c r="C2983">
        <v>0.97600104093921203</v>
      </c>
      <c r="D2983">
        <v>0.89949891473910304</v>
      </c>
      <c r="E2983">
        <v>0.78970228011247201</v>
      </c>
      <c r="F2983">
        <v>0.67345218126214101</v>
      </c>
      <c r="G2983">
        <v>0.44140628706038099</v>
      </c>
      <c r="H2983">
        <v>0.33156005404685301</v>
      </c>
      <c r="I2983">
        <v>0.31397661620654799</v>
      </c>
      <c r="J2983">
        <v>0.20511456217738999</v>
      </c>
      <c r="K2983">
        <v>0.30456800984785998</v>
      </c>
      <c r="L2983">
        <v>745.27663856454501</v>
      </c>
      <c r="M2983">
        <v>13.9029697641521</v>
      </c>
      <c r="N2983">
        <v>55.964059907428698</v>
      </c>
      <c r="O2983">
        <v>52.533058382478998</v>
      </c>
      <c r="P2983">
        <v>-5.1501539099432302E-2</v>
      </c>
      <c r="Q2983">
        <v>0.22170138110938001</v>
      </c>
      <c r="R2983">
        <v>0.98856079372670602</v>
      </c>
      <c r="S2983" t="s">
        <v>6612</v>
      </c>
      <c r="T2983" t="s">
        <v>7256</v>
      </c>
      <c r="U2983" t="s">
        <v>7256</v>
      </c>
      <c r="V2983" t="s">
        <v>7256</v>
      </c>
      <c r="W2983">
        <v>4</v>
      </c>
      <c r="X2983" t="s">
        <v>10239</v>
      </c>
      <c r="Y2983">
        <v>0.59259420979288702</v>
      </c>
      <c r="Z2983" t="str">
        <f>HYPERLINK("Melting_Curves/meltCurve_sp_Q9Y5J7_TIM9_HUMAN_.pdf", "Melting_Curves/meltCurve_sp_Q9Y5J7_TIM9_HUMAN_.pdf")</f>
        <v>Melting_Curves/meltCurve_sp_Q9Y5J7_TIM9_HUMAN_.pdf</v>
      </c>
      <c r="AA2983" t="s">
        <v>13830</v>
      </c>
      <c r="AB2983" t="s">
        <v>17407</v>
      </c>
    </row>
    <row r="2984" spans="1:28" x14ac:dyDescent="0.25">
      <c r="A2984" t="s">
        <v>2988</v>
      </c>
      <c r="B2984">
        <v>0.98018197421672304</v>
      </c>
      <c r="C2984">
        <v>0.95576536549046398</v>
      </c>
      <c r="D2984">
        <v>0.88595650482779698</v>
      </c>
      <c r="E2984">
        <v>0.74282444202005105</v>
      </c>
      <c r="F2984">
        <v>0.58325816881429104</v>
      </c>
      <c r="G2984">
        <v>0.33574866614133902</v>
      </c>
      <c r="H2984">
        <v>0.36450177709949799</v>
      </c>
      <c r="I2984">
        <v>0.30483892995712703</v>
      </c>
      <c r="J2984">
        <v>0.57196862174955898</v>
      </c>
      <c r="K2984">
        <v>0.39756306967555199</v>
      </c>
      <c r="L2984">
        <v>1107.61069494292</v>
      </c>
      <c r="M2984">
        <v>21.9804051185064</v>
      </c>
      <c r="N2984">
        <v>54.113879817416901</v>
      </c>
      <c r="O2984">
        <v>49.979293776508698</v>
      </c>
      <c r="P2984">
        <v>-6.7092111568678905E-2</v>
      </c>
      <c r="Q2984">
        <v>0.38979446570942</v>
      </c>
      <c r="R2984">
        <v>0.908714483851773</v>
      </c>
      <c r="S2984" t="s">
        <v>6613</v>
      </c>
      <c r="T2984" t="s">
        <v>7256</v>
      </c>
      <c r="U2984" t="s">
        <v>7256</v>
      </c>
      <c r="V2984" t="s">
        <v>7256</v>
      </c>
      <c r="W2984">
        <v>2</v>
      </c>
      <c r="X2984" t="s">
        <v>10240</v>
      </c>
      <c r="Y2984">
        <v>0.60820949717451367</v>
      </c>
      <c r="Z2984" t="str">
        <f>HYPERLINK("Melting_Curves/meltCurve_sp_Q9Y5J9_TIM8B_HUMAN_.pdf", "Melting_Curves/meltCurve_sp_Q9Y5J9_TIM8B_HUMAN_.pdf")</f>
        <v>Melting_Curves/meltCurve_sp_Q9Y5J9_TIM8B_HUMAN_.pdf</v>
      </c>
      <c r="AA2984" t="s">
        <v>13831</v>
      </c>
      <c r="AB2984" t="s">
        <v>17408</v>
      </c>
    </row>
    <row r="2985" spans="1:28" x14ac:dyDescent="0.25">
      <c r="A2985" t="s">
        <v>2989</v>
      </c>
      <c r="B2985">
        <v>0.98018197421672304</v>
      </c>
      <c r="C2985">
        <v>0.98258989711584599</v>
      </c>
      <c r="D2985">
        <v>0.95827821444410599</v>
      </c>
      <c r="E2985">
        <v>0.65126151109069497</v>
      </c>
      <c r="F2985">
        <v>0.32017012118431798</v>
      </c>
      <c r="G2985">
        <v>0.13516567631585799</v>
      </c>
      <c r="H2985">
        <v>6.6936598114225601E-2</v>
      </c>
      <c r="I2985">
        <v>5.1378575374083697E-2</v>
      </c>
      <c r="J2985">
        <v>4.2100861600547497E-2</v>
      </c>
      <c r="K2985">
        <v>3.5992140509781001E-2</v>
      </c>
      <c r="L2985">
        <v>1253.2477306621799</v>
      </c>
      <c r="M2985">
        <v>24.5050696000811</v>
      </c>
      <c r="N2985">
        <v>51.339089551888598</v>
      </c>
      <c r="O2985">
        <v>50.805454187646603</v>
      </c>
      <c r="P2985">
        <v>-0.11518167529913501</v>
      </c>
      <c r="Q2985">
        <v>4.4806281261256999E-2</v>
      </c>
      <c r="R2985">
        <v>0.99919938219811599</v>
      </c>
      <c r="S2985" t="s">
        <v>6614</v>
      </c>
      <c r="T2985" t="s">
        <v>7256</v>
      </c>
      <c r="U2985" t="s">
        <v>7256</v>
      </c>
      <c r="V2985" t="s">
        <v>7256</v>
      </c>
      <c r="W2985">
        <v>6</v>
      </c>
      <c r="X2985" t="s">
        <v>10241</v>
      </c>
      <c r="Y2985">
        <v>0.40856522462192579</v>
      </c>
      <c r="Z2985" t="str">
        <f>HYPERLINK("Melting_Curves/meltCurve_sp_Q9Y5K5_2_UCHL5_HUMAN_.pdf", "Melting_Curves/meltCurve_sp_Q9Y5K5_2_UCHL5_HUMAN_.pdf")</f>
        <v>Melting_Curves/meltCurve_sp_Q9Y5K5_2_UCHL5_HUMAN_.pdf</v>
      </c>
      <c r="AA2985" t="s">
        <v>13832</v>
      </c>
      <c r="AB2985" t="s">
        <v>17409</v>
      </c>
    </row>
    <row r="2986" spans="1:28" x14ac:dyDescent="0.25">
      <c r="A2986" t="s">
        <v>2990</v>
      </c>
      <c r="B2986">
        <v>0.98018197421672304</v>
      </c>
      <c r="C2986">
        <v>0.98831797380325404</v>
      </c>
      <c r="D2986">
        <v>0.95473312055320403</v>
      </c>
      <c r="E2986">
        <v>0.87583744877050895</v>
      </c>
      <c r="F2986">
        <v>0.78934118091178895</v>
      </c>
      <c r="G2986">
        <v>0.56594420554079305</v>
      </c>
      <c r="H2986">
        <v>0.49794607579050398</v>
      </c>
      <c r="I2986">
        <v>0.49114162240081999</v>
      </c>
      <c r="J2986">
        <v>0.494343068397742</v>
      </c>
      <c r="K2986">
        <v>0.65223783443285199</v>
      </c>
      <c r="L2986">
        <v>1336.5958895854701</v>
      </c>
      <c r="M2986">
        <v>25.3397022355053</v>
      </c>
      <c r="O2986">
        <v>52.421885114644397</v>
      </c>
      <c r="P2986">
        <v>-5.7149079487711703E-2</v>
      </c>
      <c r="Q2986">
        <v>0.52709401492417196</v>
      </c>
      <c r="R2986">
        <v>0.93812896827984604</v>
      </c>
      <c r="S2986" t="s">
        <v>6615</v>
      </c>
      <c r="T2986" t="s">
        <v>7256</v>
      </c>
      <c r="U2986" t="s">
        <v>7256</v>
      </c>
      <c r="V2986" t="s">
        <v>7256</v>
      </c>
      <c r="W2986">
        <v>10</v>
      </c>
      <c r="X2986" t="s">
        <v>10242</v>
      </c>
      <c r="Y2986">
        <v>0.73226964253797155</v>
      </c>
      <c r="Z2986" t="str">
        <f>HYPERLINK("Melting_Curves/meltCurve_sp_Q9Y5K6_CD2AP_HUMAN_.pdf", "Melting_Curves/meltCurve_sp_Q9Y5K6_CD2AP_HUMAN_.pdf")</f>
        <v>Melting_Curves/meltCurve_sp_Q9Y5K6_CD2AP_HUMAN_.pdf</v>
      </c>
      <c r="AA2986" t="s">
        <v>13833</v>
      </c>
      <c r="AB2986" t="s">
        <v>17410</v>
      </c>
    </row>
    <row r="2987" spans="1:28" x14ac:dyDescent="0.25">
      <c r="A2987" t="s">
        <v>2991</v>
      </c>
      <c r="B2987">
        <v>0.98018197421672304</v>
      </c>
      <c r="C2987">
        <v>1.00179000732182</v>
      </c>
      <c r="D2987">
        <v>0.85635368572697601</v>
      </c>
      <c r="E2987">
        <v>0.777002320103647</v>
      </c>
      <c r="F2987">
        <v>0.65259083655807004</v>
      </c>
      <c r="G2987">
        <v>0.42020904638421303</v>
      </c>
      <c r="H2987">
        <v>0.25405303767433801</v>
      </c>
      <c r="I2987">
        <v>9.3007260567768701E-2</v>
      </c>
      <c r="J2987">
        <v>7.0147531018186202E-2</v>
      </c>
      <c r="K2987">
        <v>3.5579661430718001E-2</v>
      </c>
      <c r="L2987">
        <v>712.83637653895198</v>
      </c>
      <c r="M2987">
        <v>12.923192638837801</v>
      </c>
      <c r="N2987">
        <v>55.159463797905097</v>
      </c>
      <c r="O2987">
        <v>53.8887750024589</v>
      </c>
      <c r="P2987">
        <v>-5.9963921999162999E-2</v>
      </c>
      <c r="Q2987">
        <v>0</v>
      </c>
      <c r="R2987">
        <v>0.991058651903864</v>
      </c>
      <c r="S2987" t="s">
        <v>6616</v>
      </c>
      <c r="T2987" t="s">
        <v>7256</v>
      </c>
      <c r="U2987" t="s">
        <v>7256</v>
      </c>
      <c r="V2987" t="s">
        <v>7256</v>
      </c>
      <c r="W2987">
        <v>4</v>
      </c>
      <c r="X2987" t="s">
        <v>10243</v>
      </c>
      <c r="Y2987">
        <v>0.52712534531150401</v>
      </c>
      <c r="Z2987" t="str">
        <f>HYPERLINK("Melting_Curves/meltCurve_sp_Q9Y5K8_VATD_HUMAN_.pdf", "Melting_Curves/meltCurve_sp_Q9Y5K8_VATD_HUMAN_.pdf")</f>
        <v>Melting_Curves/meltCurve_sp_Q9Y5K8_VATD_HUMAN_.pdf</v>
      </c>
      <c r="AA2987" t="s">
        <v>13834</v>
      </c>
      <c r="AB2987" t="s">
        <v>17411</v>
      </c>
    </row>
    <row r="2988" spans="1:28" x14ac:dyDescent="0.25">
      <c r="A2988" t="s">
        <v>2992</v>
      </c>
      <c r="B2988">
        <v>0.98018197421672304</v>
      </c>
      <c r="C2988">
        <v>0.93822244808622601</v>
      </c>
      <c r="D2988">
        <v>0.89223601357106497</v>
      </c>
      <c r="E2988">
        <v>0.75721137726978804</v>
      </c>
      <c r="F2988">
        <v>0.43159196305509501</v>
      </c>
      <c r="G2988">
        <v>0.118842460855696</v>
      </c>
      <c r="H2988">
        <v>6.4901813337374006E-2</v>
      </c>
      <c r="I2988">
        <v>4.3552771187873401E-2</v>
      </c>
      <c r="J2988">
        <v>5.9036456438595598E-2</v>
      </c>
      <c r="K2988">
        <v>4.8471631539521602E-2</v>
      </c>
      <c r="L2988">
        <v>1202.4715800899601</v>
      </c>
      <c r="M2988">
        <v>23.0848519867547</v>
      </c>
      <c r="N2988">
        <v>52.255945808757602</v>
      </c>
      <c r="O2988">
        <v>51.7030454865195</v>
      </c>
      <c r="P2988">
        <v>-0.107660634284377</v>
      </c>
      <c r="Q2988">
        <v>3.55094870313667E-2</v>
      </c>
      <c r="R2988">
        <v>0.99373693003336805</v>
      </c>
      <c r="S2988" t="s">
        <v>6617</v>
      </c>
      <c r="T2988" t="s">
        <v>7256</v>
      </c>
      <c r="U2988" t="s">
        <v>7256</v>
      </c>
      <c r="V2988" t="s">
        <v>7256</v>
      </c>
      <c r="W2988">
        <v>10</v>
      </c>
      <c r="X2988" t="s">
        <v>10244</v>
      </c>
      <c r="Y2988">
        <v>0.4344279523163786</v>
      </c>
      <c r="Z2988" t="str">
        <f>HYPERLINK("Melting_Curves/meltCurve_sp_Q9Y5L0_TNPO3_HUMAN_.pdf", "Melting_Curves/meltCurve_sp_Q9Y5L0_TNPO3_HUMAN_.pdf")</f>
        <v>Melting_Curves/meltCurve_sp_Q9Y5L0_TNPO3_HUMAN_.pdf</v>
      </c>
      <c r="AA2988" t="s">
        <v>13835</v>
      </c>
      <c r="AB2988" t="s">
        <v>17412</v>
      </c>
    </row>
    <row r="2989" spans="1:28" x14ac:dyDescent="0.25">
      <c r="A2989" t="s">
        <v>2993</v>
      </c>
      <c r="B2989">
        <v>0.98018197421672304</v>
      </c>
      <c r="C2989">
        <v>0.97958845880576395</v>
      </c>
      <c r="D2989">
        <v>0.94697972940229003</v>
      </c>
      <c r="E2989">
        <v>0.82317881979421803</v>
      </c>
      <c r="F2989">
        <v>0.59271988587492297</v>
      </c>
      <c r="G2989">
        <v>0.30304113348575701</v>
      </c>
      <c r="H2989">
        <v>0.265857684984174</v>
      </c>
      <c r="I2989">
        <v>0.26160789639181597</v>
      </c>
      <c r="J2989">
        <v>0.280295259207966</v>
      </c>
      <c r="K2989">
        <v>0.33295885395713598</v>
      </c>
      <c r="L2989">
        <v>1443.0647677254401</v>
      </c>
      <c r="M2989">
        <v>27.631827124315802</v>
      </c>
      <c r="N2989">
        <v>53.778811276685303</v>
      </c>
      <c r="O2989">
        <v>51.953506590507601</v>
      </c>
      <c r="P2989">
        <v>-9.6400216988718701E-2</v>
      </c>
      <c r="Q2989">
        <v>0.27499791048154598</v>
      </c>
      <c r="R2989">
        <v>0.99100784251818796</v>
      </c>
      <c r="S2989" t="s">
        <v>6618</v>
      </c>
      <c r="T2989" t="s">
        <v>7256</v>
      </c>
      <c r="U2989" t="s">
        <v>7256</v>
      </c>
      <c r="V2989" t="s">
        <v>7256</v>
      </c>
      <c r="W2989">
        <v>6</v>
      </c>
      <c r="X2989" t="s">
        <v>10245</v>
      </c>
      <c r="Y2989">
        <v>0.57589419956414667</v>
      </c>
      <c r="Z2989" t="str">
        <f>HYPERLINK("Melting_Curves/meltCurve_sp_Q9Y5L4_TIM13_HUMAN_.pdf", "Melting_Curves/meltCurve_sp_Q9Y5L4_TIM13_HUMAN_.pdf")</f>
        <v>Melting_Curves/meltCurve_sp_Q9Y5L4_TIM13_HUMAN_.pdf</v>
      </c>
      <c r="AA2989" t="s">
        <v>13836</v>
      </c>
      <c r="AB2989" t="s">
        <v>17413</v>
      </c>
    </row>
    <row r="2990" spans="1:28" x14ac:dyDescent="0.25">
      <c r="A2990" t="s">
        <v>2994</v>
      </c>
      <c r="B2990">
        <v>0.98018197421672304</v>
      </c>
      <c r="C2990">
        <v>1.0026110714421499</v>
      </c>
      <c r="D2990">
        <v>0.87079720586171205</v>
      </c>
      <c r="E2990">
        <v>0.68060639490341701</v>
      </c>
      <c r="F2990">
        <v>0.28589525991454501</v>
      </c>
      <c r="G2990">
        <v>0.12299409345375301</v>
      </c>
      <c r="H2990">
        <v>8.0084808868024104E-2</v>
      </c>
      <c r="I2990">
        <v>6.3432696764447002E-2</v>
      </c>
      <c r="J2990">
        <v>7.1915708528469194E-2</v>
      </c>
      <c r="K2990">
        <v>7.1738978496873301E-2</v>
      </c>
      <c r="L2990">
        <v>1278.25824478083</v>
      </c>
      <c r="M2990">
        <v>25.106225432081999</v>
      </c>
      <c r="N2990">
        <v>51.189822010318601</v>
      </c>
      <c r="O2990">
        <v>50.594273491853002</v>
      </c>
      <c r="P2990">
        <v>-0.116209851638264</v>
      </c>
      <c r="Q2990">
        <v>6.3264162659472198E-2</v>
      </c>
      <c r="R2990">
        <v>0.994543870556164</v>
      </c>
      <c r="S2990" t="s">
        <v>6619</v>
      </c>
      <c r="T2990" t="s">
        <v>7256</v>
      </c>
      <c r="U2990" t="s">
        <v>7256</v>
      </c>
      <c r="V2990" t="s">
        <v>7256</v>
      </c>
      <c r="W2990">
        <v>5</v>
      </c>
      <c r="X2990" t="s">
        <v>10246</v>
      </c>
      <c r="Y2990">
        <v>0.41243261903255651</v>
      </c>
      <c r="Z2990" t="str">
        <f>HYPERLINK("Melting_Curves/meltCurve_sp_Q9Y5P4_2_C43BP_HUMAN_.pdf", "Melting_Curves/meltCurve_sp_Q9Y5P4_2_C43BP_HUMAN_.pdf")</f>
        <v>Melting_Curves/meltCurve_sp_Q9Y5P4_2_C43BP_HUMAN_.pdf</v>
      </c>
      <c r="AA2990" t="s">
        <v>13837</v>
      </c>
      <c r="AB2990" t="s">
        <v>17414</v>
      </c>
    </row>
    <row r="2991" spans="1:28" x14ac:dyDescent="0.25">
      <c r="A2991" t="s">
        <v>2995</v>
      </c>
      <c r="B2991">
        <v>0.98018197421672304</v>
      </c>
      <c r="C2991">
        <v>0.99666790535965599</v>
      </c>
      <c r="D2991">
        <v>0.93446379566521698</v>
      </c>
      <c r="E2991">
        <v>0.66957419473345103</v>
      </c>
      <c r="F2991">
        <v>0.32222313472444403</v>
      </c>
      <c r="G2991">
        <v>0.12917751549591999</v>
      </c>
      <c r="H2991">
        <v>8.2816737178240202E-2</v>
      </c>
      <c r="I2991">
        <v>6.2629505538081706E-2</v>
      </c>
      <c r="J2991">
        <v>9.7544456465027102E-2</v>
      </c>
      <c r="K2991">
        <v>4.0148650531541402E-2</v>
      </c>
      <c r="L2991">
        <v>1311.5819685026599</v>
      </c>
      <c r="M2991">
        <v>25.671371926695599</v>
      </c>
      <c r="N2991">
        <v>51.370076970865703</v>
      </c>
      <c r="O2991">
        <v>50.784226532391799</v>
      </c>
      <c r="P2991">
        <v>-0.11815700996648799</v>
      </c>
      <c r="Q2991">
        <v>6.5037936967193996E-2</v>
      </c>
      <c r="R2991">
        <v>0.99845654613249102</v>
      </c>
      <c r="S2991" t="s">
        <v>6620</v>
      </c>
      <c r="T2991" t="s">
        <v>7256</v>
      </c>
      <c r="U2991" t="s">
        <v>7256</v>
      </c>
      <c r="V2991" t="s">
        <v>7256</v>
      </c>
      <c r="W2991">
        <v>10</v>
      </c>
      <c r="X2991" t="s">
        <v>10247</v>
      </c>
      <c r="Y2991">
        <v>0.41872583619353149</v>
      </c>
      <c r="Z2991" t="str">
        <f>HYPERLINK("Melting_Curves/meltCurve_sp_Q9Y5P6_GMPPB_HUMAN_.pdf", "Melting_Curves/meltCurve_sp_Q9Y5P6_GMPPB_HUMAN_.pdf")</f>
        <v>Melting_Curves/meltCurve_sp_Q9Y5P6_GMPPB_HUMAN_.pdf</v>
      </c>
      <c r="AA2991" t="s">
        <v>13838</v>
      </c>
      <c r="AB2991" t="s">
        <v>17415</v>
      </c>
    </row>
    <row r="2992" spans="1:28" x14ac:dyDescent="0.25">
      <c r="A2992" t="s">
        <v>2996</v>
      </c>
      <c r="B2992">
        <v>0.98018197421672304</v>
      </c>
      <c r="C2992">
        <v>0.85999068700222503</v>
      </c>
      <c r="D2992">
        <v>0.65941696749238699</v>
      </c>
      <c r="E2992">
        <v>0.405262655611208</v>
      </c>
      <c r="F2992">
        <v>0.29846928554140001</v>
      </c>
      <c r="G2992">
        <v>0.18411301358500401</v>
      </c>
      <c r="H2992">
        <v>0.13079544304749</v>
      </c>
      <c r="I2992">
        <v>0.101683238318466</v>
      </c>
      <c r="J2992">
        <v>0.15072032941820099</v>
      </c>
      <c r="K2992">
        <v>0.10058041242386601</v>
      </c>
      <c r="L2992">
        <v>699.282649715753</v>
      </c>
      <c r="M2992">
        <v>14.6377179022888</v>
      </c>
      <c r="N2992">
        <v>48.551808801929901</v>
      </c>
      <c r="O2992">
        <v>46.907604501789102</v>
      </c>
      <c r="P2992">
        <v>-6.9855083006548094E-2</v>
      </c>
      <c r="Q2992">
        <v>0.104677464135752</v>
      </c>
      <c r="R2992">
        <v>0.99632409369368402</v>
      </c>
      <c r="S2992" t="s">
        <v>6621</v>
      </c>
      <c r="T2992" t="s">
        <v>7256</v>
      </c>
      <c r="U2992" t="s">
        <v>7256</v>
      </c>
      <c r="V2992" t="s">
        <v>7256</v>
      </c>
      <c r="W2992">
        <v>7</v>
      </c>
      <c r="X2992" t="s">
        <v>10248</v>
      </c>
      <c r="Y2992">
        <v>0.36110201779902329</v>
      </c>
      <c r="Z2992" t="str">
        <f>HYPERLINK("Melting_Curves/meltCurve_sp_Q9Y5S2_MRCKB_HUMAN_.pdf", "Melting_Curves/meltCurve_sp_Q9Y5S2_MRCKB_HUMAN_.pdf")</f>
        <v>Melting_Curves/meltCurve_sp_Q9Y5S2_MRCKB_HUMAN_.pdf</v>
      </c>
      <c r="AA2992" t="s">
        <v>13839</v>
      </c>
      <c r="AB2992" t="s">
        <v>17416</v>
      </c>
    </row>
    <row r="2993" spans="1:28" x14ac:dyDescent="0.25">
      <c r="A2993" t="s">
        <v>2997</v>
      </c>
      <c r="B2993">
        <v>0.98018197421672304</v>
      </c>
      <c r="C2993">
        <v>1.00904603196625</v>
      </c>
      <c r="D2993">
        <v>0.84456706507180201</v>
      </c>
      <c r="E2993">
        <v>0.69052519638343901</v>
      </c>
      <c r="F2993">
        <v>0.663387408767106</v>
      </c>
      <c r="G2993">
        <v>0.42348269602050298</v>
      </c>
      <c r="H2993">
        <v>0.36883129067204901</v>
      </c>
      <c r="I2993">
        <v>0.33099427106652202</v>
      </c>
      <c r="J2993">
        <v>0.38607389914428403</v>
      </c>
      <c r="K2993">
        <v>0.38882911518771202</v>
      </c>
      <c r="L2993">
        <v>730.44685432819404</v>
      </c>
      <c r="M2993">
        <v>14.304951622444101</v>
      </c>
      <c r="N2993">
        <v>55.435672867248897</v>
      </c>
      <c r="O2993">
        <v>50.0957276795666</v>
      </c>
      <c r="P2993">
        <v>-4.7247717973443397E-2</v>
      </c>
      <c r="Q2993">
        <v>0.33823727879343002</v>
      </c>
      <c r="R2993">
        <v>0.972578341886292</v>
      </c>
      <c r="S2993" t="s">
        <v>6622</v>
      </c>
      <c r="T2993" t="s">
        <v>7256</v>
      </c>
      <c r="U2993" t="s">
        <v>7256</v>
      </c>
      <c r="V2993" t="s">
        <v>7256</v>
      </c>
      <c r="W2993">
        <v>3</v>
      </c>
      <c r="X2993" t="s">
        <v>10249</v>
      </c>
      <c r="Y2993">
        <v>0.5987444446049609</v>
      </c>
      <c r="Z2993" t="str">
        <f>HYPERLINK("Melting_Curves/meltCurve_sp_Q9Y5S9_RBM8A_HUMAN_.pdf", "Melting_Curves/meltCurve_sp_Q9Y5S9_RBM8A_HUMAN_.pdf")</f>
        <v>Melting_Curves/meltCurve_sp_Q9Y5S9_RBM8A_HUMAN_.pdf</v>
      </c>
      <c r="AA2993" t="s">
        <v>13840</v>
      </c>
      <c r="AB2993" t="s">
        <v>17417</v>
      </c>
    </row>
    <row r="2994" spans="1:28" x14ac:dyDescent="0.25">
      <c r="A2994" t="s">
        <v>2998</v>
      </c>
      <c r="B2994">
        <v>0.98018197421672304</v>
      </c>
      <c r="C2994">
        <v>1.0083103240756299</v>
      </c>
      <c r="D2994">
        <v>0.93503087372344396</v>
      </c>
      <c r="E2994">
        <v>0.66966810529895004</v>
      </c>
      <c r="F2994">
        <v>0.55751229947107195</v>
      </c>
      <c r="G2994">
        <v>0.37631961019878601</v>
      </c>
      <c r="H2994">
        <v>0.28932354992179798</v>
      </c>
      <c r="I2994">
        <v>0.34822362898822601</v>
      </c>
      <c r="J2994">
        <v>0.28541281354419001</v>
      </c>
      <c r="K2994">
        <v>0.36673621117879501</v>
      </c>
      <c r="L2994">
        <v>1017.45466754966</v>
      </c>
      <c r="M2994">
        <v>20.0718582798381</v>
      </c>
      <c r="N2994">
        <v>53.335910058406299</v>
      </c>
      <c r="O2994">
        <v>50.195495825634197</v>
      </c>
      <c r="P2994">
        <v>-6.8457341493332699E-2</v>
      </c>
      <c r="Q2994">
        <v>0.31523232641188598</v>
      </c>
      <c r="R2994">
        <v>0.986731162424763</v>
      </c>
      <c r="S2994" t="s">
        <v>6623</v>
      </c>
      <c r="T2994" t="s">
        <v>7256</v>
      </c>
      <c r="U2994" t="s">
        <v>7256</v>
      </c>
      <c r="V2994" t="s">
        <v>7256</v>
      </c>
      <c r="W2994">
        <v>6</v>
      </c>
      <c r="X2994" t="s">
        <v>10250</v>
      </c>
      <c r="Y2994">
        <v>0.56870010749125466</v>
      </c>
      <c r="Z2994" t="str">
        <f>HYPERLINK("Melting_Curves/meltCurve_sp_Q9Y5X1_SNX9_HUMAN_.pdf", "Melting_Curves/meltCurve_sp_Q9Y5X1_SNX9_HUMAN_.pdf")</f>
        <v>Melting_Curves/meltCurve_sp_Q9Y5X1_SNX9_HUMAN_.pdf</v>
      </c>
      <c r="AA2994" t="s">
        <v>13841</v>
      </c>
      <c r="AB2994" t="s">
        <v>17418</v>
      </c>
    </row>
    <row r="2995" spans="1:28" x14ac:dyDescent="0.25">
      <c r="A2995" t="s">
        <v>2999</v>
      </c>
      <c r="B2995">
        <v>0.98018197421672304</v>
      </c>
      <c r="C2995">
        <v>0.90139158896074201</v>
      </c>
      <c r="D2995">
        <v>0.89668675008863896</v>
      </c>
      <c r="E2995">
        <v>0.708366721316947</v>
      </c>
      <c r="F2995">
        <v>0.27315503094184701</v>
      </c>
      <c r="G2995">
        <v>0.159931338957991</v>
      </c>
      <c r="H2995">
        <v>0.111377785816902</v>
      </c>
      <c r="I2995">
        <v>0.109892314873712</v>
      </c>
      <c r="J2995">
        <v>0.107221710232968</v>
      </c>
      <c r="K2995">
        <v>0.15079154980119899</v>
      </c>
      <c r="L2995">
        <v>1660.89368840768</v>
      </c>
      <c r="M2995">
        <v>32.6666301665975</v>
      </c>
      <c r="N2995">
        <v>51.268858027793101</v>
      </c>
      <c r="O2995">
        <v>50.654341757932698</v>
      </c>
      <c r="P2995">
        <v>-0.142095443353385</v>
      </c>
      <c r="Q2995">
        <v>0.118645883458986</v>
      </c>
      <c r="R2995">
        <v>0.98545675300613</v>
      </c>
      <c r="S2995" t="s">
        <v>6624</v>
      </c>
      <c r="T2995" t="s">
        <v>7256</v>
      </c>
      <c r="U2995" t="s">
        <v>7256</v>
      </c>
      <c r="V2995" t="s">
        <v>7256</v>
      </c>
      <c r="W2995">
        <v>11</v>
      </c>
      <c r="X2995" t="s">
        <v>10251</v>
      </c>
      <c r="Y2995">
        <v>0.44187634721095159</v>
      </c>
      <c r="Z2995" t="str">
        <f>HYPERLINK("Melting_Curves/meltCurve_sp_Q9Y5X3_SNX5_HUMAN_.pdf", "Melting_Curves/meltCurve_sp_Q9Y5X3_SNX5_HUMAN_.pdf")</f>
        <v>Melting_Curves/meltCurve_sp_Q9Y5X3_SNX5_HUMAN_.pdf</v>
      </c>
      <c r="AA2995" t="s">
        <v>13842</v>
      </c>
      <c r="AB2995" t="s">
        <v>17419</v>
      </c>
    </row>
    <row r="2996" spans="1:28" x14ac:dyDescent="0.25">
      <c r="A2996" t="s">
        <v>3000</v>
      </c>
      <c r="B2996">
        <v>0.98018197421672304</v>
      </c>
      <c r="C2996">
        <v>1.0224651998188901</v>
      </c>
      <c r="D2996">
        <v>0.96913063246660203</v>
      </c>
      <c r="E2996">
        <v>0.81753162832739501</v>
      </c>
      <c r="F2996">
        <v>0.87794126515698701</v>
      </c>
      <c r="G2996">
        <v>0.73253698245497201</v>
      </c>
      <c r="H2996">
        <v>0.55718266624104096</v>
      </c>
      <c r="I2996">
        <v>0.70221560928312399</v>
      </c>
      <c r="J2996">
        <v>0.77238733517735203</v>
      </c>
      <c r="K2996">
        <v>0.93279837219647299</v>
      </c>
      <c r="L2996">
        <v>1147.0595959028699</v>
      </c>
      <c r="M2996">
        <v>23.146401096129001</v>
      </c>
      <c r="O2996">
        <v>49.191259017057199</v>
      </c>
      <c r="P2996">
        <v>-2.9846853972774E-2</v>
      </c>
      <c r="Q2996">
        <v>0.74627977477353302</v>
      </c>
      <c r="R2996">
        <v>0.562276386840737</v>
      </c>
      <c r="S2996" t="s">
        <v>6625</v>
      </c>
      <c r="T2996" t="s">
        <v>7256</v>
      </c>
      <c r="U2996" t="s">
        <v>7256</v>
      </c>
      <c r="V2996" t="s">
        <v>7256</v>
      </c>
      <c r="W2996">
        <v>11</v>
      </c>
      <c r="X2996" t="s">
        <v>10252</v>
      </c>
      <c r="Y2996">
        <v>0.82974403053811818</v>
      </c>
      <c r="Z2996" t="str">
        <f>HYPERLINK("Melting_Curves/meltCurve_sp_Q9Y5Z4_HEBP2_HUMAN_.pdf", "Melting_Curves/meltCurve_sp_Q9Y5Z4_HEBP2_HUMAN_.pdf")</f>
        <v>Melting_Curves/meltCurve_sp_Q9Y5Z4_HEBP2_HUMAN_.pdf</v>
      </c>
      <c r="AA2996" t="s">
        <v>13843</v>
      </c>
      <c r="AB2996" t="s">
        <v>17420</v>
      </c>
    </row>
    <row r="2997" spans="1:28" x14ac:dyDescent="0.25">
      <c r="A2997" t="s">
        <v>3001</v>
      </c>
      <c r="B2997">
        <v>0.98018197421672304</v>
      </c>
      <c r="C2997">
        <v>0.96133826812309298</v>
      </c>
      <c r="D2997">
        <v>0.85721041164603595</v>
      </c>
      <c r="E2997">
        <v>0.71611639055249399</v>
      </c>
      <c r="F2997">
        <v>0.59069964624468096</v>
      </c>
      <c r="G2997">
        <v>0.455019941955979</v>
      </c>
      <c r="H2997">
        <v>0.38753073404114102</v>
      </c>
      <c r="I2997">
        <v>0.38739131170348201</v>
      </c>
      <c r="J2997">
        <v>0.44922534756308102</v>
      </c>
      <c r="K2997">
        <v>0.487744553800179</v>
      </c>
      <c r="L2997">
        <v>837.31528469065495</v>
      </c>
      <c r="M2997">
        <v>16.821808819524001</v>
      </c>
      <c r="N2997">
        <v>55.666881619105702</v>
      </c>
      <c r="O2997">
        <v>49.08811224406</v>
      </c>
      <c r="P2997">
        <v>-5.0060701898620198E-2</v>
      </c>
      <c r="Q2997">
        <v>0.41570445367548198</v>
      </c>
      <c r="R2997">
        <v>0.97589823686981803</v>
      </c>
      <c r="S2997" t="s">
        <v>6626</v>
      </c>
      <c r="T2997" t="s">
        <v>7256</v>
      </c>
      <c r="U2997" t="s">
        <v>7256</v>
      </c>
      <c r="V2997" t="s">
        <v>7256</v>
      </c>
      <c r="W2997">
        <v>10</v>
      </c>
      <c r="X2997" t="s">
        <v>10253</v>
      </c>
      <c r="Y2997">
        <v>0.61746557885742115</v>
      </c>
      <c r="Z2997" t="str">
        <f>HYPERLINK("Melting_Curves/meltCurve_sp_Q9Y608_4_LRRF2_HUMAN_.pdf", "Melting_Curves/meltCurve_sp_Q9Y608_4_LRRF2_HUMAN_.pdf")</f>
        <v>Melting_Curves/meltCurve_sp_Q9Y608_4_LRRF2_HUMAN_.pdf</v>
      </c>
      <c r="AA2997" t="s">
        <v>13844</v>
      </c>
      <c r="AB2997" t="s">
        <v>17421</v>
      </c>
    </row>
    <row r="2998" spans="1:28" x14ac:dyDescent="0.25">
      <c r="A2998" t="s">
        <v>3002</v>
      </c>
      <c r="B2998">
        <v>0.98018197421672304</v>
      </c>
      <c r="C2998">
        <v>0.96624306396874504</v>
      </c>
      <c r="D2998">
        <v>0.94633155017544202</v>
      </c>
      <c r="E2998">
        <v>0.83967986951898099</v>
      </c>
      <c r="F2998">
        <v>0.795918004007939</v>
      </c>
      <c r="G2998">
        <v>0.66832338395074198</v>
      </c>
      <c r="H2998">
        <v>0.342181211882856</v>
      </c>
      <c r="I2998">
        <v>0.19697593086578899</v>
      </c>
      <c r="J2998">
        <v>9.23301467864861E-2</v>
      </c>
      <c r="K2998">
        <v>6.2228243416394401E-2</v>
      </c>
      <c r="L2998">
        <v>860.72722378309402</v>
      </c>
      <c r="M2998">
        <v>14.744580673024201</v>
      </c>
      <c r="N2998">
        <v>58.375836266168001</v>
      </c>
      <c r="O2998">
        <v>57.333591590632501</v>
      </c>
      <c r="P2998">
        <v>-6.4299887385814603E-2</v>
      </c>
      <c r="Q2998">
        <v>0</v>
      </c>
      <c r="R2998">
        <v>0.98574098850988601</v>
      </c>
      <c r="S2998" t="s">
        <v>6627</v>
      </c>
      <c r="T2998" t="s">
        <v>7256</v>
      </c>
      <c r="U2998" t="s">
        <v>7256</v>
      </c>
      <c r="V2998" t="s">
        <v>7256</v>
      </c>
      <c r="W2998">
        <v>18</v>
      </c>
      <c r="X2998" t="s">
        <v>10254</v>
      </c>
      <c r="Y2998">
        <v>0.62491019883410504</v>
      </c>
      <c r="Z2998" t="str">
        <f>HYPERLINK("Melting_Curves/meltCurve_sp_Q9Y617_SERC_HUMAN_.pdf", "Melting_Curves/meltCurve_sp_Q9Y617_SERC_HUMAN_.pdf")</f>
        <v>Melting_Curves/meltCurve_sp_Q9Y617_SERC_HUMAN_.pdf</v>
      </c>
      <c r="AA2998" t="s">
        <v>13845</v>
      </c>
      <c r="AB2998" t="s">
        <v>17422</v>
      </c>
    </row>
    <row r="2999" spans="1:28" x14ac:dyDescent="0.25">
      <c r="A2999" t="s">
        <v>3003</v>
      </c>
      <c r="B2999">
        <v>0.98018197421672304</v>
      </c>
      <c r="C2999">
        <v>0.73096198838815996</v>
      </c>
      <c r="D2999">
        <v>0.98370582014321895</v>
      </c>
      <c r="E2999">
        <v>0.80469221517649003</v>
      </c>
      <c r="F2999">
        <v>0.71787963525964704</v>
      </c>
      <c r="G2999">
        <v>0.49985173366900698</v>
      </c>
      <c r="H2999">
        <v>0.37203549595483598</v>
      </c>
      <c r="I2999">
        <v>0.34852088248542301</v>
      </c>
      <c r="J2999">
        <v>0.27480065653163299</v>
      </c>
      <c r="K2999">
        <v>0.25086762510508198</v>
      </c>
      <c r="L2999">
        <v>455.60034288411401</v>
      </c>
      <c r="M2999">
        <v>7.9392593933105697</v>
      </c>
      <c r="N2999">
        <v>58.099850972536302</v>
      </c>
      <c r="O2999">
        <v>54.087680355503302</v>
      </c>
      <c r="P2999">
        <v>-3.5031115538015203E-2</v>
      </c>
      <c r="Q2999">
        <v>4.6485661601490001E-2</v>
      </c>
      <c r="R2999">
        <v>0.91662347866330296</v>
      </c>
      <c r="S2999" t="s">
        <v>6628</v>
      </c>
      <c r="T2999" t="s">
        <v>7256</v>
      </c>
      <c r="U2999" t="s">
        <v>7256</v>
      </c>
      <c r="V2999" t="s">
        <v>7256</v>
      </c>
      <c r="W2999">
        <v>8</v>
      </c>
      <c r="X2999" t="s">
        <v>10255</v>
      </c>
      <c r="Y2999">
        <v>0.60727127710379392</v>
      </c>
      <c r="Z2999" t="str">
        <f>HYPERLINK("Melting_Curves/meltCurve_sp_Q9Y646_CBPQ_HUMAN_.pdf", "Melting_Curves/meltCurve_sp_Q9Y646_CBPQ_HUMAN_.pdf")</f>
        <v>Melting_Curves/meltCurve_sp_Q9Y646_CBPQ_HUMAN_.pdf</v>
      </c>
      <c r="AA2999" t="s">
        <v>13846</v>
      </c>
      <c r="AB2999" t="s">
        <v>17423</v>
      </c>
    </row>
    <row r="3000" spans="1:28" x14ac:dyDescent="0.25">
      <c r="A3000" t="s">
        <v>3004</v>
      </c>
      <c r="B3000">
        <v>0.98018197421672304</v>
      </c>
      <c r="C3000">
        <v>0.91377601359617899</v>
      </c>
      <c r="D3000">
        <v>0.90420056254816195</v>
      </c>
      <c r="E3000">
        <v>0.66260541395948602</v>
      </c>
      <c r="F3000">
        <v>0.32532867011045202</v>
      </c>
      <c r="G3000">
        <v>0.11895214181238201</v>
      </c>
      <c r="H3000">
        <v>5.7415917039412699E-2</v>
      </c>
      <c r="I3000">
        <v>4.0911347002875603E-2</v>
      </c>
      <c r="J3000">
        <v>4.6068950615918099E-2</v>
      </c>
      <c r="K3000">
        <v>2.9479101014983598E-2</v>
      </c>
      <c r="L3000">
        <v>1089.98903720772</v>
      </c>
      <c r="M3000">
        <v>21.2977889661063</v>
      </c>
      <c r="N3000">
        <v>51.314690937846699</v>
      </c>
      <c r="O3000">
        <v>50.733708487779701</v>
      </c>
      <c r="P3000">
        <v>-0.102067803143812</v>
      </c>
      <c r="Q3000">
        <v>2.7476985396367701E-2</v>
      </c>
      <c r="R3000">
        <v>0.99546026346301397</v>
      </c>
      <c r="S3000" t="s">
        <v>6629</v>
      </c>
      <c r="T3000" t="s">
        <v>7256</v>
      </c>
      <c r="U3000" t="s">
        <v>7256</v>
      </c>
      <c r="V3000" t="s">
        <v>7256</v>
      </c>
      <c r="W3000">
        <v>30</v>
      </c>
      <c r="X3000" t="s">
        <v>10256</v>
      </c>
      <c r="Y3000">
        <v>0.4018482943149827</v>
      </c>
      <c r="Z3000" t="str">
        <f>HYPERLINK("Melting_Curves/meltCurve_sp_Q9Y678_COPG1_HUMAN_.pdf", "Melting_Curves/meltCurve_sp_Q9Y678_COPG1_HUMAN_.pdf")</f>
        <v>Melting_Curves/meltCurve_sp_Q9Y678_COPG1_HUMAN_.pdf</v>
      </c>
      <c r="AA3000" t="s">
        <v>13847</v>
      </c>
      <c r="AB3000" t="s">
        <v>17424</v>
      </c>
    </row>
    <row r="3001" spans="1:28" x14ac:dyDescent="0.25">
      <c r="A3001" t="s">
        <v>3005</v>
      </c>
      <c r="B3001">
        <v>0.98018197421672304</v>
      </c>
      <c r="C3001">
        <v>0.94569487749684999</v>
      </c>
      <c r="D3001">
        <v>0.87240426096440105</v>
      </c>
      <c r="E3001">
        <v>0.69090770444116201</v>
      </c>
      <c r="F3001">
        <v>0.57638325173024196</v>
      </c>
      <c r="G3001">
        <v>0.39824446255718698</v>
      </c>
      <c r="H3001">
        <v>0.29103519344756001</v>
      </c>
      <c r="I3001">
        <v>0.25807166994707098</v>
      </c>
      <c r="J3001">
        <v>0.23554567805577101</v>
      </c>
      <c r="K3001">
        <v>0.29416345079154499</v>
      </c>
      <c r="L3001">
        <v>692.23918198757201</v>
      </c>
      <c r="M3001">
        <v>13.3763259085509</v>
      </c>
      <c r="N3001">
        <v>54.126518391161902</v>
      </c>
      <c r="O3001">
        <v>50.635480932988301</v>
      </c>
      <c r="P3001">
        <v>-5.1387910818325798E-2</v>
      </c>
      <c r="Q3001">
        <v>0.22201646865512301</v>
      </c>
      <c r="R3001">
        <v>0.99426549141286102</v>
      </c>
      <c r="S3001" t="s">
        <v>6630</v>
      </c>
      <c r="T3001" t="s">
        <v>7256</v>
      </c>
      <c r="U3001" t="s">
        <v>7256</v>
      </c>
      <c r="V3001" t="s">
        <v>7256</v>
      </c>
      <c r="W3001">
        <v>4</v>
      </c>
      <c r="X3001" t="s">
        <v>10257</v>
      </c>
      <c r="Y3001">
        <v>0.54758751172677789</v>
      </c>
      <c r="Z3001" t="str">
        <f>HYPERLINK("Melting_Curves/meltCurve_sp_Q9Y680_3_FKBP7_HUMAN_.pdf", "Melting_Curves/meltCurve_sp_Q9Y680_3_FKBP7_HUMAN_.pdf")</f>
        <v>Melting_Curves/meltCurve_sp_Q9Y680_3_FKBP7_HUMAN_.pdf</v>
      </c>
      <c r="AA3001" t="s">
        <v>13848</v>
      </c>
      <c r="AB3001" t="s">
        <v>17425</v>
      </c>
    </row>
    <row r="3002" spans="1:28" x14ac:dyDescent="0.25">
      <c r="A3002" t="s">
        <v>3006</v>
      </c>
      <c r="B3002">
        <v>0.98018197421672304</v>
      </c>
      <c r="C3002">
        <v>1.0581481142992699</v>
      </c>
      <c r="D3002">
        <v>0.97195962583593198</v>
      </c>
      <c r="E3002">
        <v>0.78508575620231702</v>
      </c>
      <c r="F3002">
        <v>0.64126623539163896</v>
      </c>
      <c r="G3002">
        <v>0.21782482825598501</v>
      </c>
      <c r="H3002">
        <v>8.2003129264086802E-2</v>
      </c>
      <c r="I3002">
        <v>5.61935391430134E-2</v>
      </c>
      <c r="J3002">
        <v>6.5346658539468805E-2</v>
      </c>
      <c r="K3002">
        <v>4.1474818803336901E-2</v>
      </c>
      <c r="L3002">
        <v>1174.9280676691501</v>
      </c>
      <c r="M3002">
        <v>21.869671451478801</v>
      </c>
      <c r="N3002">
        <v>53.882982045129303</v>
      </c>
      <c r="O3002">
        <v>53.2809397178859</v>
      </c>
      <c r="P3002">
        <v>-9.9412692195387897E-2</v>
      </c>
      <c r="Q3002">
        <v>3.1228135768381599E-2</v>
      </c>
      <c r="R3002">
        <v>0.99312392147337702</v>
      </c>
      <c r="S3002" t="s">
        <v>6631</v>
      </c>
      <c r="T3002" t="s">
        <v>7256</v>
      </c>
      <c r="U3002" t="s">
        <v>7256</v>
      </c>
      <c r="V3002" t="s">
        <v>7256</v>
      </c>
      <c r="W3002">
        <v>11</v>
      </c>
      <c r="X3002" t="s">
        <v>10258</v>
      </c>
      <c r="Y3002">
        <v>0.48578427445446531</v>
      </c>
      <c r="Z3002" t="str">
        <f>HYPERLINK("Melting_Curves/meltCurve_sp_Q9Y696_CLIC4_HUMAN_.pdf", "Melting_Curves/meltCurve_sp_Q9Y696_CLIC4_HUMAN_.pdf")</f>
        <v>Melting_Curves/meltCurve_sp_Q9Y696_CLIC4_HUMAN_.pdf</v>
      </c>
      <c r="AA3002" t="s">
        <v>13849</v>
      </c>
      <c r="AB3002" t="s">
        <v>17426</v>
      </c>
    </row>
    <row r="3003" spans="1:28" x14ac:dyDescent="0.25">
      <c r="A3003" t="s">
        <v>3007</v>
      </c>
      <c r="B3003">
        <v>0.98018197421672304</v>
      </c>
      <c r="C3003">
        <v>0.90848577934480601</v>
      </c>
      <c r="D3003">
        <v>0.83334460180772396</v>
      </c>
      <c r="E3003">
        <v>0.66162570491205697</v>
      </c>
      <c r="F3003">
        <v>0.413174479819164</v>
      </c>
      <c r="G3003">
        <v>0.26766775331562098</v>
      </c>
      <c r="H3003">
        <v>0.15504660033645301</v>
      </c>
      <c r="I3003">
        <v>9.0153066720084302E-2</v>
      </c>
      <c r="J3003">
        <v>7.7190083595797807E-2</v>
      </c>
      <c r="K3003">
        <v>7.0951631818593902E-2</v>
      </c>
      <c r="L3003">
        <v>658.99725719880496</v>
      </c>
      <c r="M3003">
        <v>12.713969047942401</v>
      </c>
      <c r="N3003">
        <v>52.046505417618498</v>
      </c>
      <c r="O3003">
        <v>50.600416413459698</v>
      </c>
      <c r="P3003">
        <v>-6.1227851453738498E-2</v>
      </c>
      <c r="Q3003">
        <v>2.5463072597324499E-2</v>
      </c>
      <c r="R3003">
        <v>0.99704619111914194</v>
      </c>
      <c r="S3003" t="s">
        <v>6632</v>
      </c>
      <c r="T3003" t="s">
        <v>7256</v>
      </c>
      <c r="U3003" t="s">
        <v>7256</v>
      </c>
      <c r="V3003" t="s">
        <v>7256</v>
      </c>
      <c r="W3003">
        <v>12</v>
      </c>
      <c r="X3003" t="s">
        <v>10259</v>
      </c>
      <c r="Y3003">
        <v>0.43774602539726021</v>
      </c>
      <c r="Z3003" t="str">
        <f>HYPERLINK("Melting_Curves/meltCurve_sp_Q9Y697_2_NFS1_HUMAN_.pdf", "Melting_Curves/meltCurve_sp_Q9Y697_2_NFS1_HUMAN_.pdf")</f>
        <v>Melting_Curves/meltCurve_sp_Q9Y697_2_NFS1_HUMAN_.pdf</v>
      </c>
      <c r="AA3003" t="s">
        <v>13850</v>
      </c>
      <c r="AB3003" t="s">
        <v>17427</v>
      </c>
    </row>
    <row r="3004" spans="1:28" x14ac:dyDescent="0.25">
      <c r="A3004" t="s">
        <v>3008</v>
      </c>
      <c r="B3004">
        <v>0.98018197421672304</v>
      </c>
      <c r="C3004">
        <v>0.94839241288906695</v>
      </c>
      <c r="D3004">
        <v>0.838052189620072</v>
      </c>
      <c r="E3004">
        <v>0.46128363248906001</v>
      </c>
      <c r="F3004">
        <v>0.204702355606078</v>
      </c>
      <c r="G3004">
        <v>0.12783115748670101</v>
      </c>
      <c r="H3004">
        <v>8.8246246552645999E-2</v>
      </c>
      <c r="I3004">
        <v>6.2737269199326401E-2</v>
      </c>
      <c r="J3004">
        <v>5.9159083441077003E-2</v>
      </c>
      <c r="K3004">
        <v>4.7880266129103601E-2</v>
      </c>
      <c r="L3004">
        <v>1064.7483597560499</v>
      </c>
      <c r="M3004">
        <v>21.621649865093399</v>
      </c>
      <c r="N3004">
        <v>49.5361529129665</v>
      </c>
      <c r="O3004">
        <v>48.829100858761201</v>
      </c>
      <c r="P3004">
        <v>-0.104088004689891</v>
      </c>
      <c r="Q3004">
        <v>5.9756628576764198E-2</v>
      </c>
      <c r="R3004">
        <v>0.998689624868218</v>
      </c>
      <c r="S3004" t="s">
        <v>6633</v>
      </c>
      <c r="T3004" t="s">
        <v>7256</v>
      </c>
      <c r="U3004" t="s">
        <v>7256</v>
      </c>
      <c r="V3004" t="s">
        <v>7256</v>
      </c>
      <c r="W3004">
        <v>20</v>
      </c>
      <c r="X3004" t="s">
        <v>10260</v>
      </c>
      <c r="Y3004">
        <v>0.360720053187217</v>
      </c>
      <c r="Z3004" t="str">
        <f>HYPERLINK("Melting_Curves/meltCurve_sp_Q9Y6D5_BIG2_HUMAN_.pdf", "Melting_Curves/meltCurve_sp_Q9Y6D5_BIG2_HUMAN_.pdf")</f>
        <v>Melting_Curves/meltCurve_sp_Q9Y6D5_BIG2_HUMAN_.pdf</v>
      </c>
      <c r="AA3004" t="s">
        <v>13851</v>
      </c>
      <c r="AB3004" t="s">
        <v>17428</v>
      </c>
    </row>
    <row r="3005" spans="1:28" x14ac:dyDescent="0.25">
      <c r="A3005" t="s">
        <v>3009</v>
      </c>
      <c r="B3005">
        <v>0.98018197421672304</v>
      </c>
      <c r="C3005">
        <v>0.92256439309462701</v>
      </c>
      <c r="D3005">
        <v>0.77628527356557198</v>
      </c>
      <c r="E3005">
        <v>0.59660047274785499</v>
      </c>
      <c r="F3005">
        <v>0.31755760989951398</v>
      </c>
      <c r="G3005">
        <v>0.18644881203748301</v>
      </c>
      <c r="H3005">
        <v>0.15915259558411499</v>
      </c>
      <c r="I3005">
        <v>9.7295911155856701E-2</v>
      </c>
      <c r="J3005">
        <v>0.39329710229424703</v>
      </c>
      <c r="K3005">
        <v>8.1210687912314297E-2</v>
      </c>
      <c r="L3005">
        <v>865.87165961409596</v>
      </c>
      <c r="M3005">
        <v>17.574556288614801</v>
      </c>
      <c r="N3005">
        <v>50.376868832839598</v>
      </c>
      <c r="O3005">
        <v>48.643859319936503</v>
      </c>
      <c r="P3005">
        <v>-7.58440632880472E-2</v>
      </c>
      <c r="Q3005">
        <v>0.16034342786108699</v>
      </c>
      <c r="R3005">
        <v>0.93053624489444098</v>
      </c>
      <c r="S3005" t="s">
        <v>6634</v>
      </c>
      <c r="T3005" t="s">
        <v>7256</v>
      </c>
      <c r="U3005" t="s">
        <v>7256</v>
      </c>
      <c r="V3005" t="s">
        <v>7256</v>
      </c>
      <c r="W3005">
        <v>13</v>
      </c>
      <c r="X3005" t="s">
        <v>10261</v>
      </c>
      <c r="Y3005">
        <v>0.43492455431924798</v>
      </c>
      <c r="Z3005" t="str">
        <f>HYPERLINK("Melting_Curves/meltCurve_sp_Q9Y6D6_BIG1_HUMAN_.pdf", "Melting_Curves/meltCurve_sp_Q9Y6D6_BIG1_HUMAN_.pdf")</f>
        <v>Melting_Curves/meltCurve_sp_Q9Y6D6_BIG1_HUMAN_.pdf</v>
      </c>
      <c r="AA3005" t="s">
        <v>13852</v>
      </c>
      <c r="AB3005" t="s">
        <v>17429</v>
      </c>
    </row>
    <row r="3006" spans="1:28" x14ac:dyDescent="0.25">
      <c r="A3006" t="s">
        <v>3010</v>
      </c>
      <c r="B3006">
        <v>0.98018197421672304</v>
      </c>
      <c r="C3006">
        <v>1.0447158580370499</v>
      </c>
      <c r="D3006">
        <v>0.959639391213997</v>
      </c>
      <c r="E3006">
        <v>0.80749858952500597</v>
      </c>
      <c r="F3006">
        <v>0.61615444129233599</v>
      </c>
      <c r="G3006">
        <v>0.29813296866664302</v>
      </c>
      <c r="H3006">
        <v>0.12559206612551799</v>
      </c>
      <c r="I3006">
        <v>6.2242357346791503E-2</v>
      </c>
      <c r="J3006">
        <v>3.5956163198307398E-2</v>
      </c>
      <c r="K3006">
        <v>2.7247600063106801E-2</v>
      </c>
      <c r="L3006">
        <v>974.95138375935699</v>
      </c>
      <c r="M3006">
        <v>17.9728737630147</v>
      </c>
      <c r="N3006">
        <v>54.2809856083393</v>
      </c>
      <c r="O3006">
        <v>53.587532522093099</v>
      </c>
      <c r="P3006">
        <v>-8.3365583139104193E-2</v>
      </c>
      <c r="Q3006">
        <v>5.8052384702774896E-3</v>
      </c>
      <c r="R3006">
        <v>0.99787343145483398</v>
      </c>
      <c r="S3006" t="s">
        <v>6635</v>
      </c>
      <c r="T3006" t="s">
        <v>7256</v>
      </c>
      <c r="U3006" t="s">
        <v>7256</v>
      </c>
      <c r="V3006" t="s">
        <v>7256</v>
      </c>
      <c r="W3006">
        <v>2</v>
      </c>
      <c r="X3006" t="s">
        <v>10262</v>
      </c>
      <c r="Y3006">
        <v>0.49373423263763949</v>
      </c>
      <c r="Z3006" t="str">
        <f>HYPERLINK("Melting_Curves/meltCurve_sp_Q9Y6G5_COMDA_HUMAN_.pdf", "Melting_Curves/meltCurve_sp_Q9Y6G5_COMDA_HUMAN_.pdf")</f>
        <v>Melting_Curves/meltCurve_sp_Q9Y6G5_COMDA_HUMAN_.pdf</v>
      </c>
      <c r="AA3006" t="s">
        <v>13853</v>
      </c>
      <c r="AB3006" t="s">
        <v>17430</v>
      </c>
    </row>
    <row r="3007" spans="1:28" x14ac:dyDescent="0.25">
      <c r="A3007" t="s">
        <v>3011</v>
      </c>
      <c r="B3007">
        <v>0.98018197421672304</v>
      </c>
      <c r="C3007">
        <v>0.96757803913441798</v>
      </c>
      <c r="D3007">
        <v>0.85324891824275195</v>
      </c>
      <c r="E3007">
        <v>0.46041521179361999</v>
      </c>
      <c r="F3007">
        <v>0.29350846927761098</v>
      </c>
      <c r="G3007">
        <v>0.16955911793473</v>
      </c>
      <c r="H3007">
        <v>0.113213842286244</v>
      </c>
      <c r="I3007">
        <v>8.4241041026797997E-2</v>
      </c>
      <c r="J3007">
        <v>8.01658690528773E-2</v>
      </c>
      <c r="K3007">
        <v>8.0263679280002304E-2</v>
      </c>
      <c r="L3007">
        <v>984.34012229360201</v>
      </c>
      <c r="M3007">
        <v>19.9090151800896</v>
      </c>
      <c r="N3007">
        <v>49.912421239076799</v>
      </c>
      <c r="O3007">
        <v>48.9512133987621</v>
      </c>
      <c r="P3007">
        <v>-9.2981835492272999E-2</v>
      </c>
      <c r="Q3007">
        <v>8.5555406258736894E-2</v>
      </c>
      <c r="R3007">
        <v>0.99781300861035305</v>
      </c>
      <c r="S3007" t="s">
        <v>6636</v>
      </c>
      <c r="T3007" t="s">
        <v>7256</v>
      </c>
      <c r="U3007" t="s">
        <v>7256</v>
      </c>
      <c r="V3007" t="s">
        <v>7256</v>
      </c>
      <c r="W3007">
        <v>6</v>
      </c>
      <c r="X3007" t="s">
        <v>10263</v>
      </c>
      <c r="Y3007">
        <v>0.38624166154029288</v>
      </c>
      <c r="Z3007" t="str">
        <f>HYPERLINK("Melting_Curves/meltCurve_sp_Q9Y6G9_DC1L1_HUMAN_.pdf", "Melting_Curves/meltCurve_sp_Q9Y6G9_DC1L1_HUMAN_.pdf")</f>
        <v>Melting_Curves/meltCurve_sp_Q9Y6G9_DC1L1_HUMAN_.pdf</v>
      </c>
      <c r="AA3007" t="s">
        <v>13854</v>
      </c>
      <c r="AB3007" t="s">
        <v>17431</v>
      </c>
    </row>
    <row r="3008" spans="1:28" x14ac:dyDescent="0.25">
      <c r="A3008" t="s">
        <v>3012</v>
      </c>
      <c r="B3008">
        <v>0.98018197421672304</v>
      </c>
      <c r="C3008">
        <v>1.0182433244650599</v>
      </c>
      <c r="D3008">
        <v>0.96183076077956597</v>
      </c>
      <c r="E3008">
        <v>0.86153179596959895</v>
      </c>
      <c r="F3008">
        <v>0.578042946128974</v>
      </c>
      <c r="G3008">
        <v>0.36554697159528099</v>
      </c>
      <c r="H3008">
        <v>0.52622827752252999</v>
      </c>
      <c r="I3008">
        <v>0.54458552358794499</v>
      </c>
      <c r="J3008">
        <v>0.62790031107964805</v>
      </c>
      <c r="K3008">
        <v>0.80689829263559598</v>
      </c>
      <c r="L3008">
        <v>4814.0896808819198</v>
      </c>
      <c r="M3008">
        <v>95.552282151308205</v>
      </c>
      <c r="O3008">
        <v>50.359678740653997</v>
      </c>
      <c r="P3008">
        <v>-0.20195858005227399</v>
      </c>
      <c r="Q3008">
        <v>0.57424069226742602</v>
      </c>
      <c r="R3008">
        <v>0.77209620434110204</v>
      </c>
      <c r="S3008" t="s">
        <v>6637</v>
      </c>
      <c r="T3008" t="s">
        <v>7256</v>
      </c>
      <c r="U3008" t="s">
        <v>7256</v>
      </c>
      <c r="V3008" t="s">
        <v>7256</v>
      </c>
      <c r="W3008">
        <v>4</v>
      </c>
      <c r="X3008" t="s">
        <v>10264</v>
      </c>
      <c r="Y3008">
        <v>0.72183605507047544</v>
      </c>
      <c r="Z3008" t="str">
        <f>HYPERLINK("Melting_Curves/meltCurve_sp_Q9Y6H1_CHCH2_HUMAN_.pdf", "Melting_Curves/meltCurve_sp_Q9Y6H1_CHCH2_HUMAN_.pdf")</f>
        <v>Melting_Curves/meltCurve_sp_Q9Y6H1_CHCH2_HUMAN_.pdf</v>
      </c>
      <c r="AA3008" t="s">
        <v>13855</v>
      </c>
      <c r="AB3008" t="s">
        <v>17432</v>
      </c>
    </row>
    <row r="3009" spans="1:28" x14ac:dyDescent="0.25">
      <c r="A3009" t="s">
        <v>3013</v>
      </c>
      <c r="B3009">
        <v>0.98018197421672304</v>
      </c>
      <c r="C3009">
        <v>0.90238647978101605</v>
      </c>
      <c r="D3009">
        <v>0.87059892996869703</v>
      </c>
      <c r="E3009">
        <v>0.73577900435161603</v>
      </c>
      <c r="F3009">
        <v>0.512393752548579</v>
      </c>
      <c r="G3009">
        <v>0.27551492673163203</v>
      </c>
      <c r="H3009">
        <v>0.16992072335678099</v>
      </c>
      <c r="I3009">
        <v>0.120605021954464</v>
      </c>
      <c r="J3009">
        <v>0.116990317405796</v>
      </c>
      <c r="K3009">
        <v>0.12676634722713201</v>
      </c>
      <c r="L3009">
        <v>760.76380604192104</v>
      </c>
      <c r="M3009">
        <v>14.492119651414599</v>
      </c>
      <c r="N3009">
        <v>53.081505307857299</v>
      </c>
      <c r="O3009">
        <v>51.525814113357001</v>
      </c>
      <c r="P3009">
        <v>-6.5120364368872197E-2</v>
      </c>
      <c r="Q3009">
        <v>7.3981686915619196E-2</v>
      </c>
      <c r="R3009">
        <v>0.99327135317124904</v>
      </c>
      <c r="S3009" t="s">
        <v>6638</v>
      </c>
      <c r="T3009" t="s">
        <v>7256</v>
      </c>
      <c r="U3009" t="s">
        <v>7256</v>
      </c>
      <c r="V3009" t="s">
        <v>7256</v>
      </c>
      <c r="W3009">
        <v>6</v>
      </c>
      <c r="X3009" t="s">
        <v>10265</v>
      </c>
      <c r="Y3009">
        <v>0.4810376160558158</v>
      </c>
      <c r="Z3009" t="str">
        <f>HYPERLINK("Melting_Curves/meltCurve_sp_Q9Y6I3_3_EPN1_HUMAN_.pdf", "Melting_Curves/meltCurve_sp_Q9Y6I3_3_EPN1_HUMAN_.pdf")</f>
        <v>Melting_Curves/meltCurve_sp_Q9Y6I3_3_EPN1_HUMAN_.pdf</v>
      </c>
      <c r="AA3009" t="s">
        <v>13856</v>
      </c>
      <c r="AB3009" t="s">
        <v>17433</v>
      </c>
    </row>
    <row r="3010" spans="1:28" x14ac:dyDescent="0.25">
      <c r="A3010" t="s">
        <v>3014</v>
      </c>
      <c r="B3010">
        <v>0.98018197421672304</v>
      </c>
      <c r="C3010">
        <v>0.98074759066637895</v>
      </c>
      <c r="D3010">
        <v>0.79666083102733298</v>
      </c>
      <c r="E3010">
        <v>0.73626157182124397</v>
      </c>
      <c r="F3010">
        <v>0.62320143392062299</v>
      </c>
      <c r="G3010">
        <v>0.55212725181801103</v>
      </c>
      <c r="H3010">
        <v>0.38406309036110098</v>
      </c>
      <c r="I3010">
        <v>0.41610111377726999</v>
      </c>
      <c r="J3010">
        <v>0.50565603925098201</v>
      </c>
      <c r="K3010">
        <v>0.78751865055966896</v>
      </c>
      <c r="L3010">
        <v>839.46439691045202</v>
      </c>
      <c r="M3010">
        <v>17.459936302558699</v>
      </c>
      <c r="O3010">
        <v>47.462051728591497</v>
      </c>
      <c r="P3010">
        <v>-4.3559510050182701E-2</v>
      </c>
      <c r="Q3010">
        <v>0.52638793941654505</v>
      </c>
      <c r="R3010">
        <v>0.73102470777749895</v>
      </c>
      <c r="S3010" t="s">
        <v>6639</v>
      </c>
      <c r="T3010" t="s">
        <v>7256</v>
      </c>
      <c r="U3010" t="s">
        <v>7256</v>
      </c>
      <c r="V3010" t="s">
        <v>7256</v>
      </c>
      <c r="W3010">
        <v>1</v>
      </c>
      <c r="X3010" t="s">
        <v>10266</v>
      </c>
      <c r="Y3010">
        <v>0.66286910531303322</v>
      </c>
      <c r="Z3010" t="str">
        <f>HYPERLINK("Melting_Curves/meltCurve_sp_Q9Y6I9_TX264_HUMAN_.pdf", "Melting_Curves/meltCurve_sp_Q9Y6I9_TX264_HUMAN_.pdf")</f>
        <v>Melting_Curves/meltCurve_sp_Q9Y6I9_TX264_HUMAN_.pdf</v>
      </c>
      <c r="AA3010" t="s">
        <v>13857</v>
      </c>
      <c r="AB3010" t="s">
        <v>17434</v>
      </c>
    </row>
    <row r="3011" spans="1:28" x14ac:dyDescent="0.25">
      <c r="A3011" t="s">
        <v>3015</v>
      </c>
      <c r="B3011">
        <v>0.98018197421672304</v>
      </c>
      <c r="C3011">
        <v>0.94068649697404005</v>
      </c>
      <c r="D3011">
        <v>0.871109776085497</v>
      </c>
      <c r="E3011">
        <v>0.44177909808209298</v>
      </c>
      <c r="F3011">
        <v>0.101502567104703</v>
      </c>
      <c r="G3011">
        <v>7.7993599749792697E-2</v>
      </c>
      <c r="H3011">
        <v>0.100022636038681</v>
      </c>
      <c r="I3011">
        <v>4.4594950696196803E-2</v>
      </c>
      <c r="J3011">
        <v>0.17721441466815399</v>
      </c>
      <c r="K3011">
        <v>3.9448920049103602E-2</v>
      </c>
      <c r="L3011">
        <v>1506.93365215329</v>
      </c>
      <c r="M3011">
        <v>30.727011119481102</v>
      </c>
      <c r="N3011">
        <v>49.313243506691101</v>
      </c>
      <c r="O3011">
        <v>48.8363173515258</v>
      </c>
      <c r="P3011">
        <v>-0.14509371556563</v>
      </c>
      <c r="Q3011">
        <v>7.7580212383328406E-2</v>
      </c>
      <c r="R3011">
        <v>0.98532798263006505</v>
      </c>
      <c r="S3011" t="s">
        <v>6640</v>
      </c>
      <c r="T3011" t="s">
        <v>7256</v>
      </c>
      <c r="U3011" t="s">
        <v>7256</v>
      </c>
      <c r="V3011" t="s">
        <v>7256</v>
      </c>
      <c r="W3011">
        <v>3</v>
      </c>
      <c r="X3011" t="s">
        <v>10267</v>
      </c>
      <c r="Y3011">
        <v>0.36096972037201319</v>
      </c>
      <c r="Z3011" t="str">
        <f>HYPERLINK("Melting_Curves/meltCurve_sp_Q9Y6K5_OAS3_HUMAN_.pdf", "Melting_Curves/meltCurve_sp_Q9Y6K5_OAS3_HUMAN_.pdf")</f>
        <v>Melting_Curves/meltCurve_sp_Q9Y6K5_OAS3_HUMAN_.pdf</v>
      </c>
      <c r="AA3011" t="s">
        <v>13858</v>
      </c>
      <c r="AB3011" t="s">
        <v>17435</v>
      </c>
    </row>
    <row r="3012" spans="1:28" x14ac:dyDescent="0.25">
      <c r="A3012" t="s">
        <v>3016</v>
      </c>
      <c r="B3012">
        <v>0.98018197421672304</v>
      </c>
      <c r="C3012">
        <v>0.86585357841444499</v>
      </c>
      <c r="D3012">
        <v>0.70391355769267305</v>
      </c>
      <c r="E3012">
        <v>0.57937157975449505</v>
      </c>
      <c r="F3012">
        <v>0.60105944534892897</v>
      </c>
      <c r="G3012">
        <v>0.47239948891580302</v>
      </c>
      <c r="H3012">
        <v>0.38934801686781201</v>
      </c>
      <c r="I3012">
        <v>0.458812219676828</v>
      </c>
      <c r="J3012">
        <v>0.467650304979911</v>
      </c>
      <c r="K3012">
        <v>0.50448372043581802</v>
      </c>
      <c r="L3012">
        <v>681.52767208606394</v>
      </c>
      <c r="M3012">
        <v>14.7805683458877</v>
      </c>
      <c r="N3012">
        <v>55.222625221395496</v>
      </c>
      <c r="O3012">
        <v>45.290324281440903</v>
      </c>
      <c r="P3012">
        <v>-4.43574699330389E-2</v>
      </c>
      <c r="Q3012">
        <v>0.45638077323290899</v>
      </c>
      <c r="R3012">
        <v>0.95063734093708896</v>
      </c>
      <c r="S3012" t="s">
        <v>6641</v>
      </c>
      <c r="T3012" t="s">
        <v>7256</v>
      </c>
      <c r="U3012" t="s">
        <v>7256</v>
      </c>
      <c r="V3012" t="s">
        <v>7256</v>
      </c>
      <c r="W3012">
        <v>6</v>
      </c>
      <c r="X3012" t="s">
        <v>10268</v>
      </c>
      <c r="Y3012">
        <v>0.58332048150119808</v>
      </c>
      <c r="Z3012" t="str">
        <f>HYPERLINK("Melting_Curves/meltCurve_sp_Q9Y6K9_NEMO_HUMAN_.pdf", "Melting_Curves/meltCurve_sp_Q9Y6K9_NEMO_HUMAN_.pdf")</f>
        <v>Melting_Curves/meltCurve_sp_Q9Y6K9_NEMO_HUMAN_.pdf</v>
      </c>
      <c r="AA3012" t="s">
        <v>13859</v>
      </c>
      <c r="AB3012" t="s">
        <v>17436</v>
      </c>
    </row>
    <row r="3013" spans="1:28" x14ac:dyDescent="0.25">
      <c r="A3013" t="s">
        <v>3017</v>
      </c>
      <c r="B3013">
        <v>0.98018197421672304</v>
      </c>
      <c r="C3013">
        <v>0.88362627670666205</v>
      </c>
      <c r="D3013">
        <v>0.74785435959600399</v>
      </c>
      <c r="E3013">
        <v>0.47967041010690098</v>
      </c>
      <c r="F3013">
        <v>0.27863058367632498</v>
      </c>
      <c r="G3013">
        <v>0.14485557846043701</v>
      </c>
      <c r="H3013">
        <v>7.9812681936651794E-2</v>
      </c>
      <c r="I3013">
        <v>6.1880777034843598E-2</v>
      </c>
      <c r="J3013">
        <v>7.6482088291427705E-2</v>
      </c>
      <c r="K3013">
        <v>4.26550965210762E-2</v>
      </c>
      <c r="L3013">
        <v>724.25744135158197</v>
      </c>
      <c r="M3013">
        <v>14.705720603690001</v>
      </c>
      <c r="N3013">
        <v>49.495315184152702</v>
      </c>
      <c r="O3013">
        <v>48.366219572461702</v>
      </c>
      <c r="P3013">
        <v>-7.3349270455071294E-2</v>
      </c>
      <c r="Q3013">
        <v>3.5140197552872302E-2</v>
      </c>
      <c r="R3013">
        <v>0.998857166207475</v>
      </c>
      <c r="S3013" t="s">
        <v>6642</v>
      </c>
      <c r="T3013" t="s">
        <v>7256</v>
      </c>
      <c r="U3013" t="s">
        <v>7256</v>
      </c>
      <c r="V3013" t="s">
        <v>7256</v>
      </c>
      <c r="W3013">
        <v>2</v>
      </c>
      <c r="X3013" t="s">
        <v>10269</v>
      </c>
      <c r="Y3013">
        <v>0.35711694213404033</v>
      </c>
      <c r="Z3013" t="str">
        <f>HYPERLINK("Melting_Curves/meltCurve_sp_Q9Y6N5_SQRD_HUMAN_.pdf", "Melting_Curves/meltCurve_sp_Q9Y6N5_SQRD_HUMAN_.pdf")</f>
        <v>Melting_Curves/meltCurve_sp_Q9Y6N5_SQRD_HUMAN_.pdf</v>
      </c>
      <c r="AA3013" t="s">
        <v>13860</v>
      </c>
      <c r="AB3013" t="s">
        <v>17437</v>
      </c>
    </row>
    <row r="3014" spans="1:28" x14ac:dyDescent="0.25">
      <c r="A3014" t="s">
        <v>3018</v>
      </c>
      <c r="B3014">
        <v>0.98018197421672304</v>
      </c>
      <c r="C3014">
        <v>0.78506964761051401</v>
      </c>
      <c r="D3014">
        <v>0.78270892670398795</v>
      </c>
      <c r="E3014">
        <v>0.73967266105659601</v>
      </c>
      <c r="F3014">
        <v>0.72849738637406503</v>
      </c>
      <c r="G3014">
        <v>0.56747001172781097</v>
      </c>
      <c r="H3014">
        <v>0.31626871922121302</v>
      </c>
      <c r="I3014">
        <v>8.7627189737299896E-2</v>
      </c>
      <c r="J3014">
        <v>5.21929008452581E-2</v>
      </c>
      <c r="K3014">
        <v>3.39704139762688E-2</v>
      </c>
      <c r="L3014">
        <v>612.20994446454495</v>
      </c>
      <c r="M3014">
        <v>10.9666314436235</v>
      </c>
      <c r="N3014">
        <v>55.824775187118</v>
      </c>
      <c r="O3014">
        <v>54.064866389065799</v>
      </c>
      <c r="P3014">
        <v>-5.0727837082797697E-2</v>
      </c>
      <c r="Q3014">
        <v>0</v>
      </c>
      <c r="R3014">
        <v>0.91270505296140303</v>
      </c>
      <c r="S3014" t="s">
        <v>6643</v>
      </c>
      <c r="T3014" t="s">
        <v>7256</v>
      </c>
      <c r="U3014" t="s">
        <v>7256</v>
      </c>
      <c r="V3014" t="s">
        <v>7256</v>
      </c>
      <c r="W3014">
        <v>1</v>
      </c>
      <c r="X3014" t="s">
        <v>10270</v>
      </c>
      <c r="Y3014">
        <v>0.54913012786196103</v>
      </c>
      <c r="Z3014" t="str">
        <f>HYPERLINK("Melting_Curves/meltCurve_sp_Q9Y6V0_2_PCLO_HUMAN_.pdf", "Melting_Curves/meltCurve_sp_Q9Y6V0_2_PCLO_HUMAN_.pdf")</f>
        <v>Melting_Curves/meltCurve_sp_Q9Y6V0_2_PCLO_HUMAN_.pdf</v>
      </c>
      <c r="AA3014" t="s">
        <v>13861</v>
      </c>
      <c r="AB3014" t="s">
        <v>17438</v>
      </c>
    </row>
    <row r="3015" spans="1:28" x14ac:dyDescent="0.25">
      <c r="A3015" t="s">
        <v>3019</v>
      </c>
      <c r="B3015">
        <v>0.98018197421672304</v>
      </c>
      <c r="C3015">
        <v>0.94524129547389901</v>
      </c>
      <c r="D3015">
        <v>0.85848829020898598</v>
      </c>
      <c r="E3015">
        <v>0.62589523603594899</v>
      </c>
      <c r="F3015">
        <v>0.19058371696481699</v>
      </c>
      <c r="G3015">
        <v>0.10635249098222301</v>
      </c>
      <c r="H3015">
        <v>0.10334781353668999</v>
      </c>
      <c r="I3015">
        <v>9.1960682620218503E-2</v>
      </c>
      <c r="J3015">
        <v>6.05791659562743E-2</v>
      </c>
      <c r="K3015">
        <v>5.7431027578265903E-2</v>
      </c>
      <c r="L3015">
        <v>1350.33322098803</v>
      </c>
      <c r="M3015">
        <v>26.873229499538301</v>
      </c>
      <c r="N3015">
        <v>50.524718564206999</v>
      </c>
      <c r="O3015">
        <v>49.972495048849801</v>
      </c>
      <c r="P3015">
        <v>-0.12524969595114899</v>
      </c>
      <c r="Q3015">
        <v>6.83700727279513E-2</v>
      </c>
      <c r="R3015">
        <v>0.98871109401159096</v>
      </c>
      <c r="S3015" t="s">
        <v>6644</v>
      </c>
      <c r="T3015" t="s">
        <v>7256</v>
      </c>
      <c r="U3015" t="s">
        <v>7256</v>
      </c>
      <c r="V3015" t="s">
        <v>7256</v>
      </c>
      <c r="W3015">
        <v>1</v>
      </c>
      <c r="X3015" t="s">
        <v>10271</v>
      </c>
      <c r="Y3015">
        <v>0.39384521498545288</v>
      </c>
      <c r="Z3015" t="str">
        <f>HYPERLINK("Melting_Curves/meltCurve_sp_Q9Y6W3_CAN7_HUMAN_.pdf", "Melting_Curves/meltCurve_sp_Q9Y6W3_CAN7_HUMAN_.pdf")</f>
        <v>Melting_Curves/meltCurve_sp_Q9Y6W3_CAN7_HUMAN_.pdf</v>
      </c>
      <c r="AA3015" t="s">
        <v>13862</v>
      </c>
      <c r="AB3015" t="s">
        <v>17439</v>
      </c>
    </row>
    <row r="3016" spans="1:28" x14ac:dyDescent="0.25">
      <c r="A3016" t="s">
        <v>3020</v>
      </c>
      <c r="B3016">
        <v>0.98018197421672304</v>
      </c>
      <c r="C3016">
        <v>0.90906122344260099</v>
      </c>
      <c r="D3016">
        <v>0.82350198984212997</v>
      </c>
      <c r="E3016">
        <v>0.727387278567314</v>
      </c>
      <c r="F3016">
        <v>0.54859105407447695</v>
      </c>
      <c r="G3016">
        <v>0.27717330708834398</v>
      </c>
      <c r="H3016">
        <v>0.27777415391437199</v>
      </c>
      <c r="I3016">
        <v>0.296968063050704</v>
      </c>
      <c r="J3016">
        <v>0.35419455098830599</v>
      </c>
      <c r="K3016">
        <v>0.31704818463810602</v>
      </c>
      <c r="L3016">
        <v>803.01754226125195</v>
      </c>
      <c r="M3016">
        <v>15.902760200655999</v>
      </c>
      <c r="N3016">
        <v>53.210216269673602</v>
      </c>
      <c r="O3016">
        <v>49.717246558187</v>
      </c>
      <c r="P3016">
        <v>-5.7750531256961397E-2</v>
      </c>
      <c r="Q3016">
        <v>0.27786957189397299</v>
      </c>
      <c r="R3016">
        <v>0.96217285130350405</v>
      </c>
      <c r="S3016" t="s">
        <v>6645</v>
      </c>
      <c r="T3016" t="s">
        <v>7256</v>
      </c>
      <c r="U3016" t="s">
        <v>7256</v>
      </c>
      <c r="V3016" t="s">
        <v>7256</v>
      </c>
      <c r="W3016">
        <v>4</v>
      </c>
      <c r="X3016" t="s">
        <v>10272</v>
      </c>
      <c r="Y3016">
        <v>0.5458200481788017</v>
      </c>
      <c r="Z3016" t="str">
        <f>HYPERLINK("Melting_Curves/meltCurve_sp_Q9Y6W5_WASF2_HUMAN_.pdf", "Melting_Curves/meltCurve_sp_Q9Y6W5_WASF2_HUMAN_.pdf")</f>
        <v>Melting_Curves/meltCurve_sp_Q9Y6W5_WASF2_HUMAN_.pdf</v>
      </c>
      <c r="AA3016" t="s">
        <v>13863</v>
      </c>
      <c r="AB3016" t="s">
        <v>17440</v>
      </c>
    </row>
    <row r="3017" spans="1:28" x14ac:dyDescent="0.25">
      <c r="A3017" t="s">
        <v>3021</v>
      </c>
      <c r="B3017">
        <v>0.98018197421672304</v>
      </c>
      <c r="C3017">
        <v>0.84899511865781696</v>
      </c>
      <c r="D3017">
        <v>0.83401237820750496</v>
      </c>
      <c r="E3017">
        <v>0.68957933011245698</v>
      </c>
      <c r="F3017">
        <v>0.57557446075529695</v>
      </c>
      <c r="G3017">
        <v>0.38145907957000402</v>
      </c>
      <c r="H3017">
        <v>0.36440838358461702</v>
      </c>
      <c r="I3017">
        <v>0.348627904504623</v>
      </c>
      <c r="J3017">
        <v>0.40723432450568497</v>
      </c>
      <c r="K3017">
        <v>0.42941582300353898</v>
      </c>
      <c r="L3017">
        <v>642.99355825731504</v>
      </c>
      <c r="M3017">
        <v>13.012838000294201</v>
      </c>
      <c r="N3017">
        <v>54.567006297156603</v>
      </c>
      <c r="O3017">
        <v>48.288997544874903</v>
      </c>
      <c r="P3017">
        <v>-4.35453764522679E-2</v>
      </c>
      <c r="Q3017">
        <v>0.35374817521138402</v>
      </c>
      <c r="R3017">
        <v>0.95891671346116403</v>
      </c>
      <c r="S3017" t="s">
        <v>6646</v>
      </c>
      <c r="T3017" t="s">
        <v>7256</v>
      </c>
      <c r="U3017" t="s">
        <v>7256</v>
      </c>
      <c r="V3017" t="s">
        <v>7256</v>
      </c>
      <c r="W3017">
        <v>2</v>
      </c>
      <c r="X3017" t="s">
        <v>10273</v>
      </c>
      <c r="Y3017">
        <v>0.57673243938446916</v>
      </c>
      <c r="Z3017" t="str">
        <f>HYPERLINK("Melting_Curves/meltCurve_sp_Q9Y6X8_ZHX2_HUMAN_.pdf", "Melting_Curves/meltCurve_sp_Q9Y6X8_ZHX2_HUMAN_.pdf")</f>
        <v>Melting_Curves/meltCurve_sp_Q9Y6X8_ZHX2_HUMAN_.pdf</v>
      </c>
      <c r="AA3017" t="s">
        <v>13864</v>
      </c>
      <c r="AB3017" t="s">
        <v>17441</v>
      </c>
    </row>
    <row r="3018" spans="1:28" x14ac:dyDescent="0.25">
      <c r="A3018" t="s">
        <v>3022</v>
      </c>
      <c r="B3018">
        <v>0.98018197421672304</v>
      </c>
      <c r="C3018">
        <v>0.94135073722153495</v>
      </c>
      <c r="D3018">
        <v>1.0292278419093399</v>
      </c>
      <c r="E3018">
        <v>0.87565791450251496</v>
      </c>
      <c r="F3018">
        <v>0.75650352393215503</v>
      </c>
      <c r="G3018">
        <v>0.605402960782365</v>
      </c>
      <c r="H3018">
        <v>0.40403768989480199</v>
      </c>
      <c r="I3018">
        <v>0.26654185691667898</v>
      </c>
      <c r="J3018">
        <v>0.18361064955165299</v>
      </c>
      <c r="K3018">
        <v>6.7764326728363397E-2</v>
      </c>
      <c r="L3018">
        <v>726.04428826788501</v>
      </c>
      <c r="M3018">
        <v>12.380185122911399</v>
      </c>
      <c r="N3018">
        <v>58.645673021425701</v>
      </c>
      <c r="O3018">
        <v>57.178541356122203</v>
      </c>
      <c r="P3018">
        <v>-5.4141061947592599E-2</v>
      </c>
      <c r="Q3018">
        <v>0</v>
      </c>
      <c r="R3018">
        <v>0.99029623243037102</v>
      </c>
      <c r="S3018" t="s">
        <v>6647</v>
      </c>
      <c r="T3018" t="s">
        <v>7256</v>
      </c>
      <c r="U3018" t="s">
        <v>7256</v>
      </c>
      <c r="V3018" t="s">
        <v>7256</v>
      </c>
      <c r="W3018">
        <v>1</v>
      </c>
      <c r="X3018" t="s">
        <v>10274</v>
      </c>
      <c r="Y3018">
        <v>0.6316636264170532</v>
      </c>
      <c r="Z3018" t="str">
        <f>HYPERLINK("Melting_Curves/meltCurve_tr_A1A528_A1A528_HUMAN_.pdf", "Melting_Curves/meltCurve_tr_A1A528_A1A528_HUMAN_.pdf")</f>
        <v>Melting_Curves/meltCurve_tr_A1A528_A1A528_HUMAN_.pdf</v>
      </c>
      <c r="AA3018" t="s">
        <v>13865</v>
      </c>
      <c r="AB3018" t="s">
        <v>17442</v>
      </c>
    </row>
    <row r="3019" spans="1:28" x14ac:dyDescent="0.25">
      <c r="A3019" t="s">
        <v>3023</v>
      </c>
      <c r="B3019">
        <v>0.98018197421672304</v>
      </c>
      <c r="C3019">
        <v>0.835858727338883</v>
      </c>
      <c r="D3019">
        <v>0.804792429022679</v>
      </c>
      <c r="E3019">
        <v>0.73343961775853095</v>
      </c>
      <c r="F3019">
        <v>0.52461777473404902</v>
      </c>
      <c r="G3019">
        <v>0.41422479217390101</v>
      </c>
      <c r="H3019">
        <v>0.42264583306491899</v>
      </c>
      <c r="I3019">
        <v>0.41395563504932498</v>
      </c>
      <c r="J3019">
        <v>0.59928076773843597</v>
      </c>
      <c r="K3019">
        <v>0.475937002670694</v>
      </c>
      <c r="L3019">
        <v>670.65247028434896</v>
      </c>
      <c r="M3019">
        <v>14.053022287161699</v>
      </c>
      <c r="N3019">
        <v>57.159823801477103</v>
      </c>
      <c r="O3019">
        <v>46.787827513291397</v>
      </c>
      <c r="P3019">
        <v>-4.1239250662284503E-2</v>
      </c>
      <c r="Q3019">
        <v>0.45086748891044098</v>
      </c>
      <c r="R3019">
        <v>0.87317376096635901</v>
      </c>
      <c r="S3019" t="s">
        <v>6648</v>
      </c>
      <c r="T3019" t="s">
        <v>7256</v>
      </c>
      <c r="U3019" t="s">
        <v>7256</v>
      </c>
      <c r="V3019" t="s">
        <v>7256</v>
      </c>
      <c r="W3019">
        <v>3</v>
      </c>
      <c r="X3019" t="s">
        <v>10275</v>
      </c>
      <c r="Y3019">
        <v>0.6085268374086451</v>
      </c>
      <c r="Z3019" t="str">
        <f>HYPERLINK("Melting_Curves/meltCurve_tr_A2ABK1_A2ABK1_HUMAN_.pdf", "Melting_Curves/meltCurve_tr_A2ABK1_A2ABK1_HUMAN_.pdf")</f>
        <v>Melting_Curves/meltCurve_tr_A2ABK1_A2ABK1_HUMAN_.pdf</v>
      </c>
      <c r="AA3019" t="s">
        <v>13866</v>
      </c>
      <c r="AB3019" t="s">
        <v>17443</v>
      </c>
    </row>
    <row r="3020" spans="1:28" x14ac:dyDescent="0.25">
      <c r="A3020" t="s">
        <v>3024</v>
      </c>
      <c r="B3020">
        <v>0.98018197421672304</v>
      </c>
      <c r="C3020">
        <v>0.88296120976688297</v>
      </c>
      <c r="D3020">
        <v>0.81285280169728802</v>
      </c>
      <c r="E3020">
        <v>0.756172176708649</v>
      </c>
      <c r="F3020">
        <v>0</v>
      </c>
      <c r="G3020">
        <v>0.27131623283821998</v>
      </c>
      <c r="H3020">
        <v>0.18869488714701199</v>
      </c>
      <c r="I3020">
        <v>0.15406214143557501</v>
      </c>
      <c r="J3020">
        <v>0.14225454827148601</v>
      </c>
      <c r="K3020">
        <v>9.9263518161836498E-2</v>
      </c>
      <c r="L3020">
        <v>12546.1415850003</v>
      </c>
      <c r="M3020">
        <v>250</v>
      </c>
      <c r="N3020">
        <v>50.252054581351601</v>
      </c>
      <c r="O3020">
        <v>50.181354901138697</v>
      </c>
      <c r="P3020">
        <v>-1.06787869543157</v>
      </c>
      <c r="Q3020">
        <v>0.142598404788186</v>
      </c>
      <c r="R3020">
        <v>0.93051625949973304</v>
      </c>
      <c r="S3020" t="s">
        <v>6649</v>
      </c>
      <c r="T3020" t="s">
        <v>7256</v>
      </c>
      <c r="U3020" t="s">
        <v>7256</v>
      </c>
      <c r="V3020" t="s">
        <v>7256</v>
      </c>
      <c r="W3020">
        <v>2</v>
      </c>
      <c r="X3020" t="s">
        <v>10276</v>
      </c>
      <c r="Y3020">
        <v>0.43374936638140038</v>
      </c>
      <c r="Z3020" t="str">
        <f>HYPERLINK("Melting_Curves/meltCurve_tr_A3KFL4_A3KFL4_HUMAN_.pdf", "Melting_Curves/meltCurve_tr_A3KFL4_A3KFL4_HUMAN_.pdf")</f>
        <v>Melting_Curves/meltCurve_tr_A3KFL4_A3KFL4_HUMAN_.pdf</v>
      </c>
      <c r="AA3020" t="s">
        <v>13867</v>
      </c>
      <c r="AB3020" t="s">
        <v>17444</v>
      </c>
    </row>
    <row r="3021" spans="1:28" x14ac:dyDescent="0.25">
      <c r="A3021" t="s">
        <v>3025</v>
      </c>
      <c r="B3021">
        <v>0.98018197421672304</v>
      </c>
      <c r="C3021">
        <v>0.96324992230759598</v>
      </c>
      <c r="D3021">
        <v>0.87914867775596395</v>
      </c>
      <c r="E3021">
        <v>0.50940839946148697</v>
      </c>
      <c r="F3021">
        <v>0.33703625096290102</v>
      </c>
      <c r="G3021">
        <v>0.22504530603189299</v>
      </c>
      <c r="H3021">
        <v>0.141604213214337</v>
      </c>
      <c r="I3021">
        <v>0.119990352149003</v>
      </c>
      <c r="J3021">
        <v>0.15584785447191499</v>
      </c>
      <c r="K3021">
        <v>7.1557994537291197E-2</v>
      </c>
      <c r="L3021">
        <v>946.34844592566503</v>
      </c>
      <c r="M3021">
        <v>18.998239637331402</v>
      </c>
      <c r="N3021">
        <v>50.516259252734997</v>
      </c>
      <c r="O3021">
        <v>49.270363906936701</v>
      </c>
      <c r="P3021">
        <v>-8.5192088208905795E-2</v>
      </c>
      <c r="Q3021">
        <v>0.116280544639492</v>
      </c>
      <c r="R3021">
        <v>0.99433549615065098</v>
      </c>
      <c r="S3021" t="s">
        <v>6650</v>
      </c>
      <c r="T3021" t="s">
        <v>7256</v>
      </c>
      <c r="U3021" t="s">
        <v>7256</v>
      </c>
      <c r="V3021" t="s">
        <v>7256</v>
      </c>
      <c r="W3021">
        <v>9</v>
      </c>
      <c r="X3021" t="s">
        <v>10277</v>
      </c>
      <c r="Y3021">
        <v>0.41894172804264118</v>
      </c>
      <c r="Z3021" t="str">
        <f>HYPERLINK("Melting_Curves/meltCurve_tr_A6H8Z3_A6H8Z3_HUMAN_.pdf", "Melting_Curves/meltCurve_tr_A6H8Z3_A6H8Z3_HUMAN_.pdf")</f>
        <v>Melting_Curves/meltCurve_tr_A6H8Z3_A6H8Z3_HUMAN_.pdf</v>
      </c>
      <c r="AA3021" t="s">
        <v>13868</v>
      </c>
      <c r="AB3021" t="s">
        <v>17445</v>
      </c>
    </row>
    <row r="3022" spans="1:28" x14ac:dyDescent="0.25">
      <c r="A3022" t="s">
        <v>3026</v>
      </c>
      <c r="B3022">
        <v>0.98018197421672304</v>
      </c>
      <c r="C3022">
        <v>0.88934003521285099</v>
      </c>
      <c r="D3022">
        <v>0.92557726203825497</v>
      </c>
      <c r="E3022">
        <v>0.62339407572598804</v>
      </c>
      <c r="F3022">
        <v>0.54121993805314805</v>
      </c>
      <c r="G3022">
        <v>0.17970295750655099</v>
      </c>
      <c r="H3022">
        <v>0.469619281769518</v>
      </c>
      <c r="I3022">
        <v>0.45474545067518501</v>
      </c>
      <c r="J3022">
        <v>0.80543287181418799</v>
      </c>
      <c r="K3022">
        <v>0.72940683363873005</v>
      </c>
      <c r="L3022">
        <v>1761.0943340015399</v>
      </c>
      <c r="M3022">
        <v>36.728598060517498</v>
      </c>
      <c r="O3022">
        <v>47.807382583477299</v>
      </c>
      <c r="P3022">
        <v>-9.0490258502038498E-2</v>
      </c>
      <c r="Q3022">
        <v>0.52885873359616498</v>
      </c>
      <c r="R3022">
        <v>0.54862076110508196</v>
      </c>
      <c r="S3022" t="s">
        <v>6651</v>
      </c>
      <c r="T3022" t="s">
        <v>7256</v>
      </c>
      <c r="U3022" t="s">
        <v>7256</v>
      </c>
      <c r="V3022" t="s">
        <v>7256</v>
      </c>
      <c r="W3022">
        <v>2</v>
      </c>
      <c r="X3022" t="s">
        <v>10278</v>
      </c>
      <c r="Y3022">
        <v>0.65555773157672348</v>
      </c>
      <c r="Z3022" t="str">
        <f>HYPERLINK("Melting_Curves/meltCurve_tr_A6NG79_A6NG79_HUMAN_.pdf", "Melting_Curves/meltCurve_tr_A6NG79_A6NG79_HUMAN_.pdf")</f>
        <v>Melting_Curves/meltCurve_tr_A6NG79_A6NG79_HUMAN_.pdf</v>
      </c>
      <c r="AA3022" t="s">
        <v>13869</v>
      </c>
      <c r="AB3022" t="s">
        <v>17446</v>
      </c>
    </row>
    <row r="3023" spans="1:28" x14ac:dyDescent="0.25">
      <c r="A3023" t="s">
        <v>3027</v>
      </c>
      <c r="B3023">
        <v>0.98018197421672304</v>
      </c>
      <c r="C3023">
        <v>0.924375973868926</v>
      </c>
      <c r="D3023">
        <v>0.90991226559877803</v>
      </c>
      <c r="E3023">
        <v>0.78394187491063505</v>
      </c>
      <c r="F3023">
        <v>0.76118667905725101</v>
      </c>
      <c r="G3023">
        <v>0.590290528406621</v>
      </c>
      <c r="H3023">
        <v>0.493019457950296</v>
      </c>
      <c r="I3023">
        <v>0.49135425250637699</v>
      </c>
      <c r="J3023">
        <v>0.65225374713932105</v>
      </c>
      <c r="K3023">
        <v>0.70798200638710596</v>
      </c>
      <c r="L3023">
        <v>810.84978102912805</v>
      </c>
      <c r="M3023">
        <v>16.2693220611879</v>
      </c>
      <c r="O3023">
        <v>49.104454456703998</v>
      </c>
      <c r="P3023">
        <v>-3.4819394928068403E-2</v>
      </c>
      <c r="Q3023">
        <v>0.57965997556851201</v>
      </c>
      <c r="R3023">
        <v>0.82083715222036702</v>
      </c>
      <c r="S3023" t="s">
        <v>6652</v>
      </c>
      <c r="T3023" t="s">
        <v>7256</v>
      </c>
      <c r="U3023" t="s">
        <v>7256</v>
      </c>
      <c r="V3023" t="s">
        <v>7256</v>
      </c>
      <c r="W3023">
        <v>12</v>
      </c>
      <c r="X3023" t="s">
        <v>10279</v>
      </c>
      <c r="Y3023">
        <v>0.72621075860642403</v>
      </c>
      <c r="Z3023" t="str">
        <f>HYPERLINK("Melting_Curves/meltCurve_tr_A6NGP5_A6NGP5_HUMAN_.pdf", "Melting_Curves/meltCurve_tr_A6NGP5_A6NGP5_HUMAN_.pdf")</f>
        <v>Melting_Curves/meltCurve_tr_A6NGP5_A6NGP5_HUMAN_.pdf</v>
      </c>
      <c r="AA3023" t="s">
        <v>13870</v>
      </c>
      <c r="AB3023" t="s">
        <v>17447</v>
      </c>
    </row>
    <row r="3024" spans="1:28" x14ac:dyDescent="0.25">
      <c r="A3024" t="s">
        <v>3028</v>
      </c>
      <c r="B3024">
        <v>0.98018197421672304</v>
      </c>
      <c r="C3024">
        <v>0.87596385052218295</v>
      </c>
      <c r="D3024">
        <v>0.85164654709306897</v>
      </c>
      <c r="E3024">
        <v>0.72545427667614004</v>
      </c>
      <c r="F3024">
        <v>0.58812538023085803</v>
      </c>
      <c r="G3024">
        <v>0.52814878934807097</v>
      </c>
      <c r="H3024">
        <v>0.42354307746875097</v>
      </c>
      <c r="I3024">
        <v>0.35799254624452098</v>
      </c>
      <c r="J3024">
        <v>0.55387142113855004</v>
      </c>
      <c r="K3024">
        <v>0.45818297150133103</v>
      </c>
      <c r="L3024">
        <v>628.08108823199404</v>
      </c>
      <c r="M3024">
        <v>12.705344130146299</v>
      </c>
      <c r="N3024">
        <v>58.224053427679202</v>
      </c>
      <c r="O3024">
        <v>48.257745608251497</v>
      </c>
      <c r="P3024">
        <v>-3.77517381093989E-2</v>
      </c>
      <c r="Q3024">
        <v>0.42655237900916498</v>
      </c>
      <c r="R3024">
        <v>0.93006457374860496</v>
      </c>
      <c r="S3024" t="s">
        <v>6653</v>
      </c>
      <c r="T3024" t="s">
        <v>7256</v>
      </c>
      <c r="U3024" t="s">
        <v>7256</v>
      </c>
      <c r="V3024" t="s">
        <v>7256</v>
      </c>
      <c r="W3024">
        <v>1</v>
      </c>
      <c r="X3024" t="s">
        <v>10280</v>
      </c>
      <c r="Y3024">
        <v>0.62556224926486448</v>
      </c>
      <c r="Z3024" t="str">
        <f>HYPERLINK("Melting_Curves/meltCurve_tr_A6NHN7_A6NHN7_HUMAN_.pdf", "Melting_Curves/meltCurve_tr_A6NHN7_A6NHN7_HUMAN_.pdf")</f>
        <v>Melting_Curves/meltCurve_tr_A6NHN7_A6NHN7_HUMAN_.pdf</v>
      </c>
      <c r="AA3024" t="s">
        <v>13871</v>
      </c>
      <c r="AB3024" t="s">
        <v>17448</v>
      </c>
    </row>
    <row r="3025" spans="1:28" x14ac:dyDescent="0.25">
      <c r="A3025" t="s">
        <v>3029</v>
      </c>
      <c r="B3025">
        <v>0.98018197421672304</v>
      </c>
      <c r="C3025">
        <v>0.96583387246250696</v>
      </c>
      <c r="D3025">
        <v>0.95583606690356104</v>
      </c>
      <c r="E3025">
        <v>0.775716130965172</v>
      </c>
      <c r="F3025">
        <v>0.65003887830178497</v>
      </c>
      <c r="G3025">
        <v>0.40880525338804002</v>
      </c>
      <c r="H3025">
        <v>0.116067044293389</v>
      </c>
      <c r="I3025">
        <v>6.2309089721355002E-2</v>
      </c>
      <c r="J3025">
        <v>6.7881957253100797E-2</v>
      </c>
      <c r="K3025">
        <v>6.3382371610571406E-2</v>
      </c>
      <c r="L3025">
        <v>849.75216527094699</v>
      </c>
      <c r="M3025">
        <v>15.494708848951801</v>
      </c>
      <c r="N3025">
        <v>54.841463198349501</v>
      </c>
      <c r="O3025">
        <v>53.952333403624699</v>
      </c>
      <c r="P3025">
        <v>-7.1804530573928702E-2</v>
      </c>
      <c r="Q3025">
        <v>0</v>
      </c>
      <c r="R3025">
        <v>0.99254597108658005</v>
      </c>
      <c r="S3025" t="s">
        <v>6654</v>
      </c>
      <c r="T3025" t="s">
        <v>7256</v>
      </c>
      <c r="U3025" t="s">
        <v>7256</v>
      </c>
      <c r="V3025" t="s">
        <v>7256</v>
      </c>
      <c r="W3025">
        <v>1</v>
      </c>
      <c r="X3025" t="s">
        <v>10281</v>
      </c>
      <c r="Y3025">
        <v>0.51351646642562943</v>
      </c>
      <c r="Z3025" t="str">
        <f>HYPERLINK("Melting_Curves/meltCurve_tr_A6NIR2_A6NIR2_HUMAN_.pdf", "Melting_Curves/meltCurve_tr_A6NIR2_A6NIR2_HUMAN_.pdf")</f>
        <v>Melting_Curves/meltCurve_tr_A6NIR2_A6NIR2_HUMAN_.pdf</v>
      </c>
      <c r="AA3025" t="s">
        <v>13872</v>
      </c>
      <c r="AB3025" t="s">
        <v>17449</v>
      </c>
    </row>
    <row r="3026" spans="1:28" x14ac:dyDescent="0.25">
      <c r="A3026" t="s">
        <v>3030</v>
      </c>
      <c r="B3026">
        <v>0.98018197421672304</v>
      </c>
      <c r="C3026">
        <v>0.94835514371463503</v>
      </c>
      <c r="D3026">
        <v>0.84146490880898706</v>
      </c>
      <c r="E3026">
        <v>0.44966025391987602</v>
      </c>
      <c r="F3026">
        <v>0.26515085679028699</v>
      </c>
      <c r="G3026">
        <v>0.153249840711597</v>
      </c>
      <c r="H3026">
        <v>0.10382730937846001</v>
      </c>
      <c r="I3026">
        <v>6.9355181814896194E-2</v>
      </c>
      <c r="J3026">
        <v>8.0488706013106107E-2</v>
      </c>
      <c r="K3026">
        <v>4.0643822908551001E-2</v>
      </c>
      <c r="L3026">
        <v>964.94027522082501</v>
      </c>
      <c r="M3026">
        <v>19.558412029083001</v>
      </c>
      <c r="N3026">
        <v>49.705642089351201</v>
      </c>
      <c r="O3026">
        <v>48.8292502184146</v>
      </c>
      <c r="P3026">
        <v>-9.3368177475275996E-2</v>
      </c>
      <c r="Q3026">
        <v>6.7626530158429204E-2</v>
      </c>
      <c r="R3026">
        <v>0.99773863834458498</v>
      </c>
      <c r="S3026" t="s">
        <v>6655</v>
      </c>
      <c r="T3026" t="s">
        <v>7256</v>
      </c>
      <c r="U3026" t="s">
        <v>7256</v>
      </c>
      <c r="V3026" t="s">
        <v>7256</v>
      </c>
      <c r="W3026">
        <v>5</v>
      </c>
      <c r="X3026" t="s">
        <v>10282</v>
      </c>
      <c r="Y3026">
        <v>0.37141143677086769</v>
      </c>
      <c r="Z3026" t="str">
        <f>HYPERLINK("Melting_Curves/meltCurve_tr_A6NML8_A6NML8_HUMAN_.pdf", "Melting_Curves/meltCurve_tr_A6NML8_A6NML8_HUMAN_.pdf")</f>
        <v>Melting_Curves/meltCurve_tr_A6NML8_A6NML8_HUMAN_.pdf</v>
      </c>
      <c r="AA3026" t="s">
        <v>13873</v>
      </c>
      <c r="AB3026" t="s">
        <v>17450</v>
      </c>
    </row>
    <row r="3027" spans="1:28" x14ac:dyDescent="0.25">
      <c r="A3027" t="s">
        <v>3031</v>
      </c>
      <c r="B3027">
        <v>0.98018197421672304</v>
      </c>
      <c r="C3027">
        <v>0.96565175286156701</v>
      </c>
      <c r="D3027">
        <v>0.87458497345323405</v>
      </c>
      <c r="E3027">
        <v>0.65064303514287103</v>
      </c>
      <c r="F3027">
        <v>0.18518136867377899</v>
      </c>
      <c r="G3027">
        <v>0.11105623077486</v>
      </c>
      <c r="H3027">
        <v>7.4190339063622407E-2</v>
      </c>
      <c r="I3027">
        <v>7.25713972633414E-2</v>
      </c>
      <c r="J3027">
        <v>7.4633189903443503E-2</v>
      </c>
      <c r="K3027">
        <v>8.04161285057991E-2</v>
      </c>
      <c r="L3027">
        <v>1735.3325087395999</v>
      </c>
      <c r="M3027">
        <v>34.362325728231497</v>
      </c>
      <c r="N3027">
        <v>50.735920968763701</v>
      </c>
      <c r="O3027">
        <v>50.330910720076297</v>
      </c>
      <c r="P3027">
        <v>-0.15813057315338</v>
      </c>
      <c r="Q3027">
        <v>7.3540692955490095E-2</v>
      </c>
      <c r="R3027">
        <v>0.99083734566859305</v>
      </c>
      <c r="S3027" t="s">
        <v>6656</v>
      </c>
      <c r="T3027" t="s">
        <v>7256</v>
      </c>
      <c r="U3027" t="s">
        <v>7256</v>
      </c>
      <c r="V3027" t="s">
        <v>7256</v>
      </c>
      <c r="W3027">
        <v>4</v>
      </c>
      <c r="X3027" t="s">
        <v>10283</v>
      </c>
      <c r="Y3027">
        <v>0.40222716734264902</v>
      </c>
      <c r="Z3027" t="str">
        <f>HYPERLINK("Melting_Curves/meltCurve_tr_A8MTY9_A8MTY9_HUMAN_.pdf", "Melting_Curves/meltCurve_tr_A8MTY9_A8MTY9_HUMAN_.pdf")</f>
        <v>Melting_Curves/meltCurve_tr_A8MTY9_A8MTY9_HUMAN_.pdf</v>
      </c>
      <c r="AA3027" t="s">
        <v>13874</v>
      </c>
      <c r="AB3027" t="s">
        <v>17451</v>
      </c>
    </row>
    <row r="3028" spans="1:28" x14ac:dyDescent="0.25">
      <c r="A3028" t="s">
        <v>3032</v>
      </c>
      <c r="B3028">
        <v>0.98018197421672304</v>
      </c>
      <c r="C3028">
        <v>0.90780965621227305</v>
      </c>
      <c r="D3028">
        <v>0.88938199703368204</v>
      </c>
      <c r="E3028">
        <v>0.75103344344345502</v>
      </c>
      <c r="F3028">
        <v>0.42559422983381601</v>
      </c>
      <c r="G3028">
        <v>0.15826954445799901</v>
      </c>
      <c r="H3028">
        <v>9.0731841999903098E-2</v>
      </c>
      <c r="I3028">
        <v>6.8484230220672807E-2</v>
      </c>
      <c r="J3028">
        <v>9.2334079450259093E-2</v>
      </c>
      <c r="K3028">
        <v>6.8718535276734105E-2</v>
      </c>
      <c r="L3028">
        <v>1105.1061232519701</v>
      </c>
      <c r="M3028">
        <v>21.279398282136501</v>
      </c>
      <c r="N3028">
        <v>52.243168989936798</v>
      </c>
      <c r="O3028">
        <v>51.481015331220803</v>
      </c>
      <c r="P3028">
        <v>-9.7209297231955705E-2</v>
      </c>
      <c r="Q3028">
        <v>5.9314164633616599E-2</v>
      </c>
      <c r="R3028">
        <v>0.99095438013811199</v>
      </c>
      <c r="S3028" t="s">
        <v>6657</v>
      </c>
      <c r="T3028" t="s">
        <v>7256</v>
      </c>
      <c r="U3028" t="s">
        <v>7256</v>
      </c>
      <c r="V3028" t="s">
        <v>7256</v>
      </c>
      <c r="W3028">
        <v>12</v>
      </c>
      <c r="X3028" t="s">
        <v>10284</v>
      </c>
      <c r="Y3028">
        <v>0.44512437332346338</v>
      </c>
      <c r="Z3028" t="str">
        <f>HYPERLINK("Melting_Curves/meltCurve_tr_A8MU28_A8MU28_HUMAN_.pdf", "Melting_Curves/meltCurve_tr_A8MU28_A8MU28_HUMAN_.pdf")</f>
        <v>Melting_Curves/meltCurve_tr_A8MU28_A8MU28_HUMAN_.pdf</v>
      </c>
      <c r="AA3028" t="s">
        <v>13875</v>
      </c>
      <c r="AB3028" t="s">
        <v>17452</v>
      </c>
    </row>
    <row r="3029" spans="1:28" x14ac:dyDescent="0.25">
      <c r="A3029" t="s">
        <v>3033</v>
      </c>
      <c r="B3029">
        <v>0.98018197421672304</v>
      </c>
      <c r="C3029">
        <v>0.908748219827198</v>
      </c>
      <c r="D3029">
        <v>0.86486148233938898</v>
      </c>
      <c r="E3029">
        <v>0.61304890871947404</v>
      </c>
      <c r="F3029">
        <v>0.36255827335894503</v>
      </c>
      <c r="G3029">
        <v>0.18003795626234301</v>
      </c>
      <c r="H3029">
        <v>9.8955815299738695E-2</v>
      </c>
      <c r="I3029">
        <v>7.6841107711011894E-2</v>
      </c>
      <c r="J3029">
        <v>9.2778824200972401E-2</v>
      </c>
      <c r="K3029">
        <v>6.4409053384767698E-2</v>
      </c>
      <c r="L3029">
        <v>842.35314298495405</v>
      </c>
      <c r="M3029">
        <v>16.5689407250896</v>
      </c>
      <c r="N3029">
        <v>51.187481792560298</v>
      </c>
      <c r="O3029">
        <v>50.116040568764198</v>
      </c>
      <c r="P3029">
        <v>-7.8253330711036406E-2</v>
      </c>
      <c r="Q3029">
        <v>5.3293986855053002E-2</v>
      </c>
      <c r="R3029">
        <v>0.99707440872089104</v>
      </c>
      <c r="S3029" t="s">
        <v>6658</v>
      </c>
      <c r="T3029" t="s">
        <v>7256</v>
      </c>
      <c r="U3029" t="s">
        <v>7256</v>
      </c>
      <c r="V3029" t="s">
        <v>7256</v>
      </c>
      <c r="W3029">
        <v>18</v>
      </c>
      <c r="X3029" t="s">
        <v>10285</v>
      </c>
      <c r="Y3029">
        <v>0.41388212916263167</v>
      </c>
      <c r="Z3029" t="str">
        <f>HYPERLINK("Melting_Curves/meltCurve_tr_A8MU44_A8MU44_HUMAN_.pdf", "Melting_Curves/meltCurve_tr_A8MU44_A8MU44_HUMAN_.pdf")</f>
        <v>Melting_Curves/meltCurve_tr_A8MU44_A8MU44_HUMAN_.pdf</v>
      </c>
      <c r="AA3029" t="s">
        <v>13876</v>
      </c>
      <c r="AB3029" t="s">
        <v>17453</v>
      </c>
    </row>
    <row r="3030" spans="1:28" x14ac:dyDescent="0.25">
      <c r="A3030" t="s">
        <v>3034</v>
      </c>
      <c r="B3030">
        <v>0.98018197421672304</v>
      </c>
      <c r="C3030">
        <v>0.78667389763431095</v>
      </c>
      <c r="D3030">
        <v>0.52871386486402805</v>
      </c>
      <c r="E3030">
        <v>0.260666948301983</v>
      </c>
      <c r="F3030">
        <v>8.8657481419841797E-2</v>
      </c>
      <c r="G3030">
        <v>4.1339968429683002E-2</v>
      </c>
      <c r="H3030">
        <v>2.0741672741962602E-2</v>
      </c>
      <c r="I3030">
        <v>1.69551762608212E-2</v>
      </c>
      <c r="J3030">
        <v>4.0496219751912803E-2</v>
      </c>
      <c r="K3030">
        <v>2.7207982426579801E-2</v>
      </c>
      <c r="L3030">
        <v>816.45832865748605</v>
      </c>
      <c r="M3030">
        <v>17.630630276109098</v>
      </c>
      <c r="N3030">
        <v>46.3985426574583</v>
      </c>
      <c r="O3030">
        <v>45.725633308355803</v>
      </c>
      <c r="P3030">
        <v>-9.4787839474338803E-2</v>
      </c>
      <c r="Q3030">
        <v>1.67108341950452E-2</v>
      </c>
      <c r="R3030">
        <v>0.99634079710752699</v>
      </c>
      <c r="S3030" t="s">
        <v>6659</v>
      </c>
      <c r="T3030" t="s">
        <v>7256</v>
      </c>
      <c r="U3030" t="s">
        <v>7256</v>
      </c>
      <c r="V3030" t="s">
        <v>7256</v>
      </c>
      <c r="W3030">
        <v>13</v>
      </c>
      <c r="X3030" t="s">
        <v>10286</v>
      </c>
      <c r="Y3030">
        <v>0.2432690065676622</v>
      </c>
      <c r="Z3030" t="str">
        <f>HYPERLINK("Melting_Curves/meltCurve_tr_A8MUB1_A8MUB1_HUMAN_.pdf", "Melting_Curves/meltCurve_tr_A8MUB1_A8MUB1_HUMAN_.pdf")</f>
        <v>Melting_Curves/meltCurve_tr_A8MUB1_A8MUB1_HUMAN_.pdf</v>
      </c>
      <c r="AA3030" t="s">
        <v>13877</v>
      </c>
      <c r="AB3030" t="s">
        <v>17454</v>
      </c>
    </row>
    <row r="3031" spans="1:28" x14ac:dyDescent="0.25">
      <c r="A3031" t="s">
        <v>3035</v>
      </c>
      <c r="B3031">
        <v>0.98018197421672304</v>
      </c>
      <c r="C3031">
        <v>0.94366803319200299</v>
      </c>
      <c r="D3031">
        <v>0.88222598404141805</v>
      </c>
      <c r="E3031">
        <v>0.79840884479274199</v>
      </c>
      <c r="F3031">
        <v>0.62424543274021704</v>
      </c>
      <c r="G3031">
        <v>0.46703713553660098</v>
      </c>
      <c r="H3031">
        <v>0.31881654821935601</v>
      </c>
      <c r="I3031">
        <v>0.37993502350241398</v>
      </c>
      <c r="J3031">
        <v>0.40789447852469901</v>
      </c>
      <c r="K3031">
        <v>0.38284554759181</v>
      </c>
      <c r="L3031">
        <v>842.82813104670402</v>
      </c>
      <c r="M3031">
        <v>16.290522564173301</v>
      </c>
      <c r="N3031">
        <v>55.885218039427201</v>
      </c>
      <c r="O3031">
        <v>50.976533737344802</v>
      </c>
      <c r="P3031">
        <v>-5.1872289750293302E-2</v>
      </c>
      <c r="Q3031">
        <v>0.35076922491079099</v>
      </c>
      <c r="R3031">
        <v>0.97778536423261797</v>
      </c>
      <c r="S3031" t="s">
        <v>6660</v>
      </c>
      <c r="T3031" t="s">
        <v>7256</v>
      </c>
      <c r="U3031" t="s">
        <v>7256</v>
      </c>
      <c r="V3031" t="s">
        <v>7256</v>
      </c>
      <c r="W3031">
        <v>1</v>
      </c>
      <c r="X3031" t="s">
        <v>10287</v>
      </c>
      <c r="Y3031">
        <v>0.6176080567768516</v>
      </c>
      <c r="Z3031" t="str">
        <f>HYPERLINK("Melting_Curves/meltCurve_tr_A8MV73_A8MV73_HUMAN_.pdf", "Melting_Curves/meltCurve_tr_A8MV73_A8MV73_HUMAN_.pdf")</f>
        <v>Melting_Curves/meltCurve_tr_A8MV73_A8MV73_HUMAN_.pdf</v>
      </c>
      <c r="AA3031" t="s">
        <v>13878</v>
      </c>
      <c r="AB3031" t="s">
        <v>17455</v>
      </c>
    </row>
    <row r="3032" spans="1:28" x14ac:dyDescent="0.25">
      <c r="A3032" t="s">
        <v>3036</v>
      </c>
      <c r="B3032">
        <v>0.98018197421672304</v>
      </c>
      <c r="C3032">
        <v>0.93044657967177102</v>
      </c>
      <c r="D3032">
        <v>0.87960083989643201</v>
      </c>
      <c r="E3032">
        <v>0.60713104106556703</v>
      </c>
      <c r="F3032">
        <v>0.18005411551182299</v>
      </c>
      <c r="G3032">
        <v>6.5705093999891898E-2</v>
      </c>
      <c r="H3032">
        <v>3.0603369198100101E-2</v>
      </c>
      <c r="I3032">
        <v>2.2398716573181099E-2</v>
      </c>
      <c r="J3032">
        <v>2.5903453415115199E-2</v>
      </c>
      <c r="K3032">
        <v>9.7573487337373407E-3</v>
      </c>
      <c r="L3032">
        <v>1343.84577378574</v>
      </c>
      <c r="M3032">
        <v>26.656256430921399</v>
      </c>
      <c r="N3032">
        <v>50.4722023146428</v>
      </c>
      <c r="O3032">
        <v>50.132735473212399</v>
      </c>
      <c r="P3032">
        <v>-0.13091436340540899</v>
      </c>
      <c r="Q3032">
        <v>1.51615944752351E-2</v>
      </c>
      <c r="R3032">
        <v>0.99327506761112405</v>
      </c>
      <c r="S3032" t="s">
        <v>6661</v>
      </c>
      <c r="T3032" t="s">
        <v>7256</v>
      </c>
      <c r="U3032" t="s">
        <v>7256</v>
      </c>
      <c r="V3032" t="s">
        <v>7256</v>
      </c>
      <c r="W3032">
        <v>1</v>
      </c>
      <c r="X3032" t="s">
        <v>10288</v>
      </c>
      <c r="Y3032">
        <v>0.3648053121762348</v>
      </c>
      <c r="Z3032" t="str">
        <f>HYPERLINK("Melting_Curves/meltCurve_tr_A8MVQ8_A8MVQ8_HUMAN_.pdf", "Melting_Curves/meltCurve_tr_A8MVQ8_A8MVQ8_HUMAN_.pdf")</f>
        <v>Melting_Curves/meltCurve_tr_A8MVQ8_A8MVQ8_HUMAN_.pdf</v>
      </c>
      <c r="AA3032" t="s">
        <v>13879</v>
      </c>
      <c r="AB3032" t="s">
        <v>17456</v>
      </c>
    </row>
    <row r="3033" spans="1:28" x14ac:dyDescent="0.25">
      <c r="A3033" t="s">
        <v>3037</v>
      </c>
      <c r="B3033">
        <v>0.98018197421672304</v>
      </c>
      <c r="C3033">
        <v>0.97719112519604001</v>
      </c>
      <c r="D3033">
        <v>0.962540846300173</v>
      </c>
      <c r="E3033">
        <v>0.82047879527576295</v>
      </c>
      <c r="F3033">
        <v>0.75001809727348101</v>
      </c>
      <c r="G3033">
        <v>0.58308138742591398</v>
      </c>
      <c r="H3033">
        <v>0.46103011308327702</v>
      </c>
      <c r="I3033">
        <v>0.40251093385222197</v>
      </c>
      <c r="J3033">
        <v>0.49271236248537897</v>
      </c>
      <c r="K3033">
        <v>0.37565596149074698</v>
      </c>
      <c r="L3033">
        <v>763.554108812197</v>
      </c>
      <c r="M3033">
        <v>14.1698681235194</v>
      </c>
      <c r="N3033">
        <v>59.982040302569601</v>
      </c>
      <c r="O3033">
        <v>52.846609042596</v>
      </c>
      <c r="P3033">
        <v>-4.1461505755744303E-2</v>
      </c>
      <c r="Q3033">
        <v>0.38155451906416699</v>
      </c>
      <c r="R3033">
        <v>0.98175106486067298</v>
      </c>
      <c r="S3033" t="s">
        <v>6662</v>
      </c>
      <c r="T3033" t="s">
        <v>7256</v>
      </c>
      <c r="U3033" t="s">
        <v>7256</v>
      </c>
      <c r="V3033" t="s">
        <v>7256</v>
      </c>
      <c r="W3033">
        <v>3</v>
      </c>
      <c r="X3033" t="s">
        <v>10289</v>
      </c>
      <c r="Y3033">
        <v>0.68149072358069607</v>
      </c>
      <c r="Z3033" t="str">
        <f>HYPERLINK("Melting_Curves/meltCurve_tr_A9Z1X7_A9Z1X7_HUMAN_.pdf", "Melting_Curves/meltCurve_tr_A9Z1X7_A9Z1X7_HUMAN_.pdf")</f>
        <v>Melting_Curves/meltCurve_tr_A9Z1X7_A9Z1X7_HUMAN_.pdf</v>
      </c>
      <c r="AA3033" t="s">
        <v>13880</v>
      </c>
      <c r="AB3033" t="s">
        <v>17457</v>
      </c>
    </row>
    <row r="3034" spans="1:28" x14ac:dyDescent="0.25">
      <c r="A3034" t="s">
        <v>3038</v>
      </c>
      <c r="B3034">
        <v>0.98018197421672304</v>
      </c>
      <c r="C3034">
        <v>0.95377464152457403</v>
      </c>
      <c r="D3034">
        <v>0.83010850401081004</v>
      </c>
      <c r="E3034">
        <v>0.73032235543212798</v>
      </c>
      <c r="F3034">
        <v>0.60864204720723003</v>
      </c>
      <c r="G3034">
        <v>0.44255037423910298</v>
      </c>
      <c r="H3034">
        <v>0.35993237386943799</v>
      </c>
      <c r="I3034">
        <v>0.33012996619671198</v>
      </c>
      <c r="J3034">
        <v>0.35725235109002801</v>
      </c>
      <c r="K3034">
        <v>0.31606515464573298</v>
      </c>
      <c r="L3034">
        <v>621.22778536794601</v>
      </c>
      <c r="M3034">
        <v>12.028667872383901</v>
      </c>
      <c r="N3034">
        <v>55.507453191092402</v>
      </c>
      <c r="O3034">
        <v>50.280314518980603</v>
      </c>
      <c r="P3034">
        <v>-4.2864511625302602E-2</v>
      </c>
      <c r="Q3034">
        <v>0.28346965855508799</v>
      </c>
      <c r="R3034">
        <v>0.99330276579562404</v>
      </c>
      <c r="S3034" t="s">
        <v>6663</v>
      </c>
      <c r="T3034" t="s">
        <v>7256</v>
      </c>
      <c r="U3034" t="s">
        <v>7256</v>
      </c>
      <c r="V3034" t="s">
        <v>7256</v>
      </c>
      <c r="W3034">
        <v>12</v>
      </c>
      <c r="X3034" t="s">
        <v>10290</v>
      </c>
      <c r="Y3034">
        <v>0.58399062154693959</v>
      </c>
      <c r="Z3034" t="str">
        <f>HYPERLINK("Melting_Curves/meltCurve_tr_B0UX83_B0UX83_HUMAN_.pdf", "Melting_Curves/meltCurve_tr_B0UX83_B0UX83_HUMAN_.pdf")</f>
        <v>Melting_Curves/meltCurve_tr_B0UX83_B0UX83_HUMAN_.pdf</v>
      </c>
      <c r="AA3034" t="s">
        <v>13881</v>
      </c>
      <c r="AB3034" t="s">
        <v>17458</v>
      </c>
    </row>
    <row r="3035" spans="1:28" x14ac:dyDescent="0.25">
      <c r="A3035" t="s">
        <v>3039</v>
      </c>
      <c r="B3035">
        <v>0.98018197421672304</v>
      </c>
      <c r="C3035">
        <v>0.99591977021505895</v>
      </c>
      <c r="D3035">
        <v>0.90999887216873898</v>
      </c>
      <c r="E3035">
        <v>0.83963802516045205</v>
      </c>
      <c r="F3035">
        <v>0.69437222831185197</v>
      </c>
      <c r="G3035">
        <v>0.56162424129480504</v>
      </c>
      <c r="H3035">
        <v>0.452066205785768</v>
      </c>
      <c r="I3035">
        <v>0.447342623309812</v>
      </c>
      <c r="J3035">
        <v>0.41241162552272997</v>
      </c>
      <c r="K3035">
        <v>0.241539070556018</v>
      </c>
      <c r="L3035">
        <v>525.16997988329103</v>
      </c>
      <c r="M3035">
        <v>9.2854647819456595</v>
      </c>
      <c r="N3035">
        <v>59.784939366324799</v>
      </c>
      <c r="O3035">
        <v>54.120767596631801</v>
      </c>
      <c r="P3035">
        <v>-3.4461256916708399E-2</v>
      </c>
      <c r="Q3035">
        <v>0.197081948059666</v>
      </c>
      <c r="R3035">
        <v>0.97776070156404304</v>
      </c>
      <c r="S3035" t="s">
        <v>6664</v>
      </c>
      <c r="T3035" t="s">
        <v>7256</v>
      </c>
      <c r="U3035" t="s">
        <v>7256</v>
      </c>
      <c r="V3035" t="s">
        <v>7256</v>
      </c>
      <c r="W3035">
        <v>5</v>
      </c>
      <c r="X3035" t="s">
        <v>10291</v>
      </c>
      <c r="Y3035">
        <v>0.65438497503340165</v>
      </c>
      <c r="Z3035" t="str">
        <f>HYPERLINK("Melting_Curves/meltCurve_tr_B0V0T3_B0V0T3_HUMAN_.pdf", "Melting_Curves/meltCurve_tr_B0V0T3_B0V0T3_HUMAN_.pdf")</f>
        <v>Melting_Curves/meltCurve_tr_B0V0T3_B0V0T3_HUMAN_.pdf</v>
      </c>
      <c r="AA3035" t="s">
        <v>13882</v>
      </c>
      <c r="AB3035" t="s">
        <v>17459</v>
      </c>
    </row>
    <row r="3036" spans="1:28" x14ac:dyDescent="0.25">
      <c r="A3036" t="s">
        <v>3040</v>
      </c>
      <c r="B3036">
        <v>0.98018197421672304</v>
      </c>
      <c r="C3036">
        <v>0.93339609872529805</v>
      </c>
      <c r="D3036">
        <v>0.87476494616035605</v>
      </c>
      <c r="E3036">
        <v>0.80905215660341601</v>
      </c>
      <c r="F3036">
        <v>0.70184072560148103</v>
      </c>
      <c r="G3036">
        <v>0.457159667777922</v>
      </c>
      <c r="H3036">
        <v>0.22115306527748599</v>
      </c>
      <c r="I3036">
        <v>0.10221122942598999</v>
      </c>
      <c r="J3036">
        <v>6.6564366017780804E-2</v>
      </c>
      <c r="K3036">
        <v>4.9514163604096502E-2</v>
      </c>
      <c r="L3036">
        <v>769.82206611514096</v>
      </c>
      <c r="M3036">
        <v>13.822301933363899</v>
      </c>
      <c r="N3036">
        <v>55.694201936617098</v>
      </c>
      <c r="O3036">
        <v>54.567292271004497</v>
      </c>
      <c r="P3036">
        <v>-6.3335673345386007E-2</v>
      </c>
      <c r="Q3036">
        <v>0</v>
      </c>
      <c r="R3036">
        <v>0.98997723214936295</v>
      </c>
      <c r="S3036" t="s">
        <v>6665</v>
      </c>
      <c r="T3036" t="s">
        <v>7256</v>
      </c>
      <c r="U3036" t="s">
        <v>7256</v>
      </c>
      <c r="V3036" t="s">
        <v>7256</v>
      </c>
      <c r="W3036">
        <v>21</v>
      </c>
      <c r="X3036" t="s">
        <v>10292</v>
      </c>
      <c r="Y3036">
        <v>0.54269194020894829</v>
      </c>
      <c r="Z3036" t="str">
        <f>HYPERLINK("Melting_Curves/meltCurve_tr_B1AK87_B1AK87_HUMAN_.pdf", "Melting_Curves/meltCurve_tr_B1AK87_B1AK87_HUMAN_.pdf")</f>
        <v>Melting_Curves/meltCurve_tr_B1AK87_B1AK87_HUMAN_.pdf</v>
      </c>
      <c r="AA3036" t="s">
        <v>13883</v>
      </c>
      <c r="AB3036" t="s">
        <v>17460</v>
      </c>
    </row>
    <row r="3037" spans="1:28" x14ac:dyDescent="0.25">
      <c r="A3037" t="s">
        <v>3041</v>
      </c>
      <c r="B3037">
        <v>0.98018197421672304</v>
      </c>
      <c r="C3037">
        <v>0.824240208648226</v>
      </c>
      <c r="D3037">
        <v>0.81657414564754705</v>
      </c>
      <c r="E3037">
        <v>0.69441074515625301</v>
      </c>
      <c r="F3037">
        <v>0.53795173160683696</v>
      </c>
      <c r="G3037">
        <v>0.33098093105207099</v>
      </c>
      <c r="H3037">
        <v>0.223447824050056</v>
      </c>
      <c r="I3037">
        <v>0.202836043142437</v>
      </c>
      <c r="J3037">
        <v>0.170558807272917</v>
      </c>
      <c r="K3037">
        <v>0.123032081935276</v>
      </c>
      <c r="L3037">
        <v>486.54493208350999</v>
      </c>
      <c r="M3037">
        <v>9.1463988040996593</v>
      </c>
      <c r="N3037">
        <v>53.460711763967097</v>
      </c>
      <c r="O3037">
        <v>50.837484854345703</v>
      </c>
      <c r="P3037">
        <v>-4.4010092971971899E-2</v>
      </c>
      <c r="Q3037">
        <v>2.22009619121755E-2</v>
      </c>
      <c r="R3037">
        <v>0.98727390576650897</v>
      </c>
      <c r="S3037" t="s">
        <v>6666</v>
      </c>
      <c r="T3037" t="s">
        <v>7256</v>
      </c>
      <c r="U3037" t="s">
        <v>7256</v>
      </c>
      <c r="V3037" t="s">
        <v>7256</v>
      </c>
      <c r="W3037">
        <v>6</v>
      </c>
      <c r="X3037" t="s">
        <v>10293</v>
      </c>
      <c r="Y3037">
        <v>0.48743810282811878</v>
      </c>
      <c r="Z3037" t="str">
        <f>HYPERLINK("Melting_Curves/meltCurve_tr_B1AKG0_B1AKG0_HUMAN_.pdf", "Melting_Curves/meltCurve_tr_B1AKG0_B1AKG0_HUMAN_.pdf")</f>
        <v>Melting_Curves/meltCurve_tr_B1AKG0_B1AKG0_HUMAN_.pdf</v>
      </c>
      <c r="AA3037" t="s">
        <v>13884</v>
      </c>
      <c r="AB3037" t="s">
        <v>17461</v>
      </c>
    </row>
    <row r="3038" spans="1:28" x14ac:dyDescent="0.25">
      <c r="A3038" t="s">
        <v>3042</v>
      </c>
      <c r="B3038">
        <v>0.98018197421672304</v>
      </c>
      <c r="C3038">
        <v>0.87164619604560001</v>
      </c>
      <c r="D3038">
        <v>0.89203199720840298</v>
      </c>
      <c r="E3038">
        <v>0.70483242938600699</v>
      </c>
      <c r="F3038">
        <v>0.47415933441957903</v>
      </c>
      <c r="G3038">
        <v>0.318264244715323</v>
      </c>
      <c r="H3038">
        <v>0.44087993637150902</v>
      </c>
      <c r="I3038">
        <v>0.45475306563976597</v>
      </c>
      <c r="J3038">
        <v>0.67966886231747403</v>
      </c>
      <c r="K3038">
        <v>0.48646615008844701</v>
      </c>
      <c r="L3038">
        <v>1264.3626999673099</v>
      </c>
      <c r="M3038">
        <v>26.003962470840499</v>
      </c>
      <c r="N3038">
        <v>54.618905498653199</v>
      </c>
      <c r="O3038">
        <v>48.337103012619799</v>
      </c>
      <c r="P3038">
        <v>-7.1117020057655203E-2</v>
      </c>
      <c r="Q3038">
        <v>0.47122645609220798</v>
      </c>
      <c r="R3038">
        <v>0.80423068918465102</v>
      </c>
      <c r="S3038" t="s">
        <v>6667</v>
      </c>
      <c r="T3038" t="s">
        <v>7256</v>
      </c>
      <c r="U3038" t="s">
        <v>7256</v>
      </c>
      <c r="V3038" t="s">
        <v>7256</v>
      </c>
      <c r="W3038">
        <v>1</v>
      </c>
      <c r="X3038" t="s">
        <v>10294</v>
      </c>
      <c r="Y3038">
        <v>0.62750321510097673</v>
      </c>
      <c r="Z3038" t="str">
        <f>HYPERLINK("Melting_Curves/meltCurve_tr_B1AKL4_B1AKL4_HUMAN_.pdf", "Melting_Curves/meltCurve_tr_B1AKL4_B1AKL4_HUMAN_.pdf")</f>
        <v>Melting_Curves/meltCurve_tr_B1AKL4_B1AKL4_HUMAN_.pdf</v>
      </c>
      <c r="AA3038" t="s">
        <v>13885</v>
      </c>
      <c r="AB3038" t="s">
        <v>17462</v>
      </c>
    </row>
    <row r="3039" spans="1:28" x14ac:dyDescent="0.25">
      <c r="A3039" t="s">
        <v>3043</v>
      </c>
      <c r="B3039">
        <v>0.98018197421672304</v>
      </c>
      <c r="C3039">
        <v>0.98025260602550002</v>
      </c>
      <c r="D3039">
        <v>0.98003267701532604</v>
      </c>
      <c r="E3039">
        <v>0.87627333994612899</v>
      </c>
      <c r="F3039">
        <v>0.62855353244178902</v>
      </c>
      <c r="G3039">
        <v>0.54045645229720396</v>
      </c>
      <c r="H3039">
        <v>0.68958652405001497</v>
      </c>
      <c r="I3039">
        <v>0.68530357253249996</v>
      </c>
      <c r="J3039">
        <v>0.86547400150133602</v>
      </c>
      <c r="K3039">
        <v>0.49425100484956502</v>
      </c>
      <c r="L3039">
        <v>12530.0497044438</v>
      </c>
      <c r="M3039">
        <v>250</v>
      </c>
      <c r="O3039">
        <v>50.116991230854602</v>
      </c>
      <c r="P3039">
        <v>-0.43572532859782798</v>
      </c>
      <c r="Q3039">
        <v>0.65060411927102202</v>
      </c>
      <c r="R3039">
        <v>0.72357718906631197</v>
      </c>
      <c r="S3039" t="s">
        <v>6668</v>
      </c>
      <c r="T3039" t="s">
        <v>7256</v>
      </c>
      <c r="U3039" t="s">
        <v>7256</v>
      </c>
      <c r="V3039" t="s">
        <v>7256</v>
      </c>
      <c r="W3039">
        <v>5</v>
      </c>
      <c r="X3039" t="s">
        <v>10295</v>
      </c>
      <c r="Y3039">
        <v>0.76850004482799539</v>
      </c>
      <c r="Z3039" t="str">
        <f>HYPERLINK("Melting_Curves/meltCurve_tr_B1AKN7_B1AKN7_HUMAN_.pdf", "Melting_Curves/meltCurve_tr_B1AKN7_B1AKN7_HUMAN_.pdf")</f>
        <v>Melting_Curves/meltCurve_tr_B1AKN7_B1AKN7_HUMAN_.pdf</v>
      </c>
      <c r="AA3039" t="s">
        <v>13886</v>
      </c>
      <c r="AB3039" t="s">
        <v>17463</v>
      </c>
    </row>
    <row r="3040" spans="1:28" x14ac:dyDescent="0.25">
      <c r="A3040" t="s">
        <v>3044</v>
      </c>
      <c r="B3040">
        <v>0.98018197421672304</v>
      </c>
      <c r="C3040">
        <v>0.88065177797559502</v>
      </c>
      <c r="D3040">
        <v>0.93889139521964704</v>
      </c>
      <c r="E3040">
        <v>0.75437690308930005</v>
      </c>
      <c r="F3040">
        <v>0.79471477051070505</v>
      </c>
      <c r="G3040">
        <v>0.55408393831128</v>
      </c>
      <c r="H3040">
        <v>0.47732521543596701</v>
      </c>
      <c r="I3040">
        <v>0.43706191027242097</v>
      </c>
      <c r="J3040">
        <v>0.58219115771333696</v>
      </c>
      <c r="K3040">
        <v>0.48147072583966899</v>
      </c>
      <c r="L3040">
        <v>625.67324750192904</v>
      </c>
      <c r="M3040">
        <v>12.0118466342256</v>
      </c>
      <c r="N3040">
        <v>64.485358917127201</v>
      </c>
      <c r="O3040">
        <v>50.707339336004701</v>
      </c>
      <c r="P3040">
        <v>-3.2559844623177001E-2</v>
      </c>
      <c r="Q3040">
        <v>0.45033374318052999</v>
      </c>
      <c r="R3040">
        <v>0.903140112477966</v>
      </c>
      <c r="S3040" t="s">
        <v>6669</v>
      </c>
      <c r="T3040" t="s">
        <v>7256</v>
      </c>
      <c r="U3040" t="s">
        <v>7256</v>
      </c>
      <c r="V3040" t="s">
        <v>7256</v>
      </c>
      <c r="W3040">
        <v>2</v>
      </c>
      <c r="X3040" t="s">
        <v>10296</v>
      </c>
      <c r="Y3040">
        <v>0.6885139371630552</v>
      </c>
      <c r="Z3040" t="str">
        <f>HYPERLINK("Melting_Curves/meltCurve_tr_B1AKZ5_B1AKZ5_HUMAN_.pdf", "Melting_Curves/meltCurve_tr_B1AKZ5_B1AKZ5_HUMAN_.pdf")</f>
        <v>Melting_Curves/meltCurve_tr_B1AKZ5_B1AKZ5_HUMAN_.pdf</v>
      </c>
      <c r="AA3040" t="s">
        <v>13887</v>
      </c>
      <c r="AB3040" t="s">
        <v>17464</v>
      </c>
    </row>
    <row r="3041" spans="1:28" x14ac:dyDescent="0.25">
      <c r="A3041" t="s">
        <v>3045</v>
      </c>
      <c r="B3041">
        <v>0.98018197421672304</v>
      </c>
      <c r="C3041">
        <v>1.5021933039531401</v>
      </c>
      <c r="D3041">
        <v>1.4270768511687799</v>
      </c>
      <c r="E3041">
        <v>1.3107368866100599</v>
      </c>
      <c r="F3041">
        <v>0.88929556055509995</v>
      </c>
      <c r="G3041">
        <v>0.48494106546182503</v>
      </c>
      <c r="H3041">
        <v>0.47078473131564202</v>
      </c>
      <c r="I3041">
        <v>0.26648594089716299</v>
      </c>
      <c r="J3041">
        <v>0.64584249443258801</v>
      </c>
      <c r="K3041">
        <v>0.35446827091216399</v>
      </c>
      <c r="L3041">
        <v>3690.7906740343101</v>
      </c>
      <c r="M3041">
        <v>68.084169660959205</v>
      </c>
      <c r="N3041">
        <v>55.953928984069499</v>
      </c>
      <c r="O3041">
        <v>54.162542112476601</v>
      </c>
      <c r="P3041">
        <v>-0.17593475788895699</v>
      </c>
      <c r="Q3041">
        <v>0.44015955115385502</v>
      </c>
      <c r="R3041">
        <v>0.67520320817331603</v>
      </c>
      <c r="S3041" t="s">
        <v>6670</v>
      </c>
      <c r="T3041" t="s">
        <v>7256</v>
      </c>
      <c r="U3041" t="s">
        <v>7256</v>
      </c>
      <c r="V3041" t="s">
        <v>7256</v>
      </c>
      <c r="W3041">
        <v>1</v>
      </c>
      <c r="X3041" t="s">
        <v>10297</v>
      </c>
      <c r="Y3041">
        <v>0.70604312577392969</v>
      </c>
      <c r="Z3041" t="str">
        <f>HYPERLINK("Melting_Curves/meltCurve_tr_B1AL69_B1AL69_HUMAN_.pdf", "Melting_Curves/meltCurve_tr_B1AL69_B1AL69_HUMAN_.pdf")</f>
        <v>Melting_Curves/meltCurve_tr_B1AL69_B1AL69_HUMAN_.pdf</v>
      </c>
      <c r="AA3041" t="s">
        <v>13888</v>
      </c>
      <c r="AB3041" t="s">
        <v>17465</v>
      </c>
    </row>
    <row r="3042" spans="1:28" x14ac:dyDescent="0.25">
      <c r="A3042" t="s">
        <v>3046</v>
      </c>
      <c r="B3042">
        <v>0.98018197421672304</v>
      </c>
      <c r="C3042">
        <v>0.90835543143327002</v>
      </c>
      <c r="D3042">
        <v>0.85044871850065795</v>
      </c>
      <c r="E3042">
        <v>0.71952407251120698</v>
      </c>
      <c r="F3042">
        <v>0.63304416834682897</v>
      </c>
      <c r="G3042">
        <v>0.47402760335309801</v>
      </c>
      <c r="H3042">
        <v>0.380576358964273</v>
      </c>
      <c r="I3042">
        <v>0.41589783845974698</v>
      </c>
      <c r="J3042">
        <v>0.39735123714186998</v>
      </c>
      <c r="K3042">
        <v>0.48983363260604901</v>
      </c>
      <c r="L3042">
        <v>664.35972807532403</v>
      </c>
      <c r="M3042">
        <v>13.2424662063586</v>
      </c>
      <c r="N3042">
        <v>56.841520598227</v>
      </c>
      <c r="O3042">
        <v>49.066221738570903</v>
      </c>
      <c r="P3042">
        <v>-4.0870949030226103E-2</v>
      </c>
      <c r="Q3042">
        <v>0.39435649419289098</v>
      </c>
      <c r="R3042">
        <v>0.967545885693749</v>
      </c>
      <c r="S3042" t="s">
        <v>6671</v>
      </c>
      <c r="T3042" t="s">
        <v>7256</v>
      </c>
      <c r="U3042" t="s">
        <v>7256</v>
      </c>
      <c r="V3042" t="s">
        <v>7256</v>
      </c>
      <c r="W3042">
        <v>16</v>
      </c>
      <c r="X3042" t="s">
        <v>10298</v>
      </c>
      <c r="Y3042">
        <v>0.61739418943257185</v>
      </c>
      <c r="Z3042" t="str">
        <f>HYPERLINK("Melting_Curves/meltCurve_tr_B1ALY0_B1ALY0_HUMAN_.pdf", "Melting_Curves/meltCurve_tr_B1ALY0_B1ALY0_HUMAN_.pdf")</f>
        <v>Melting_Curves/meltCurve_tr_B1ALY0_B1ALY0_HUMAN_.pdf</v>
      </c>
      <c r="AA3042" t="s">
        <v>13889</v>
      </c>
      <c r="AB3042" t="s">
        <v>17466</v>
      </c>
    </row>
    <row r="3043" spans="1:28" x14ac:dyDescent="0.25">
      <c r="A3043" t="s">
        <v>3047</v>
      </c>
      <c r="B3043">
        <v>0.98018197421672304</v>
      </c>
      <c r="C3043">
        <v>0.92963079944256699</v>
      </c>
      <c r="D3043">
        <v>0.93742138276814502</v>
      </c>
      <c r="E3043">
        <v>0.79107843591996696</v>
      </c>
      <c r="F3043">
        <v>0.61096861033128302</v>
      </c>
      <c r="G3043">
        <v>0.29698161122470101</v>
      </c>
      <c r="H3043">
        <v>0.13132222007192099</v>
      </c>
      <c r="I3043">
        <v>0.115201880467466</v>
      </c>
      <c r="J3043">
        <v>0.101022437956692</v>
      </c>
      <c r="K3043">
        <v>6.4836630567026404E-2</v>
      </c>
      <c r="L3043">
        <v>928.95095335213796</v>
      </c>
      <c r="M3043">
        <v>17.278743907452998</v>
      </c>
      <c r="N3043">
        <v>54.097229769133698</v>
      </c>
      <c r="O3043">
        <v>53.058019254043103</v>
      </c>
      <c r="P3043">
        <v>-7.7293134358368099E-2</v>
      </c>
      <c r="Q3043">
        <v>5.0675668152947301E-2</v>
      </c>
      <c r="R3043">
        <v>0.99558725776829504</v>
      </c>
      <c r="S3043" t="s">
        <v>6672</v>
      </c>
      <c r="T3043" t="s">
        <v>7256</v>
      </c>
      <c r="U3043" t="s">
        <v>7256</v>
      </c>
      <c r="V3043" t="s">
        <v>7256</v>
      </c>
      <c r="W3043">
        <v>2</v>
      </c>
      <c r="X3043" t="s">
        <v>10299</v>
      </c>
      <c r="Y3043">
        <v>0.50242692816409729</v>
      </c>
      <c r="Z3043" t="str">
        <f>HYPERLINK("Melting_Curves/meltCurve_tr_B1AMX9_B1AMX9_HUMAN_.pdf", "Melting_Curves/meltCurve_tr_B1AMX9_B1AMX9_HUMAN_.pdf")</f>
        <v>Melting_Curves/meltCurve_tr_B1AMX9_B1AMX9_HUMAN_.pdf</v>
      </c>
      <c r="AA3043" t="s">
        <v>13890</v>
      </c>
      <c r="AB3043" t="s">
        <v>17467</v>
      </c>
    </row>
    <row r="3044" spans="1:28" x14ac:dyDescent="0.25">
      <c r="A3044" t="s">
        <v>3048</v>
      </c>
      <c r="B3044">
        <v>0.98018197421672304</v>
      </c>
      <c r="C3044">
        <v>1.0292513654792499</v>
      </c>
      <c r="D3044">
        <v>0.82017434814415802</v>
      </c>
      <c r="E3044">
        <v>0.38491012181072998</v>
      </c>
      <c r="F3044">
        <v>0.189834081668218</v>
      </c>
      <c r="G3044">
        <v>0.120466691397138</v>
      </c>
      <c r="H3044">
        <v>7.5721476957276504E-2</v>
      </c>
      <c r="I3044">
        <v>7.0266056131549598E-2</v>
      </c>
      <c r="J3044">
        <v>7.3168614867979195E-2</v>
      </c>
      <c r="K3044">
        <v>7.2528014911767802E-2</v>
      </c>
      <c r="L3044">
        <v>1248.9001392263499</v>
      </c>
      <c r="M3044">
        <v>25.644570784177301</v>
      </c>
      <c r="N3044">
        <v>49.021473617487203</v>
      </c>
      <c r="O3044">
        <v>48.407104320644201</v>
      </c>
      <c r="P3044">
        <v>-0.122204047075714</v>
      </c>
      <c r="Q3044">
        <v>7.7313442845687697E-2</v>
      </c>
      <c r="R3044">
        <v>0.99693464268922205</v>
      </c>
      <c r="S3044" t="s">
        <v>6673</v>
      </c>
      <c r="T3044" t="s">
        <v>7256</v>
      </c>
      <c r="U3044" t="s">
        <v>7256</v>
      </c>
      <c r="V3044" t="s">
        <v>7256</v>
      </c>
      <c r="W3044">
        <v>5</v>
      </c>
      <c r="X3044" t="s">
        <v>10300</v>
      </c>
      <c r="Y3044">
        <v>0.35264652534320651</v>
      </c>
      <c r="Z3044" t="str">
        <f>HYPERLINK("Melting_Curves/meltCurve_tr_B1ANH0_B1ANH0_HUMAN_.pdf", "Melting_Curves/meltCurve_tr_B1ANH0_B1ANH0_HUMAN_.pdf")</f>
        <v>Melting_Curves/meltCurve_tr_B1ANH0_B1ANH0_HUMAN_.pdf</v>
      </c>
      <c r="AA3044" t="s">
        <v>13891</v>
      </c>
      <c r="AB3044" t="s">
        <v>17468</v>
      </c>
    </row>
    <row r="3045" spans="1:28" x14ac:dyDescent="0.25">
      <c r="A3045" t="s">
        <v>3049</v>
      </c>
      <c r="B3045">
        <v>0.98018197421672304</v>
      </c>
      <c r="C3045">
        <v>0.78914806069559496</v>
      </c>
      <c r="D3045">
        <v>0.70717457344517298</v>
      </c>
      <c r="E3045">
        <v>0.41190341295937599</v>
      </c>
      <c r="F3045">
        <v>0.38450720880609002</v>
      </c>
      <c r="G3045">
        <v>0.20745050808878801</v>
      </c>
      <c r="H3045">
        <v>0.17477483834722601</v>
      </c>
      <c r="I3045">
        <v>0.14539312902232601</v>
      </c>
      <c r="J3045">
        <v>0.46529853994152898</v>
      </c>
      <c r="K3045">
        <v>0.39984936794917603</v>
      </c>
      <c r="L3045">
        <v>833.28649417131999</v>
      </c>
      <c r="M3045">
        <v>18.0261095492321</v>
      </c>
      <c r="N3045">
        <v>48.416623419681898</v>
      </c>
      <c r="O3045">
        <v>45.668999592019503</v>
      </c>
      <c r="P3045">
        <v>-7.1174115803396706E-2</v>
      </c>
      <c r="Q3045">
        <v>0.27875924840007399</v>
      </c>
      <c r="R3045">
        <v>0.858434137239517</v>
      </c>
      <c r="S3045" t="s">
        <v>6674</v>
      </c>
      <c r="T3045" t="s">
        <v>7256</v>
      </c>
      <c r="U3045" t="s">
        <v>7256</v>
      </c>
      <c r="V3045" t="s">
        <v>7256</v>
      </c>
      <c r="W3045">
        <v>2</v>
      </c>
      <c r="X3045" t="s">
        <v>10301</v>
      </c>
      <c r="Y3045">
        <v>0.44233821029687548</v>
      </c>
      <c r="Z3045" t="str">
        <f>HYPERLINK("Melting_Curves/meltCurve_tr_B3KP49_B3KP49_HUMAN_.pdf", "Melting_Curves/meltCurve_tr_B3KP49_B3KP49_HUMAN_.pdf")</f>
        <v>Melting_Curves/meltCurve_tr_B3KP49_B3KP49_HUMAN_.pdf</v>
      </c>
      <c r="AA3045" t="s">
        <v>13892</v>
      </c>
      <c r="AB3045" t="s">
        <v>17469</v>
      </c>
    </row>
    <row r="3046" spans="1:28" x14ac:dyDescent="0.25">
      <c r="A3046" t="s">
        <v>3050</v>
      </c>
      <c r="B3046">
        <v>0.98018197421672304</v>
      </c>
      <c r="C3046">
        <v>0.92483490132025004</v>
      </c>
      <c r="D3046">
        <v>0.91565541490426805</v>
      </c>
      <c r="E3046">
        <v>0.81466505025949398</v>
      </c>
      <c r="F3046">
        <v>0.614924098900404</v>
      </c>
      <c r="G3046">
        <v>0.28299793677723001</v>
      </c>
      <c r="H3046">
        <v>0.18917875816215801</v>
      </c>
      <c r="I3046">
        <v>0.167679573914258</v>
      </c>
      <c r="J3046">
        <v>0.16374208816998501</v>
      </c>
      <c r="K3046">
        <v>0.17521248549757501</v>
      </c>
      <c r="L3046">
        <v>1094.9992250732801</v>
      </c>
      <c r="M3046">
        <v>20.617489932090201</v>
      </c>
      <c r="N3046">
        <v>54.019984030398497</v>
      </c>
      <c r="O3046">
        <v>52.618143794462398</v>
      </c>
      <c r="P3046">
        <v>-8.3592420667256195E-2</v>
      </c>
      <c r="Q3046">
        <v>0.146675747759514</v>
      </c>
      <c r="R3046">
        <v>0.99104097509489097</v>
      </c>
      <c r="S3046" t="s">
        <v>6675</v>
      </c>
      <c r="T3046" t="s">
        <v>7256</v>
      </c>
      <c r="U3046" t="s">
        <v>7256</v>
      </c>
      <c r="V3046" t="s">
        <v>7256</v>
      </c>
      <c r="W3046">
        <v>9</v>
      </c>
      <c r="X3046" t="s">
        <v>10302</v>
      </c>
      <c r="Y3046">
        <v>0.53071500323812049</v>
      </c>
      <c r="Z3046" t="str">
        <f>HYPERLINK("Melting_Curves/meltCurve_tr_B3KSI9_B3KSI9_HUMAN_.pdf", "Melting_Curves/meltCurve_tr_B3KSI9_B3KSI9_HUMAN_.pdf")</f>
        <v>Melting_Curves/meltCurve_tr_B3KSI9_B3KSI9_HUMAN_.pdf</v>
      </c>
      <c r="AA3046" t="s">
        <v>13893</v>
      </c>
      <c r="AB3046" t="s">
        <v>17470</v>
      </c>
    </row>
    <row r="3047" spans="1:28" x14ac:dyDescent="0.25">
      <c r="A3047" t="s">
        <v>3051</v>
      </c>
      <c r="B3047">
        <v>0.98018197421672304</v>
      </c>
      <c r="C3047">
        <v>0.97026264466451495</v>
      </c>
      <c r="D3047">
        <v>0.83982382146381795</v>
      </c>
      <c r="E3047">
        <v>0.71869616987849405</v>
      </c>
      <c r="F3047">
        <v>0.54036955525340402</v>
      </c>
      <c r="G3047">
        <v>0.36052657804872501</v>
      </c>
      <c r="H3047">
        <v>0.35354703880063598</v>
      </c>
      <c r="I3047">
        <v>0.337411307557069</v>
      </c>
      <c r="J3047">
        <v>0.43813880265850502</v>
      </c>
      <c r="K3047">
        <v>0.66073140376998696</v>
      </c>
      <c r="L3047">
        <v>1042.16179051579</v>
      </c>
      <c r="M3047">
        <v>21.194508631363899</v>
      </c>
      <c r="N3047">
        <v>54.129255161482</v>
      </c>
      <c r="O3047">
        <v>48.739848413296897</v>
      </c>
      <c r="P3047">
        <v>-6.2158886386724503E-2</v>
      </c>
      <c r="Q3047">
        <v>0.42824124521641199</v>
      </c>
      <c r="R3047">
        <v>0.85040189915398701</v>
      </c>
      <c r="S3047" t="s">
        <v>6676</v>
      </c>
      <c r="T3047" t="s">
        <v>7256</v>
      </c>
      <c r="U3047" t="s">
        <v>7256</v>
      </c>
      <c r="V3047" t="s">
        <v>7256</v>
      </c>
      <c r="W3047">
        <v>2</v>
      </c>
      <c r="X3047" t="s">
        <v>10303</v>
      </c>
      <c r="Y3047">
        <v>0.61014409664014291</v>
      </c>
      <c r="Z3047" t="str">
        <f>HYPERLINK("Melting_Curves/meltCurve_tr_B3KVH8_B3KVH8_HUMAN_.pdf", "Melting_Curves/meltCurve_tr_B3KVH8_B3KVH8_HUMAN_.pdf")</f>
        <v>Melting_Curves/meltCurve_tr_B3KVH8_B3KVH8_HUMAN_.pdf</v>
      </c>
      <c r="AA3047" t="s">
        <v>13894</v>
      </c>
      <c r="AB3047" t="s">
        <v>17471</v>
      </c>
    </row>
    <row r="3048" spans="1:28" x14ac:dyDescent="0.25">
      <c r="A3048" t="s">
        <v>3052</v>
      </c>
      <c r="B3048">
        <v>0.98018197421672304</v>
      </c>
      <c r="C3048">
        <v>0.89741799018832202</v>
      </c>
      <c r="D3048">
        <v>0.80645142090255995</v>
      </c>
      <c r="E3048">
        <v>0.37617620123154899</v>
      </c>
      <c r="F3048">
        <v>0.24923969630072201</v>
      </c>
      <c r="G3048">
        <v>0.13358345706427999</v>
      </c>
      <c r="H3048">
        <v>9.7472648124319494E-2</v>
      </c>
      <c r="I3048">
        <v>7.4675021877431802E-2</v>
      </c>
      <c r="J3048">
        <v>8.2360695677139203E-2</v>
      </c>
      <c r="K3048">
        <v>6.8598034526085205E-2</v>
      </c>
      <c r="L3048">
        <v>945.87067395162001</v>
      </c>
      <c r="M3048">
        <v>19.474278435235501</v>
      </c>
      <c r="N3048">
        <v>48.981966865119396</v>
      </c>
      <c r="O3048">
        <v>48.066798169193</v>
      </c>
      <c r="P3048">
        <v>-9.3644072525052899E-2</v>
      </c>
      <c r="Q3048">
        <v>7.5496778995388397E-2</v>
      </c>
      <c r="R3048">
        <v>0.99596483541467795</v>
      </c>
      <c r="S3048" t="s">
        <v>6677</v>
      </c>
      <c r="T3048" t="s">
        <v>7256</v>
      </c>
      <c r="U3048" t="s">
        <v>7256</v>
      </c>
      <c r="V3048" t="s">
        <v>7256</v>
      </c>
      <c r="W3048">
        <v>4</v>
      </c>
      <c r="X3048" t="s">
        <v>10304</v>
      </c>
      <c r="Y3048">
        <v>0.3533537966604679</v>
      </c>
      <c r="Z3048" t="str">
        <f>HYPERLINK("Melting_Curves/meltCurve_tr_B3KWW1_B3KWW1_HUMAN_.pdf", "Melting_Curves/meltCurve_tr_B3KWW1_B3KWW1_HUMAN_.pdf")</f>
        <v>Melting_Curves/meltCurve_tr_B3KWW1_B3KWW1_HUMAN_.pdf</v>
      </c>
      <c r="AA3048" t="s">
        <v>13895</v>
      </c>
      <c r="AB3048" t="s">
        <v>17472</v>
      </c>
    </row>
    <row r="3049" spans="1:28" x14ac:dyDescent="0.25">
      <c r="A3049" t="s">
        <v>3053</v>
      </c>
      <c r="B3049">
        <v>0.98018197421672304</v>
      </c>
      <c r="C3049">
        <v>0.917645476385755</v>
      </c>
      <c r="D3049">
        <v>0.84729081540206297</v>
      </c>
      <c r="E3049">
        <v>0.59077005228628998</v>
      </c>
      <c r="F3049">
        <v>0.35380359387098897</v>
      </c>
      <c r="G3049">
        <v>0.21245522691784299</v>
      </c>
      <c r="H3049">
        <v>0.14186053157154799</v>
      </c>
      <c r="I3049">
        <v>0.10587147940536</v>
      </c>
      <c r="J3049">
        <v>0.116084963477657</v>
      </c>
      <c r="K3049">
        <v>6.8369517729485504E-2</v>
      </c>
      <c r="L3049">
        <v>790.09863268772904</v>
      </c>
      <c r="M3049">
        <v>15.641774673890801</v>
      </c>
      <c r="N3049">
        <v>51.0508298073999</v>
      </c>
      <c r="O3049">
        <v>49.708086550519603</v>
      </c>
      <c r="P3049">
        <v>-7.2689108099700195E-2</v>
      </c>
      <c r="Q3049">
        <v>7.6082649932227603E-2</v>
      </c>
      <c r="R3049">
        <v>0.99789743389252905</v>
      </c>
      <c r="S3049" t="s">
        <v>6678</v>
      </c>
      <c r="T3049" t="s">
        <v>7256</v>
      </c>
      <c r="U3049" t="s">
        <v>7256</v>
      </c>
      <c r="V3049" t="s">
        <v>7256</v>
      </c>
      <c r="W3049">
        <v>4</v>
      </c>
      <c r="X3049" t="s">
        <v>10305</v>
      </c>
      <c r="Y3049">
        <v>0.4199872898881119</v>
      </c>
      <c r="Z3049" t="str">
        <f>HYPERLINK("Melting_Curves/meltCurve_tr_B3KY83_B3KY83_HUMAN_.pdf", "Melting_Curves/meltCurve_tr_B3KY83_B3KY83_HUMAN_.pdf")</f>
        <v>Melting_Curves/meltCurve_tr_B3KY83_B3KY83_HUMAN_.pdf</v>
      </c>
      <c r="AA3049" t="s">
        <v>13896</v>
      </c>
      <c r="AB3049" t="s">
        <v>17473</v>
      </c>
    </row>
    <row r="3050" spans="1:28" x14ac:dyDescent="0.25">
      <c r="A3050" t="s">
        <v>3054</v>
      </c>
      <c r="B3050">
        <v>0.98018197421672304</v>
      </c>
      <c r="C3050">
        <v>0.89954247672396404</v>
      </c>
      <c r="D3050">
        <v>0.94192057259307205</v>
      </c>
      <c r="E3050">
        <v>0.87426137131421999</v>
      </c>
      <c r="F3050">
        <v>0.88901546035429602</v>
      </c>
      <c r="G3050">
        <v>0.76921982390424004</v>
      </c>
      <c r="H3050">
        <v>0.60628887046713198</v>
      </c>
      <c r="I3050">
        <v>0.60007379299379504</v>
      </c>
      <c r="J3050">
        <v>0.53122969088409</v>
      </c>
      <c r="K3050">
        <v>0.19096627095397201</v>
      </c>
      <c r="L3050">
        <v>566.179465286903</v>
      </c>
      <c r="M3050">
        <v>8.7407542944263508</v>
      </c>
      <c r="N3050">
        <v>64.774665195846694</v>
      </c>
      <c r="O3050">
        <v>61.652411928226002</v>
      </c>
      <c r="P3050">
        <v>-3.5472430040050802E-2</v>
      </c>
      <c r="Q3050">
        <v>0</v>
      </c>
      <c r="R3050">
        <v>0.90462296201706005</v>
      </c>
      <c r="S3050" t="s">
        <v>6679</v>
      </c>
      <c r="T3050" t="s">
        <v>7256</v>
      </c>
      <c r="U3050" t="s">
        <v>7256</v>
      </c>
      <c r="V3050" t="s">
        <v>7256</v>
      </c>
      <c r="W3050">
        <v>3</v>
      </c>
      <c r="X3050" t="s">
        <v>10306</v>
      </c>
      <c r="Y3050">
        <v>0.76216228321205959</v>
      </c>
      <c r="Z3050" t="str">
        <f>HYPERLINK("Melting_Curves/meltCurve_tr_B4DDD1_B4DDD1_HUMAN_.pdf", "Melting_Curves/meltCurve_tr_B4DDD1_B4DDD1_HUMAN_.pdf")</f>
        <v>Melting_Curves/meltCurve_tr_B4DDD1_B4DDD1_HUMAN_.pdf</v>
      </c>
      <c r="AA3050" t="s">
        <v>13897</v>
      </c>
      <c r="AB3050" t="s">
        <v>17474</v>
      </c>
    </row>
    <row r="3051" spans="1:28" x14ac:dyDescent="0.25">
      <c r="A3051" t="s">
        <v>3055</v>
      </c>
      <c r="B3051">
        <v>0.98018197421672304</v>
      </c>
      <c r="C3051">
        <v>0.72043972576935</v>
      </c>
      <c r="D3051">
        <v>0.92181942397542305</v>
      </c>
      <c r="E3051">
        <v>0.99185295453585598</v>
      </c>
      <c r="F3051">
        <v>0.831712813699517</v>
      </c>
      <c r="G3051">
        <v>0.54009443785100797</v>
      </c>
      <c r="H3051">
        <v>0.44406584079994599</v>
      </c>
      <c r="I3051">
        <v>0.47458209984071698</v>
      </c>
      <c r="J3051">
        <v>0.63696321985896498</v>
      </c>
      <c r="K3051">
        <v>0.50562407301368495</v>
      </c>
      <c r="L3051">
        <v>2915.0544670393301</v>
      </c>
      <c r="M3051">
        <v>54.369031709803302</v>
      </c>
      <c r="O3051">
        <v>53.543691858366003</v>
      </c>
      <c r="P3051">
        <v>-0.122768874384102</v>
      </c>
      <c r="Q3051">
        <v>0.51637947569817</v>
      </c>
      <c r="R3051">
        <v>0.74300771284141998</v>
      </c>
      <c r="S3051" t="s">
        <v>6680</v>
      </c>
      <c r="T3051" t="s">
        <v>7256</v>
      </c>
      <c r="U3051" t="s">
        <v>7256</v>
      </c>
      <c r="V3051" t="s">
        <v>7256</v>
      </c>
      <c r="W3051">
        <v>17</v>
      </c>
      <c r="X3051" t="s">
        <v>10307</v>
      </c>
      <c r="Y3051">
        <v>0.73684644749041039</v>
      </c>
      <c r="Z3051" t="str">
        <f>HYPERLINK("Melting_Curves/meltCurve_tr_B4DDD6_B4DDD6_HUMAN_.pdf", "Melting_Curves/meltCurve_tr_B4DDD6_B4DDD6_HUMAN_.pdf")</f>
        <v>Melting_Curves/meltCurve_tr_B4DDD6_B4DDD6_HUMAN_.pdf</v>
      </c>
      <c r="AA3051" t="s">
        <v>13674</v>
      </c>
      <c r="AB3051" t="s">
        <v>17251</v>
      </c>
    </row>
    <row r="3052" spans="1:28" x14ac:dyDescent="0.25">
      <c r="A3052" t="s">
        <v>3056</v>
      </c>
      <c r="B3052">
        <v>0.98018197421672304</v>
      </c>
      <c r="C3052">
        <v>1.04475030638813</v>
      </c>
      <c r="D3052">
        <v>0.96625199830884401</v>
      </c>
      <c r="E3052">
        <v>0.81538367368361497</v>
      </c>
      <c r="F3052">
        <v>0.60560761509880301</v>
      </c>
      <c r="G3052">
        <v>0.32624542930558997</v>
      </c>
      <c r="H3052">
        <v>0.22766397628760701</v>
      </c>
      <c r="I3052">
        <v>0.181927717140871</v>
      </c>
      <c r="J3052">
        <v>0.20271370683562101</v>
      </c>
      <c r="K3052">
        <v>0.240871471315873</v>
      </c>
      <c r="L3052">
        <v>1204.2392787599299</v>
      </c>
      <c r="M3052">
        <v>22.7656911832261</v>
      </c>
      <c r="N3052">
        <v>54.099709228160897</v>
      </c>
      <c r="O3052">
        <v>52.494038121488302</v>
      </c>
      <c r="P3052">
        <v>-8.6893191543143095E-2</v>
      </c>
      <c r="Q3052">
        <v>0.19856858853194001</v>
      </c>
      <c r="R3052">
        <v>0.99499556630523101</v>
      </c>
      <c r="S3052" t="s">
        <v>6681</v>
      </c>
      <c r="T3052" t="s">
        <v>7256</v>
      </c>
      <c r="U3052" t="s">
        <v>7256</v>
      </c>
      <c r="V3052" t="s">
        <v>7256</v>
      </c>
      <c r="W3052">
        <v>10</v>
      </c>
      <c r="X3052" t="s">
        <v>10308</v>
      </c>
      <c r="Y3052">
        <v>0.55187761201505836</v>
      </c>
      <c r="Z3052" t="str">
        <f>HYPERLINK("Melting_Curves/meltCurve_tr_B4DDF4_B4DDF4_HUMAN_.pdf", "Melting_Curves/meltCurve_tr_B4DDF4_B4DDF4_HUMAN_.pdf")</f>
        <v>Melting_Curves/meltCurve_tr_B4DDF4_B4DDF4_HUMAN_.pdf</v>
      </c>
      <c r="AA3052" t="s">
        <v>13898</v>
      </c>
      <c r="AB3052" t="s">
        <v>17475</v>
      </c>
    </row>
    <row r="3053" spans="1:28" x14ac:dyDescent="0.25">
      <c r="A3053" t="s">
        <v>3057</v>
      </c>
      <c r="B3053">
        <v>0.98018197421672304</v>
      </c>
      <c r="C3053">
        <v>1.0188503815032299</v>
      </c>
      <c r="D3053">
        <v>0.87225192300407095</v>
      </c>
      <c r="E3053">
        <v>0.59865839951480104</v>
      </c>
      <c r="F3053">
        <v>0.269586379311263</v>
      </c>
      <c r="G3053">
        <v>0.14057624154607501</v>
      </c>
      <c r="H3053">
        <v>0.120074001092513</v>
      </c>
      <c r="I3053">
        <v>4.7764727892822802E-2</v>
      </c>
      <c r="J3053">
        <v>3.8115463305869401E-2</v>
      </c>
      <c r="K3053">
        <v>7.7936629968586593E-2</v>
      </c>
      <c r="L3053">
        <v>1124.9665388127301</v>
      </c>
      <c r="M3053">
        <v>22.316722463200499</v>
      </c>
      <c r="N3053">
        <v>50.711924073790797</v>
      </c>
      <c r="O3053">
        <v>50.009603468715703</v>
      </c>
      <c r="P3053">
        <v>-0.104605461584471</v>
      </c>
      <c r="Q3053">
        <v>6.2377147846884098E-2</v>
      </c>
      <c r="R3053">
        <v>0.99528183318591101</v>
      </c>
      <c r="S3053" t="s">
        <v>6682</v>
      </c>
      <c r="T3053" t="s">
        <v>7256</v>
      </c>
      <c r="U3053" t="s">
        <v>7256</v>
      </c>
      <c r="V3053" t="s">
        <v>7256</v>
      </c>
      <c r="W3053">
        <v>1</v>
      </c>
      <c r="X3053" t="s">
        <v>10309</v>
      </c>
      <c r="Y3053">
        <v>0.39824149556946431</v>
      </c>
      <c r="Z3053" t="str">
        <f>HYPERLINK("Melting_Curves/meltCurve_tr_B4DDZ0_B4DDZ0_HUMAN_.pdf", "Melting_Curves/meltCurve_tr_B4DDZ0_B4DDZ0_HUMAN_.pdf")</f>
        <v>Melting_Curves/meltCurve_tr_B4DDZ0_B4DDZ0_HUMAN_.pdf</v>
      </c>
      <c r="AA3053" t="s">
        <v>13899</v>
      </c>
      <c r="AB3053" t="s">
        <v>17476</v>
      </c>
    </row>
    <row r="3054" spans="1:28" x14ac:dyDescent="0.25">
      <c r="A3054" t="s">
        <v>3058</v>
      </c>
      <c r="B3054">
        <v>0.98018197421672304</v>
      </c>
      <c r="C3054">
        <v>0.77154984796267301</v>
      </c>
      <c r="D3054">
        <v>0.68830832094959804</v>
      </c>
      <c r="E3054">
        <v>0.49428853580972498</v>
      </c>
      <c r="F3054">
        <v>0.36631102706984198</v>
      </c>
      <c r="G3054">
        <v>0.18586250687799799</v>
      </c>
      <c r="H3054">
        <v>0.108039106143366</v>
      </c>
      <c r="I3054">
        <v>8.9000885835870902E-2</v>
      </c>
      <c r="J3054">
        <v>9.6627197855877103E-2</v>
      </c>
      <c r="K3054">
        <v>6.1486381518566197E-2</v>
      </c>
      <c r="L3054">
        <v>513.38371143240204</v>
      </c>
      <c r="M3054">
        <v>10.382047726031599</v>
      </c>
      <c r="N3054">
        <v>49.557971102002902</v>
      </c>
      <c r="O3054">
        <v>47.720089197491603</v>
      </c>
      <c r="P3054">
        <v>-5.3800255819823797E-2</v>
      </c>
      <c r="Q3054">
        <v>1.1265683073329501E-2</v>
      </c>
      <c r="R3054">
        <v>0.99007457506017504</v>
      </c>
      <c r="S3054" t="s">
        <v>6683</v>
      </c>
      <c r="T3054" t="s">
        <v>7256</v>
      </c>
      <c r="U3054" t="s">
        <v>7256</v>
      </c>
      <c r="V3054" t="s">
        <v>7256</v>
      </c>
      <c r="W3054">
        <v>3</v>
      </c>
      <c r="X3054" t="s">
        <v>10310</v>
      </c>
      <c r="Y3054">
        <v>0.3669325441266128</v>
      </c>
      <c r="Z3054" t="str">
        <f>HYPERLINK("Melting_Curves/meltCurve_tr_B4DE16_B4DE16_HUMAN_.pdf", "Melting_Curves/meltCurve_tr_B4DE16_B4DE16_HUMAN_.pdf")</f>
        <v>Melting_Curves/meltCurve_tr_B4DE16_B4DE16_HUMAN_.pdf</v>
      </c>
      <c r="AA3054" t="s">
        <v>13900</v>
      </c>
      <c r="AB3054" t="s">
        <v>17477</v>
      </c>
    </row>
    <row r="3055" spans="1:28" x14ac:dyDescent="0.25">
      <c r="A3055" t="s">
        <v>3059</v>
      </c>
      <c r="B3055">
        <v>0.98018197421672304</v>
      </c>
      <c r="C3055">
        <v>0.83523392886261705</v>
      </c>
      <c r="D3055">
        <v>0.66465563660438698</v>
      </c>
      <c r="E3055">
        <v>0.48702836688573398</v>
      </c>
      <c r="F3055">
        <v>0.312643720642728</v>
      </c>
      <c r="G3055">
        <v>0.18053463584820501</v>
      </c>
      <c r="H3055">
        <v>0.10298511873905</v>
      </c>
      <c r="I3055">
        <v>8.9030496942212503E-2</v>
      </c>
      <c r="J3055">
        <v>8.1981620598030103E-2</v>
      </c>
      <c r="K3055">
        <v>8.7468231633120397E-2</v>
      </c>
      <c r="L3055">
        <v>594.461841306628</v>
      </c>
      <c r="M3055">
        <v>12.1725866262975</v>
      </c>
      <c r="N3055">
        <v>49.221630337267896</v>
      </c>
      <c r="O3055">
        <v>47.574154421424701</v>
      </c>
      <c r="P3055">
        <v>-6.1071924022593801E-2</v>
      </c>
      <c r="Q3055">
        <v>4.5467429516909699E-2</v>
      </c>
      <c r="R3055">
        <v>0.99557462071658198</v>
      </c>
      <c r="S3055" t="s">
        <v>6684</v>
      </c>
      <c r="T3055" t="s">
        <v>7256</v>
      </c>
      <c r="U3055" t="s">
        <v>7256</v>
      </c>
      <c r="V3055" t="s">
        <v>7256</v>
      </c>
      <c r="W3055">
        <v>3</v>
      </c>
      <c r="X3055" t="s">
        <v>10311</v>
      </c>
      <c r="Y3055">
        <v>0.36118425448633279</v>
      </c>
      <c r="Z3055" t="str">
        <f>HYPERLINK("Melting_Curves/meltCurve_tr_B4DFA2_B4DFA2_HUMAN_.pdf", "Melting_Curves/meltCurve_tr_B4DFA2_B4DFA2_HUMAN_.pdf")</f>
        <v>Melting_Curves/meltCurve_tr_B4DFA2_B4DFA2_HUMAN_.pdf</v>
      </c>
      <c r="AA3055" t="s">
        <v>13901</v>
      </c>
      <c r="AB3055" t="s">
        <v>17478</v>
      </c>
    </row>
    <row r="3056" spans="1:28" x14ac:dyDescent="0.25">
      <c r="A3056" t="s">
        <v>3060</v>
      </c>
      <c r="B3056">
        <v>0.98018197421672304</v>
      </c>
      <c r="C3056">
        <v>0.98341980577736099</v>
      </c>
      <c r="D3056">
        <v>0.69948158056327703</v>
      </c>
      <c r="E3056">
        <v>0.50992639752870605</v>
      </c>
      <c r="F3056">
        <v>0.39694048792909897</v>
      </c>
      <c r="G3056">
        <v>0.22376588077446599</v>
      </c>
      <c r="H3056">
        <v>0.12909948268792801</v>
      </c>
      <c r="I3056">
        <v>6.0534773169083601E-2</v>
      </c>
      <c r="J3056">
        <v>0.232498964056226</v>
      </c>
      <c r="K3056">
        <v>9.8339708452021099E-2</v>
      </c>
      <c r="L3056">
        <v>705.03628887810203</v>
      </c>
      <c r="M3056">
        <v>14.2772666893477</v>
      </c>
      <c r="N3056">
        <v>50.221748854645803</v>
      </c>
      <c r="O3056">
        <v>48.443257252176899</v>
      </c>
      <c r="P3056">
        <v>-6.5862529635738895E-2</v>
      </c>
      <c r="Q3056">
        <v>0.10621421928743199</v>
      </c>
      <c r="R3056">
        <v>0.97144106559995502</v>
      </c>
      <c r="S3056" t="s">
        <v>6685</v>
      </c>
      <c r="T3056" t="s">
        <v>7256</v>
      </c>
      <c r="U3056" t="s">
        <v>7256</v>
      </c>
      <c r="V3056" t="s">
        <v>7256</v>
      </c>
      <c r="W3056">
        <v>2</v>
      </c>
      <c r="X3056" t="s">
        <v>10312</v>
      </c>
      <c r="Y3056">
        <v>0.40952744791108142</v>
      </c>
      <c r="Z3056" t="str">
        <f>HYPERLINK("Melting_Curves/meltCurve_tr_B4DFI9_B4DFI9_HUMAN_.pdf", "Melting_Curves/meltCurve_tr_B4DFI9_B4DFI9_HUMAN_.pdf")</f>
        <v>Melting_Curves/meltCurve_tr_B4DFI9_B4DFI9_HUMAN_.pdf</v>
      </c>
      <c r="AA3056" t="s">
        <v>13902</v>
      </c>
      <c r="AB3056" t="s">
        <v>17479</v>
      </c>
    </row>
    <row r="3057" spans="1:28" x14ac:dyDescent="0.25">
      <c r="A3057" t="s">
        <v>3061</v>
      </c>
      <c r="B3057">
        <v>0.98018197421672304</v>
      </c>
      <c r="C3057">
        <v>0.93371801472131899</v>
      </c>
      <c r="D3057">
        <v>0.69177009039039306</v>
      </c>
      <c r="E3057">
        <v>0.56042376756965795</v>
      </c>
      <c r="F3057">
        <v>0.304203066201363</v>
      </c>
      <c r="G3057">
        <v>0.25231217432353298</v>
      </c>
      <c r="H3057">
        <v>0.121680405110117</v>
      </c>
      <c r="I3057">
        <v>6.5995489628475901E-2</v>
      </c>
      <c r="J3057">
        <v>8.66508504176869E-2</v>
      </c>
      <c r="K3057">
        <v>3.6692296319273503E-2</v>
      </c>
      <c r="L3057">
        <v>610.63873850449897</v>
      </c>
      <c r="M3057">
        <v>12.1927091447159</v>
      </c>
      <c r="N3057">
        <v>50.282472604008802</v>
      </c>
      <c r="O3057">
        <v>48.792213174575998</v>
      </c>
      <c r="P3057">
        <v>-6.1006377038245102E-2</v>
      </c>
      <c r="Q3057">
        <v>2.3691459265925599E-2</v>
      </c>
      <c r="R3057">
        <v>0.98800203099762995</v>
      </c>
      <c r="S3057" t="s">
        <v>6686</v>
      </c>
      <c r="T3057" t="s">
        <v>7256</v>
      </c>
      <c r="U3057" t="s">
        <v>7256</v>
      </c>
      <c r="V3057" t="s">
        <v>7256</v>
      </c>
      <c r="W3057">
        <v>1</v>
      </c>
      <c r="X3057" t="s">
        <v>10313</v>
      </c>
      <c r="Y3057">
        <v>0.3846130730087991</v>
      </c>
      <c r="Z3057" t="str">
        <f>HYPERLINK("Melting_Curves/meltCurve_tr_B4DFM8_B4DFM8_HUMAN_.pdf", "Melting_Curves/meltCurve_tr_B4DFM8_B4DFM8_HUMAN_.pdf")</f>
        <v>Melting_Curves/meltCurve_tr_B4DFM8_B4DFM8_HUMAN_.pdf</v>
      </c>
      <c r="AA3057" t="s">
        <v>13903</v>
      </c>
      <c r="AB3057" t="s">
        <v>17480</v>
      </c>
    </row>
    <row r="3058" spans="1:28" x14ac:dyDescent="0.25">
      <c r="A3058" t="s">
        <v>3062</v>
      </c>
      <c r="B3058">
        <v>0.98018197421672304</v>
      </c>
      <c r="C3058">
        <v>0.91022654717247298</v>
      </c>
      <c r="D3058">
        <v>0.89346855296064798</v>
      </c>
      <c r="E3058">
        <v>0.64992527306210601</v>
      </c>
      <c r="F3058">
        <v>0.35772706052039799</v>
      </c>
      <c r="G3058">
        <v>0.21582732977658001</v>
      </c>
      <c r="H3058">
        <v>0.131679186223639</v>
      </c>
      <c r="I3058">
        <v>8.8966086046289097E-2</v>
      </c>
      <c r="J3058">
        <v>0.103403356293753</v>
      </c>
      <c r="K3058">
        <v>7.7690993000796807E-2</v>
      </c>
      <c r="L3058">
        <v>897.76100376471004</v>
      </c>
      <c r="M3058">
        <v>17.5915774011705</v>
      </c>
      <c r="N3058">
        <v>51.517880235029502</v>
      </c>
      <c r="O3058">
        <v>50.387800824818498</v>
      </c>
      <c r="P3058">
        <v>-8.0633428506010199E-2</v>
      </c>
      <c r="Q3058">
        <v>7.6212123241609295E-2</v>
      </c>
      <c r="R3058">
        <v>0.99510628648435995</v>
      </c>
      <c r="S3058" t="s">
        <v>6687</v>
      </c>
      <c r="T3058" t="s">
        <v>7256</v>
      </c>
      <c r="U3058" t="s">
        <v>7256</v>
      </c>
      <c r="V3058" t="s">
        <v>7256</v>
      </c>
      <c r="W3058">
        <v>4</v>
      </c>
      <c r="X3058" t="s">
        <v>10314</v>
      </c>
      <c r="Y3058">
        <v>0.43218049712149692</v>
      </c>
      <c r="Z3058" t="str">
        <f>HYPERLINK("Melting_Curves/meltCurve_tr_B4DFQ4_B4DFQ4_HUMAN_.pdf", "Melting_Curves/meltCurve_tr_B4DFQ4_B4DFQ4_HUMAN_.pdf")</f>
        <v>Melting_Curves/meltCurve_tr_B4DFQ4_B4DFQ4_HUMAN_.pdf</v>
      </c>
      <c r="AA3058" t="s">
        <v>13904</v>
      </c>
      <c r="AB3058" t="s">
        <v>17481</v>
      </c>
    </row>
    <row r="3059" spans="1:28" x14ac:dyDescent="0.25">
      <c r="A3059" t="s">
        <v>3063</v>
      </c>
      <c r="B3059">
        <v>0.98018197421672304</v>
      </c>
      <c r="C3059">
        <v>0.88059015125701701</v>
      </c>
      <c r="D3059">
        <v>0.87365044385924395</v>
      </c>
      <c r="E3059">
        <v>0.75281972723330703</v>
      </c>
      <c r="F3059">
        <v>0.59906624759562599</v>
      </c>
      <c r="G3059">
        <v>0.41609230184207202</v>
      </c>
      <c r="H3059">
        <v>0.208143133166418</v>
      </c>
      <c r="I3059">
        <v>0.12086769353607101</v>
      </c>
      <c r="J3059">
        <v>0.120829875415998</v>
      </c>
      <c r="K3059">
        <v>0.14219642571852101</v>
      </c>
      <c r="L3059">
        <v>598.59768025635196</v>
      </c>
      <c r="M3059">
        <v>10.978000105736401</v>
      </c>
      <c r="N3059">
        <v>54.620202927226003</v>
      </c>
      <c r="O3059">
        <v>52.811383619680299</v>
      </c>
      <c r="P3059">
        <v>-5.15033731174971E-2</v>
      </c>
      <c r="Q3059">
        <v>9.2767446542788307E-3</v>
      </c>
      <c r="R3059">
        <v>0.98775177374416001</v>
      </c>
      <c r="S3059" t="s">
        <v>6688</v>
      </c>
      <c r="T3059" t="s">
        <v>7256</v>
      </c>
      <c r="U3059" t="s">
        <v>7256</v>
      </c>
      <c r="V3059" t="s">
        <v>7256</v>
      </c>
      <c r="W3059">
        <v>10</v>
      </c>
      <c r="X3059" t="s">
        <v>10315</v>
      </c>
      <c r="Y3059">
        <v>0.51521383355693218</v>
      </c>
      <c r="Z3059" t="str">
        <f>HYPERLINK("Melting_Curves/meltCurve_tr_B4DGU4_B4DGU4_HUMAN_.pdf", "Melting_Curves/meltCurve_tr_B4DGU4_B4DGU4_HUMAN_.pdf")</f>
        <v>Melting_Curves/meltCurve_tr_B4DGU4_B4DGU4_HUMAN_.pdf</v>
      </c>
      <c r="AA3059" t="s">
        <v>13905</v>
      </c>
      <c r="AB3059" t="s">
        <v>17482</v>
      </c>
    </row>
    <row r="3060" spans="1:28" x14ac:dyDescent="0.25">
      <c r="A3060" t="s">
        <v>3064</v>
      </c>
      <c r="B3060">
        <v>0.98018197421672304</v>
      </c>
      <c r="C3060">
        <v>0.90974598036943</v>
      </c>
      <c r="D3060">
        <v>0.84795166589939497</v>
      </c>
      <c r="E3060">
        <v>0.65382774892412299</v>
      </c>
      <c r="F3060">
        <v>0.38685562834864401</v>
      </c>
      <c r="G3060">
        <v>0.202999141448715</v>
      </c>
      <c r="H3060">
        <v>9.8053943918682704E-2</v>
      </c>
      <c r="I3060">
        <v>7.1391080933994294E-2</v>
      </c>
      <c r="J3060">
        <v>0.101242309545528</v>
      </c>
      <c r="K3060">
        <v>8.6155038713165502E-2</v>
      </c>
      <c r="L3060">
        <v>811.10357719356705</v>
      </c>
      <c r="M3060">
        <v>15.8514397763354</v>
      </c>
      <c r="N3060">
        <v>51.5389064996805</v>
      </c>
      <c r="O3060">
        <v>50.375479966923301</v>
      </c>
      <c r="P3060">
        <v>-7.4443625078276704E-2</v>
      </c>
      <c r="Q3060">
        <v>5.3757082637030398E-2</v>
      </c>
      <c r="R3060">
        <v>0.99493818431439796</v>
      </c>
      <c r="S3060" t="s">
        <v>6689</v>
      </c>
      <c r="T3060" t="s">
        <v>7256</v>
      </c>
      <c r="U3060" t="s">
        <v>7256</v>
      </c>
      <c r="V3060" t="s">
        <v>7256</v>
      </c>
      <c r="W3060">
        <v>2</v>
      </c>
      <c r="X3060" t="s">
        <v>10316</v>
      </c>
      <c r="Y3060">
        <v>0.42588894476313732</v>
      </c>
      <c r="Z3060" t="str">
        <f>HYPERLINK("Melting_Curves/meltCurve_tr_B4DGX2_B4DGX2_HUMAN_.pdf", "Melting_Curves/meltCurve_tr_B4DGX2_B4DGX2_HUMAN_.pdf")</f>
        <v>Melting_Curves/meltCurve_tr_B4DGX2_B4DGX2_HUMAN_.pdf</v>
      </c>
      <c r="AA3060" t="s">
        <v>13906</v>
      </c>
      <c r="AB3060" t="s">
        <v>17483</v>
      </c>
    </row>
    <row r="3061" spans="1:28" x14ac:dyDescent="0.25">
      <c r="A3061" t="s">
        <v>3065</v>
      </c>
      <c r="B3061">
        <v>0.98018197421672304</v>
      </c>
      <c r="C3061">
        <v>0.89224067042030197</v>
      </c>
      <c r="D3061">
        <v>0.76725024208274295</v>
      </c>
      <c r="E3061">
        <v>0.41355964970799403</v>
      </c>
      <c r="F3061">
        <v>0.26151625549259899</v>
      </c>
      <c r="G3061">
        <v>0.18063678468395999</v>
      </c>
      <c r="H3061">
        <v>0.113391455838749</v>
      </c>
      <c r="I3061">
        <v>0.114943504375701</v>
      </c>
      <c r="J3061">
        <v>0.13854635207513299</v>
      </c>
      <c r="K3061">
        <v>0.116830910594539</v>
      </c>
      <c r="L3061">
        <v>876.59890306484999</v>
      </c>
      <c r="M3061">
        <v>18.146463891934101</v>
      </c>
      <c r="N3061">
        <v>49.004163931228</v>
      </c>
      <c r="O3061">
        <v>47.731688255186</v>
      </c>
      <c r="P3061">
        <v>-8.4233669909654196E-2</v>
      </c>
      <c r="Q3061">
        <v>0.11378367451905901</v>
      </c>
      <c r="R3061">
        <v>0.99785676538288504</v>
      </c>
      <c r="S3061" t="s">
        <v>6690</v>
      </c>
      <c r="T3061" t="s">
        <v>7256</v>
      </c>
      <c r="U3061" t="s">
        <v>7256</v>
      </c>
      <c r="V3061" t="s">
        <v>7256</v>
      </c>
      <c r="W3061">
        <v>5</v>
      </c>
      <c r="X3061" t="s">
        <v>10317</v>
      </c>
      <c r="Y3061">
        <v>0.37450331872695358</v>
      </c>
      <c r="Z3061" t="str">
        <f>HYPERLINK("Melting_Curves/meltCurve_tr_B4DH53_B4DH53_HUMAN_.pdf", "Melting_Curves/meltCurve_tr_B4DH53_B4DH53_HUMAN_.pdf")</f>
        <v>Melting_Curves/meltCurve_tr_B4DH53_B4DH53_HUMAN_.pdf</v>
      </c>
      <c r="AA3061" t="s">
        <v>13907</v>
      </c>
      <c r="AB3061" t="s">
        <v>17484</v>
      </c>
    </row>
    <row r="3062" spans="1:28" x14ac:dyDescent="0.25">
      <c r="A3062" t="s">
        <v>3066</v>
      </c>
      <c r="B3062">
        <v>0.98018197421672304</v>
      </c>
      <c r="C3062">
        <v>0.88947383372828903</v>
      </c>
      <c r="D3062">
        <v>0.92579091099862099</v>
      </c>
      <c r="E3062">
        <v>0.89246894198569604</v>
      </c>
      <c r="F3062">
        <v>0.70941957675424505</v>
      </c>
      <c r="G3062">
        <v>0.53324241246861204</v>
      </c>
      <c r="H3062">
        <v>0.36770993074764402</v>
      </c>
      <c r="I3062">
        <v>0.41153268765420098</v>
      </c>
      <c r="J3062">
        <v>0.49175442318871299</v>
      </c>
      <c r="K3062">
        <v>0.347971946890545</v>
      </c>
      <c r="L3062">
        <v>1020.33444181332</v>
      </c>
      <c r="M3062">
        <v>19.144815664210501</v>
      </c>
      <c r="N3062">
        <v>57.738989026160901</v>
      </c>
      <c r="O3062">
        <v>52.724329994172003</v>
      </c>
      <c r="P3062">
        <v>-5.57926264715492E-2</v>
      </c>
      <c r="Q3062">
        <v>0.385417944373524</v>
      </c>
      <c r="R3062">
        <v>0.94788003279254696</v>
      </c>
      <c r="S3062" t="s">
        <v>6691</v>
      </c>
      <c r="T3062" t="s">
        <v>7256</v>
      </c>
      <c r="U3062" t="s">
        <v>7256</v>
      </c>
      <c r="V3062" t="s">
        <v>7256</v>
      </c>
      <c r="W3062">
        <v>1</v>
      </c>
      <c r="X3062" t="s">
        <v>10318</v>
      </c>
      <c r="Y3062">
        <v>0.66685502324968293</v>
      </c>
      <c r="Z3062" t="str">
        <f>HYPERLINK("Melting_Curves/meltCurve_tr_B4DHJ7_B4DHJ7_HUMAN_.pdf", "Melting_Curves/meltCurve_tr_B4DHJ7_B4DHJ7_HUMAN_.pdf")</f>
        <v>Melting_Curves/meltCurve_tr_B4DHJ7_B4DHJ7_HUMAN_.pdf</v>
      </c>
      <c r="AA3062" t="s">
        <v>13908</v>
      </c>
      <c r="AB3062" t="s">
        <v>17485</v>
      </c>
    </row>
    <row r="3063" spans="1:28" x14ac:dyDescent="0.25">
      <c r="A3063" t="s">
        <v>3067</v>
      </c>
      <c r="B3063">
        <v>0.98018197421672304</v>
      </c>
      <c r="C3063">
        <v>0.82321423084214496</v>
      </c>
      <c r="D3063">
        <v>0.48511294759574902</v>
      </c>
      <c r="E3063">
        <v>0.17792156555573199</v>
      </c>
      <c r="F3063">
        <v>7.9743735580356495E-2</v>
      </c>
      <c r="G3063">
        <v>4.84952166902161E-2</v>
      </c>
      <c r="H3063">
        <v>3.1918207129622997E-2</v>
      </c>
      <c r="I3063">
        <v>2.70273829974313E-2</v>
      </c>
      <c r="J3063">
        <v>2.9862202040510499E-2</v>
      </c>
      <c r="K3063">
        <v>2.16879183841578E-2</v>
      </c>
      <c r="L3063">
        <v>995.04475882907798</v>
      </c>
      <c r="M3063">
        <v>21.7078940599514</v>
      </c>
      <c r="N3063">
        <v>45.964309353287703</v>
      </c>
      <c r="O3063">
        <v>45.454247796749101</v>
      </c>
      <c r="P3063">
        <v>-0.115938057040695</v>
      </c>
      <c r="Q3063">
        <v>2.8970148926481899E-2</v>
      </c>
      <c r="R3063">
        <v>0.99935905785648704</v>
      </c>
      <c r="S3063" t="s">
        <v>6692</v>
      </c>
      <c r="T3063" t="s">
        <v>7256</v>
      </c>
      <c r="U3063" t="s">
        <v>7256</v>
      </c>
      <c r="V3063" t="s">
        <v>7256</v>
      </c>
      <c r="W3063">
        <v>19</v>
      </c>
      <c r="X3063" t="s">
        <v>10319</v>
      </c>
      <c r="Y3063">
        <v>0.23049914670341379</v>
      </c>
      <c r="Z3063" t="str">
        <f>HYPERLINK("Melting_Curves/meltCurve_tr_B4DHT5_B4DHT5_HUMAN_.pdf", "Melting_Curves/meltCurve_tr_B4DHT5_B4DHT5_HUMAN_.pdf")</f>
        <v>Melting_Curves/meltCurve_tr_B4DHT5_B4DHT5_HUMAN_.pdf</v>
      </c>
      <c r="AA3063" t="s">
        <v>13909</v>
      </c>
      <c r="AB3063" t="s">
        <v>17486</v>
      </c>
    </row>
    <row r="3064" spans="1:28" x14ac:dyDescent="0.25">
      <c r="A3064" t="s">
        <v>3068</v>
      </c>
      <c r="B3064">
        <v>0.98018197421672304</v>
      </c>
      <c r="C3064">
        <v>0.78395857876126795</v>
      </c>
      <c r="D3064">
        <v>0.85242754154898603</v>
      </c>
      <c r="E3064">
        <v>0.41396906599241001</v>
      </c>
      <c r="F3064">
        <v>0.16139333774442699</v>
      </c>
      <c r="G3064">
        <v>7.3010652558193598E-2</v>
      </c>
      <c r="H3064">
        <v>4.3440457591038602E-2</v>
      </c>
      <c r="I3064">
        <v>3.1626771607180401E-2</v>
      </c>
      <c r="J3064">
        <v>3.9498786285628397E-2</v>
      </c>
      <c r="K3064">
        <v>2.6296788866328101E-2</v>
      </c>
      <c r="L3064">
        <v>935.10521618530504</v>
      </c>
      <c r="M3064">
        <v>19.1216802194857</v>
      </c>
      <c r="N3064">
        <v>48.9990754369759</v>
      </c>
      <c r="O3064">
        <v>48.3774556619409</v>
      </c>
      <c r="P3064">
        <v>-9.6998438620410798E-2</v>
      </c>
      <c r="Q3064">
        <v>1.8422148080045699E-2</v>
      </c>
      <c r="R3064">
        <v>0.97670360917707799</v>
      </c>
      <c r="S3064" t="s">
        <v>6693</v>
      </c>
      <c r="T3064" t="s">
        <v>7256</v>
      </c>
      <c r="U3064" t="s">
        <v>7256</v>
      </c>
      <c r="V3064" t="s">
        <v>7256</v>
      </c>
      <c r="W3064">
        <v>24</v>
      </c>
      <c r="X3064" t="s">
        <v>10320</v>
      </c>
      <c r="Y3064">
        <v>0.3247971766224873</v>
      </c>
      <c r="Z3064" t="str">
        <f>HYPERLINK("Melting_Curves/meltCurve_tr_B4DIT7_B4DIT7_HUMAN_.pdf", "Melting_Curves/meltCurve_tr_B4DIT7_B4DIT7_HUMAN_.pdf")</f>
        <v>Melting_Curves/meltCurve_tr_B4DIT7_B4DIT7_HUMAN_.pdf</v>
      </c>
      <c r="AA3064" t="s">
        <v>13910</v>
      </c>
      <c r="AB3064" t="s">
        <v>17487</v>
      </c>
    </row>
    <row r="3065" spans="1:28" x14ac:dyDescent="0.25">
      <c r="A3065" t="s">
        <v>3069</v>
      </c>
      <c r="B3065">
        <v>0.98018197421672304</v>
      </c>
      <c r="C3065">
        <v>0.79419476561583402</v>
      </c>
      <c r="D3065">
        <v>0.86408540504727904</v>
      </c>
      <c r="E3065">
        <v>0.67097686413611601</v>
      </c>
      <c r="F3065">
        <v>0.60664017125284897</v>
      </c>
      <c r="G3065">
        <v>0.30427457480862602</v>
      </c>
      <c r="H3065">
        <v>0.11105196104844001</v>
      </c>
      <c r="I3065">
        <v>8.3748673043408606E-2</v>
      </c>
      <c r="J3065">
        <v>7.3496590886855798E-2</v>
      </c>
      <c r="K3065">
        <v>1.8889224320342402E-2</v>
      </c>
      <c r="L3065">
        <v>648.26493107591705</v>
      </c>
      <c r="M3065">
        <v>12.194999000757701</v>
      </c>
      <c r="N3065">
        <v>53.158258404527402</v>
      </c>
      <c r="O3065">
        <v>51.789443182457497</v>
      </c>
      <c r="P3065">
        <v>-5.8881501923879302E-2</v>
      </c>
      <c r="Q3065">
        <v>0</v>
      </c>
      <c r="R3065">
        <v>0.96847209090793396</v>
      </c>
      <c r="S3065" t="s">
        <v>6694</v>
      </c>
      <c r="T3065" t="s">
        <v>7256</v>
      </c>
      <c r="U3065" t="s">
        <v>7256</v>
      </c>
      <c r="V3065" t="s">
        <v>7256</v>
      </c>
      <c r="W3065">
        <v>2</v>
      </c>
      <c r="X3065" t="s">
        <v>10321</v>
      </c>
      <c r="Y3065">
        <v>0.46623095832532968</v>
      </c>
      <c r="Z3065" t="str">
        <f>HYPERLINK("Melting_Curves/meltCurve_tr_B4DJ85_B4DJ85_HUMAN_.pdf", "Melting_Curves/meltCurve_tr_B4DJ85_B4DJ85_HUMAN_.pdf")</f>
        <v>Melting_Curves/meltCurve_tr_B4DJ85_B4DJ85_HUMAN_.pdf</v>
      </c>
      <c r="AA3065" t="s">
        <v>13911</v>
      </c>
      <c r="AB3065" t="s">
        <v>17488</v>
      </c>
    </row>
    <row r="3066" spans="1:28" x14ac:dyDescent="0.25">
      <c r="A3066" t="s">
        <v>3070</v>
      </c>
      <c r="B3066">
        <v>0.98018197421672304</v>
      </c>
      <c r="C3066">
        <v>0.95225075586475705</v>
      </c>
      <c r="D3066">
        <v>0.83518154110644405</v>
      </c>
      <c r="E3066">
        <v>0.66116096822635395</v>
      </c>
      <c r="F3066">
        <v>0.44774009606899701</v>
      </c>
      <c r="G3066">
        <v>0.19558686310654899</v>
      </c>
      <c r="H3066">
        <v>0.10021694983744101</v>
      </c>
      <c r="I3066">
        <v>7.3407831651987804E-2</v>
      </c>
      <c r="J3066">
        <v>0.113540097365776</v>
      </c>
      <c r="K3066">
        <v>7.7082184199963696E-2</v>
      </c>
      <c r="L3066">
        <v>803.00643014898606</v>
      </c>
      <c r="M3066">
        <v>15.575341303592401</v>
      </c>
      <c r="N3066">
        <v>51.900906743518902</v>
      </c>
      <c r="O3066">
        <v>50.728827933398001</v>
      </c>
      <c r="P3066">
        <v>-7.2993212806429203E-2</v>
      </c>
      <c r="Q3066">
        <v>4.9128581343784498E-2</v>
      </c>
      <c r="R3066">
        <v>0.99512726833253595</v>
      </c>
      <c r="S3066" t="s">
        <v>6695</v>
      </c>
      <c r="T3066" t="s">
        <v>7256</v>
      </c>
      <c r="U3066" t="s">
        <v>7256</v>
      </c>
      <c r="V3066" t="s">
        <v>7256</v>
      </c>
      <c r="W3066">
        <v>4</v>
      </c>
      <c r="X3066" t="s">
        <v>10322</v>
      </c>
      <c r="Y3066">
        <v>0.43572895641713089</v>
      </c>
      <c r="Z3066" t="str">
        <f>HYPERLINK("Melting_Curves/meltCurve_tr_B4DJA5_B4DJA5_HUMAN_.pdf", "Melting_Curves/meltCurve_tr_B4DJA5_B4DJA5_HUMAN_.pdf")</f>
        <v>Melting_Curves/meltCurve_tr_B4DJA5_B4DJA5_HUMAN_.pdf</v>
      </c>
      <c r="AA3066" t="s">
        <v>13912</v>
      </c>
      <c r="AB3066" t="s">
        <v>17489</v>
      </c>
    </row>
    <row r="3067" spans="1:28" x14ac:dyDescent="0.25">
      <c r="A3067" t="s">
        <v>3071</v>
      </c>
      <c r="B3067">
        <v>0.98018197421672304</v>
      </c>
      <c r="C3067">
        <v>0.86468764183890701</v>
      </c>
      <c r="D3067">
        <v>0.843837678730048</v>
      </c>
      <c r="E3067">
        <v>0.691187786199573</v>
      </c>
      <c r="F3067">
        <v>0.509680459654687</v>
      </c>
      <c r="G3067">
        <v>0.31670218311529402</v>
      </c>
      <c r="H3067">
        <v>0.21857067297388899</v>
      </c>
      <c r="I3067">
        <v>0.19430462339812299</v>
      </c>
      <c r="J3067">
        <v>0.212556066429925</v>
      </c>
      <c r="K3067">
        <v>0.12927216986519599</v>
      </c>
      <c r="L3067">
        <v>594.501279429551</v>
      </c>
      <c r="M3067">
        <v>11.415564077638599</v>
      </c>
      <c r="N3067">
        <v>53.112019117433903</v>
      </c>
      <c r="O3067">
        <v>50.5568479897819</v>
      </c>
      <c r="P3067">
        <v>-5.08400368031506E-2</v>
      </c>
      <c r="Q3067">
        <v>9.9629034778571796E-2</v>
      </c>
      <c r="R3067">
        <v>0.99015750539741598</v>
      </c>
      <c r="S3067" t="s">
        <v>6696</v>
      </c>
      <c r="T3067" t="s">
        <v>7256</v>
      </c>
      <c r="U3067" t="s">
        <v>7256</v>
      </c>
      <c r="V3067" t="s">
        <v>7256</v>
      </c>
      <c r="W3067">
        <v>3</v>
      </c>
      <c r="X3067" t="s">
        <v>10323</v>
      </c>
      <c r="Y3067">
        <v>0.49128740846190783</v>
      </c>
      <c r="Z3067" t="str">
        <f>HYPERLINK("Melting_Curves/meltCurve_tr_B4DJP7_B4DJP7_HUMAN_.pdf", "Melting_Curves/meltCurve_tr_B4DJP7_B4DJP7_HUMAN_.pdf")</f>
        <v>Melting_Curves/meltCurve_tr_B4DJP7_B4DJP7_HUMAN_.pdf</v>
      </c>
      <c r="AA3067" t="s">
        <v>13913</v>
      </c>
      <c r="AB3067" t="s">
        <v>17490</v>
      </c>
    </row>
    <row r="3068" spans="1:28" x14ac:dyDescent="0.25">
      <c r="A3068" t="s">
        <v>3072</v>
      </c>
      <c r="B3068">
        <v>0.98018197421672304</v>
      </c>
      <c r="C3068">
        <v>0.97056914936080996</v>
      </c>
      <c r="D3068">
        <v>0.85221363014482698</v>
      </c>
      <c r="E3068">
        <v>0.58917220366282297</v>
      </c>
      <c r="F3068">
        <v>0.23692276570134099</v>
      </c>
      <c r="G3068">
        <v>0.106761554045711</v>
      </c>
      <c r="H3068">
        <v>6.0732710607110198E-2</v>
      </c>
      <c r="I3068">
        <v>4.1939138293016799E-2</v>
      </c>
      <c r="J3068">
        <v>4.2480827977785303E-2</v>
      </c>
      <c r="K3068">
        <v>2.9940636608116598E-2</v>
      </c>
      <c r="L3068">
        <v>1080.23621243253</v>
      </c>
      <c r="M3068">
        <v>21.474114450755099</v>
      </c>
      <c r="N3068">
        <v>50.457514145510999</v>
      </c>
      <c r="O3068">
        <v>49.873966580053697</v>
      </c>
      <c r="P3068">
        <v>-0.104242900278932</v>
      </c>
      <c r="Q3068">
        <v>3.1600721148796203E-2</v>
      </c>
      <c r="R3068">
        <v>0.99690842127105095</v>
      </c>
      <c r="S3068" t="s">
        <v>6697</v>
      </c>
      <c r="T3068" t="s">
        <v>7256</v>
      </c>
      <c r="U3068" t="s">
        <v>7256</v>
      </c>
      <c r="V3068" t="s">
        <v>7256</v>
      </c>
      <c r="W3068">
        <v>16</v>
      </c>
      <c r="X3068" t="s">
        <v>10324</v>
      </c>
      <c r="Y3068">
        <v>0.37594747486788732</v>
      </c>
      <c r="Z3068" t="str">
        <f>HYPERLINK("Melting_Curves/meltCurve_tr_B4DJV2_B4DJV2_HUMAN_.pdf", "Melting_Curves/meltCurve_tr_B4DJV2_B4DJV2_HUMAN_.pdf")</f>
        <v>Melting_Curves/meltCurve_tr_B4DJV2_B4DJV2_HUMAN_.pdf</v>
      </c>
      <c r="AA3068" t="s">
        <v>13914</v>
      </c>
      <c r="AB3068" t="s">
        <v>17491</v>
      </c>
    </row>
    <row r="3069" spans="1:28" x14ac:dyDescent="0.25">
      <c r="A3069" t="s">
        <v>3073</v>
      </c>
      <c r="B3069">
        <v>0.98018197421672304</v>
      </c>
      <c r="C3069">
        <v>0.91803778146175197</v>
      </c>
      <c r="D3069">
        <v>0.83923247838807302</v>
      </c>
      <c r="E3069">
        <v>0.63617052273478603</v>
      </c>
      <c r="F3069">
        <v>0.52923894014079298</v>
      </c>
      <c r="G3069">
        <v>0.30178954204707698</v>
      </c>
      <c r="H3069">
        <v>0.160058129621098</v>
      </c>
      <c r="I3069">
        <v>0.10260030164878201</v>
      </c>
      <c r="J3069">
        <v>0.10575625737871699</v>
      </c>
      <c r="K3069">
        <v>8.8223456423681706E-2</v>
      </c>
      <c r="L3069">
        <v>603.71276444998398</v>
      </c>
      <c r="M3069">
        <v>11.460381314691</v>
      </c>
      <c r="N3069">
        <v>52.803604423641801</v>
      </c>
      <c r="O3069">
        <v>51.150867588556501</v>
      </c>
      <c r="P3069">
        <v>-5.5276801356655497E-2</v>
      </c>
      <c r="Q3069">
        <v>1.3421244862143401E-2</v>
      </c>
      <c r="R3069">
        <v>0.99658433994805895</v>
      </c>
      <c r="S3069" t="s">
        <v>6698</v>
      </c>
      <c r="T3069" t="s">
        <v>7256</v>
      </c>
      <c r="U3069" t="s">
        <v>7256</v>
      </c>
      <c r="V3069" t="s">
        <v>7256</v>
      </c>
      <c r="W3069">
        <v>18</v>
      </c>
      <c r="X3069" t="s">
        <v>10325</v>
      </c>
      <c r="Y3069">
        <v>0.46070054531030868</v>
      </c>
      <c r="Z3069" t="str">
        <f>HYPERLINK("Melting_Curves/meltCurve_tr_B4DK69_B4DK69_HUMAN_.pdf", "Melting_Curves/meltCurve_tr_B4DK69_B4DK69_HUMAN_.pdf")</f>
        <v>Melting_Curves/meltCurve_tr_B4DK69_B4DK69_HUMAN_.pdf</v>
      </c>
      <c r="AA3069" t="s">
        <v>13915</v>
      </c>
      <c r="AB3069" t="s">
        <v>17492</v>
      </c>
    </row>
    <row r="3070" spans="1:28" x14ac:dyDescent="0.25">
      <c r="A3070" t="s">
        <v>3074</v>
      </c>
      <c r="B3070">
        <v>0.98018197421672304</v>
      </c>
      <c r="C3070">
        <v>0.84679813820724104</v>
      </c>
      <c r="D3070">
        <v>0.80987496624809996</v>
      </c>
      <c r="E3070">
        <v>0.71903546964221499</v>
      </c>
      <c r="F3070">
        <v>0.48234922757905802</v>
      </c>
      <c r="G3070">
        <v>0.284770925521244</v>
      </c>
      <c r="H3070">
        <v>0.13026661115735999</v>
      </c>
      <c r="I3070">
        <v>0.106343012163459</v>
      </c>
      <c r="J3070">
        <v>0.14272556950111101</v>
      </c>
      <c r="K3070">
        <v>7.2786184525349906E-2</v>
      </c>
      <c r="L3070">
        <v>588.49980265701299</v>
      </c>
      <c r="M3070">
        <v>11.19101831129</v>
      </c>
      <c r="N3070">
        <v>52.661595728995799</v>
      </c>
      <c r="O3070">
        <v>50.991493582417597</v>
      </c>
      <c r="P3070">
        <v>-5.4451621461078098E-2</v>
      </c>
      <c r="Q3070">
        <v>7.8854957101729805E-3</v>
      </c>
      <c r="R3070">
        <v>0.983150164748126</v>
      </c>
      <c r="S3070" t="s">
        <v>6699</v>
      </c>
      <c r="T3070" t="s">
        <v>7256</v>
      </c>
      <c r="U3070" t="s">
        <v>7256</v>
      </c>
      <c r="V3070" t="s">
        <v>7256</v>
      </c>
      <c r="W3070">
        <v>1</v>
      </c>
      <c r="X3070" t="s">
        <v>10326</v>
      </c>
      <c r="Y3070">
        <v>0.45570885781852061</v>
      </c>
      <c r="Z3070" t="str">
        <f>HYPERLINK("Melting_Curves/meltCurve_tr_B4DK95_B4DK95_HUMAN_.pdf", "Melting_Curves/meltCurve_tr_B4DK95_B4DK95_HUMAN_.pdf")</f>
        <v>Melting_Curves/meltCurve_tr_B4DK95_B4DK95_HUMAN_.pdf</v>
      </c>
      <c r="AA3070" t="s">
        <v>13916</v>
      </c>
      <c r="AB3070" t="s">
        <v>17493</v>
      </c>
    </row>
    <row r="3071" spans="1:28" x14ac:dyDescent="0.25">
      <c r="A3071" t="s">
        <v>3075</v>
      </c>
      <c r="B3071">
        <v>0.98018197421672304</v>
      </c>
      <c r="C3071">
        <v>0.89337143864707302</v>
      </c>
      <c r="D3071">
        <v>0.81999391306275804</v>
      </c>
      <c r="E3071">
        <v>0.67961100306482403</v>
      </c>
      <c r="F3071">
        <v>0.53250233391883295</v>
      </c>
      <c r="G3071">
        <v>0.32376669719606799</v>
      </c>
      <c r="H3071">
        <v>0.16240025296225</v>
      </c>
      <c r="I3071">
        <v>8.7390602205504098E-2</v>
      </c>
      <c r="J3071">
        <v>6.8045136728256003E-2</v>
      </c>
      <c r="K3071">
        <v>0.107854486417669</v>
      </c>
      <c r="L3071">
        <v>593.43988696692804</v>
      </c>
      <c r="M3071">
        <v>11.190263537210599</v>
      </c>
      <c r="N3071">
        <v>53.031804056665898</v>
      </c>
      <c r="O3071">
        <v>51.422792187556702</v>
      </c>
      <c r="P3071">
        <v>-5.4420408799536399E-2</v>
      </c>
      <c r="Q3071">
        <v>0</v>
      </c>
      <c r="R3071">
        <v>0.99271077126479301</v>
      </c>
      <c r="S3071" t="s">
        <v>6700</v>
      </c>
      <c r="T3071" t="s">
        <v>7256</v>
      </c>
      <c r="U3071" t="s">
        <v>7256</v>
      </c>
      <c r="V3071" t="s">
        <v>7256</v>
      </c>
      <c r="W3071">
        <v>1</v>
      </c>
      <c r="X3071" t="s">
        <v>10327</v>
      </c>
      <c r="Y3071">
        <v>0.46499425628544028</v>
      </c>
      <c r="Z3071" t="str">
        <f>HYPERLINK("Melting_Curves/meltCurve_tr_B4DKJ3_B4DKJ3_HUMAN_.pdf", "Melting_Curves/meltCurve_tr_B4DKJ3_B4DKJ3_HUMAN_.pdf")</f>
        <v>Melting_Curves/meltCurve_tr_B4DKJ3_B4DKJ3_HUMAN_.pdf</v>
      </c>
      <c r="AA3071" t="s">
        <v>13917</v>
      </c>
      <c r="AB3071" t="s">
        <v>17494</v>
      </c>
    </row>
    <row r="3072" spans="1:28" x14ac:dyDescent="0.25">
      <c r="A3072" t="s">
        <v>3076</v>
      </c>
      <c r="B3072">
        <v>0.98018197421672304</v>
      </c>
      <c r="C3072">
        <v>0.91663812865349603</v>
      </c>
      <c r="D3072">
        <v>0.85463940050174503</v>
      </c>
      <c r="E3072">
        <v>0.76475230992800503</v>
      </c>
      <c r="F3072">
        <v>0.72117002022106003</v>
      </c>
      <c r="G3072">
        <v>0.59538229880360605</v>
      </c>
      <c r="H3072">
        <v>0.45297917395217302</v>
      </c>
      <c r="I3072">
        <v>0.458183122444144</v>
      </c>
      <c r="J3072">
        <v>0.51740726668306403</v>
      </c>
      <c r="K3072">
        <v>0.66682779098730605</v>
      </c>
      <c r="L3072">
        <v>635.93125599289704</v>
      </c>
      <c r="M3072">
        <v>12.762185256263001</v>
      </c>
      <c r="O3072">
        <v>48.6534302647933</v>
      </c>
      <c r="P3072">
        <v>-3.2073361459718099E-2</v>
      </c>
      <c r="Q3072">
        <v>0.51099825997438397</v>
      </c>
      <c r="R3072">
        <v>0.86855001966538803</v>
      </c>
      <c r="S3072" t="s">
        <v>6701</v>
      </c>
      <c r="T3072" t="s">
        <v>7256</v>
      </c>
      <c r="U3072" t="s">
        <v>7256</v>
      </c>
      <c r="V3072" t="s">
        <v>7256</v>
      </c>
      <c r="W3072">
        <v>5</v>
      </c>
      <c r="X3072" t="s">
        <v>10328</v>
      </c>
      <c r="Y3072">
        <v>0.68669853891421895</v>
      </c>
      <c r="Z3072" t="str">
        <f>HYPERLINK("Melting_Curves/meltCurve_tr_B4DKL4_B4DKL4_HUMAN_.pdf", "Melting_Curves/meltCurve_tr_B4DKL4_B4DKL4_HUMAN_.pdf")</f>
        <v>Melting_Curves/meltCurve_tr_B4DKL4_B4DKL4_HUMAN_.pdf</v>
      </c>
      <c r="AA3072" t="s">
        <v>13918</v>
      </c>
      <c r="AB3072" t="s">
        <v>17495</v>
      </c>
    </row>
    <row r="3073" spans="1:28" x14ac:dyDescent="0.25">
      <c r="A3073" t="s">
        <v>3077</v>
      </c>
      <c r="B3073">
        <v>0.98018197421672304</v>
      </c>
      <c r="C3073">
        <v>0.97568048929490303</v>
      </c>
      <c r="D3073">
        <v>0.73971984498275201</v>
      </c>
      <c r="E3073">
        <v>0.39348445613310401</v>
      </c>
      <c r="F3073">
        <v>0.24779307064223999</v>
      </c>
      <c r="G3073">
        <v>0.15098711491157699</v>
      </c>
      <c r="H3073">
        <v>0.108484068401568</v>
      </c>
      <c r="I3073">
        <v>9.5607999346937603E-2</v>
      </c>
      <c r="J3073">
        <v>5.3754413676036499E-2</v>
      </c>
      <c r="K3073">
        <v>5.8328260403963099E-2</v>
      </c>
      <c r="L3073">
        <v>912.94175842935101</v>
      </c>
      <c r="M3073">
        <v>18.8223649864047</v>
      </c>
      <c r="N3073">
        <v>48.9296760593204</v>
      </c>
      <c r="O3073">
        <v>47.9654962919846</v>
      </c>
      <c r="P3073">
        <v>-9.0682839963340797E-2</v>
      </c>
      <c r="Q3073">
        <v>7.5680979008786398E-2</v>
      </c>
      <c r="R3073">
        <v>0.99597834265462803</v>
      </c>
      <c r="S3073" t="s">
        <v>6702</v>
      </c>
      <c r="T3073" t="s">
        <v>7256</v>
      </c>
      <c r="U3073" t="s">
        <v>7256</v>
      </c>
      <c r="V3073" t="s">
        <v>7256</v>
      </c>
      <c r="W3073">
        <v>2</v>
      </c>
      <c r="X3073" t="s">
        <v>10329</v>
      </c>
      <c r="Y3073">
        <v>0.35242813696756492</v>
      </c>
      <c r="Z3073" t="str">
        <f>HYPERLINK("Melting_Curves/meltCurve_tr_B4DL14_B4DL14_HUMAN_.pdf", "Melting_Curves/meltCurve_tr_B4DL14_B4DL14_HUMAN_.pdf")</f>
        <v>Melting_Curves/meltCurve_tr_B4DL14_B4DL14_HUMAN_.pdf</v>
      </c>
      <c r="AA3073" t="s">
        <v>13919</v>
      </c>
      <c r="AB3073" t="s">
        <v>17496</v>
      </c>
    </row>
    <row r="3074" spans="1:28" x14ac:dyDescent="0.25">
      <c r="A3074" t="s">
        <v>3078</v>
      </c>
      <c r="B3074">
        <v>0.98018197421672304</v>
      </c>
      <c r="C3074">
        <v>1.00501761256289</v>
      </c>
      <c r="D3074">
        <v>0.88756230312650097</v>
      </c>
      <c r="E3074">
        <v>0.73978765514584599</v>
      </c>
      <c r="F3074">
        <v>0.58777982383859895</v>
      </c>
      <c r="G3074">
        <v>0.37922191978790598</v>
      </c>
      <c r="H3074">
        <v>0.231981140548222</v>
      </c>
      <c r="I3074">
        <v>0.163085213067032</v>
      </c>
      <c r="J3074">
        <v>0.30908213333270901</v>
      </c>
      <c r="K3074">
        <v>9.06671202969795E-2</v>
      </c>
      <c r="L3074">
        <v>739.46953944278005</v>
      </c>
      <c r="M3074">
        <v>13.917247768885399</v>
      </c>
      <c r="N3074">
        <v>54.337620510718203</v>
      </c>
      <c r="O3074">
        <v>52.072361370932903</v>
      </c>
      <c r="P3074">
        <v>-5.7957545063256399E-2</v>
      </c>
      <c r="Q3074">
        <v>0.13270853393628099</v>
      </c>
      <c r="R3074">
        <v>0.97551257465441799</v>
      </c>
      <c r="S3074" t="s">
        <v>6703</v>
      </c>
      <c r="T3074" t="s">
        <v>7256</v>
      </c>
      <c r="U3074" t="s">
        <v>7256</v>
      </c>
      <c r="V3074" t="s">
        <v>7256</v>
      </c>
      <c r="W3074">
        <v>2</v>
      </c>
      <c r="X3074" t="s">
        <v>10330</v>
      </c>
      <c r="Y3074">
        <v>0.53288405958227281</v>
      </c>
      <c r="Z3074" t="str">
        <f>HYPERLINK("Melting_Curves/meltCurve_tr_B4DL54_B4DL54_HUMAN_.pdf", "Melting_Curves/meltCurve_tr_B4DL54_B4DL54_HUMAN_.pdf")</f>
        <v>Melting_Curves/meltCurve_tr_B4DL54_B4DL54_HUMAN_.pdf</v>
      </c>
      <c r="AA3074" t="s">
        <v>13920</v>
      </c>
      <c r="AB3074" t="s">
        <v>17497</v>
      </c>
    </row>
    <row r="3075" spans="1:28" x14ac:dyDescent="0.25">
      <c r="A3075" t="s">
        <v>3079</v>
      </c>
      <c r="B3075">
        <v>0.98018197421672304</v>
      </c>
      <c r="C3075">
        <v>0.91403034839403496</v>
      </c>
      <c r="D3075">
        <v>0.86323539307141495</v>
      </c>
      <c r="E3075">
        <v>0.57088961286631701</v>
      </c>
      <c r="F3075">
        <v>0.25543855025796802</v>
      </c>
      <c r="G3075">
        <v>0.146353503759095</v>
      </c>
      <c r="H3075">
        <v>7.8882368279183601E-2</v>
      </c>
      <c r="I3075">
        <v>2.6100540850853299E-2</v>
      </c>
      <c r="J3075">
        <v>7.81723406741517E-2</v>
      </c>
      <c r="K3075">
        <v>1.3955006225159401E-2</v>
      </c>
      <c r="L3075">
        <v>946.63777204539497</v>
      </c>
      <c r="M3075">
        <v>18.834771237941499</v>
      </c>
      <c r="N3075">
        <v>50.444040065516099</v>
      </c>
      <c r="O3075">
        <v>49.703834572442901</v>
      </c>
      <c r="P3075">
        <v>-9.1594818566622202E-2</v>
      </c>
      <c r="Q3075">
        <v>3.3187044145606998E-2</v>
      </c>
      <c r="R3075">
        <v>0.99413785419797496</v>
      </c>
      <c r="S3075" t="s">
        <v>6704</v>
      </c>
      <c r="T3075" t="s">
        <v>7256</v>
      </c>
      <c r="U3075" t="s">
        <v>7256</v>
      </c>
      <c r="V3075" t="s">
        <v>7256</v>
      </c>
      <c r="W3075">
        <v>14</v>
      </c>
      <c r="X3075" t="s">
        <v>10331</v>
      </c>
      <c r="Y3075">
        <v>0.37892654315428442</v>
      </c>
      <c r="Z3075" t="str">
        <f>HYPERLINK("Melting_Curves/meltCurve_tr_B4DLW8_B4DLW8_HUMAN_.pdf", "Melting_Curves/meltCurve_tr_B4DLW8_B4DLW8_HUMAN_.pdf")</f>
        <v>Melting_Curves/meltCurve_tr_B4DLW8_B4DLW8_HUMAN_.pdf</v>
      </c>
      <c r="AA3075" t="s">
        <v>13921</v>
      </c>
      <c r="AB3075" t="s">
        <v>17498</v>
      </c>
    </row>
    <row r="3076" spans="1:28" x14ac:dyDescent="0.25">
      <c r="A3076" t="s">
        <v>3080</v>
      </c>
      <c r="B3076">
        <v>0.98018197421672304</v>
      </c>
      <c r="C3076">
        <v>1.1604074149460999</v>
      </c>
      <c r="D3076">
        <v>1.0537505838894501</v>
      </c>
      <c r="E3076">
        <v>0.85828229699855696</v>
      </c>
      <c r="F3076">
        <v>0.844483574506943</v>
      </c>
      <c r="G3076">
        <v>0.60266538682647197</v>
      </c>
      <c r="H3076">
        <v>0.32446085189291402</v>
      </c>
      <c r="I3076">
        <v>0.28642117611382201</v>
      </c>
      <c r="J3076">
        <v>0.34486627849416801</v>
      </c>
      <c r="K3076">
        <v>0.469829991477137</v>
      </c>
      <c r="L3076">
        <v>1389.0316542698099</v>
      </c>
      <c r="M3076">
        <v>25.142987601291502</v>
      </c>
      <c r="N3076">
        <v>57.939494436759801</v>
      </c>
      <c r="O3076">
        <v>54.899372872699203</v>
      </c>
      <c r="P3076">
        <v>-7.5031727102634393E-2</v>
      </c>
      <c r="Q3076">
        <v>0.34468557550236301</v>
      </c>
      <c r="R3076">
        <v>0.92835658927477005</v>
      </c>
      <c r="S3076" t="s">
        <v>6705</v>
      </c>
      <c r="T3076" t="s">
        <v>7256</v>
      </c>
      <c r="U3076" t="s">
        <v>7256</v>
      </c>
      <c r="V3076" t="s">
        <v>7256</v>
      </c>
      <c r="W3076">
        <v>6</v>
      </c>
      <c r="X3076" t="s">
        <v>10332</v>
      </c>
      <c r="Y3076">
        <v>0.68369738084216924</v>
      </c>
      <c r="Z3076" t="str">
        <f>HYPERLINK("Melting_Curves/meltCurve_tr_B4DP21_B4DP21_HUMAN_.pdf", "Melting_Curves/meltCurve_tr_B4DP21_B4DP21_HUMAN_.pdf")</f>
        <v>Melting_Curves/meltCurve_tr_B4DP21_B4DP21_HUMAN_.pdf</v>
      </c>
      <c r="AA3076" t="s">
        <v>13922</v>
      </c>
      <c r="AB3076" t="s">
        <v>17499</v>
      </c>
    </row>
    <row r="3077" spans="1:28" x14ac:dyDescent="0.25">
      <c r="A3077" t="s">
        <v>3081</v>
      </c>
      <c r="B3077">
        <v>0.98018197421672304</v>
      </c>
      <c r="C3077">
        <v>0.99622051985614901</v>
      </c>
      <c r="D3077">
        <v>0.902765740183193</v>
      </c>
      <c r="E3077">
        <v>0.78641514366597998</v>
      </c>
      <c r="F3077">
        <v>0.361870206890407</v>
      </c>
      <c r="G3077">
        <v>0.113330260776821</v>
      </c>
      <c r="H3077">
        <v>5.82098248712569E-2</v>
      </c>
      <c r="I3077">
        <v>4.6500286696328601E-2</v>
      </c>
      <c r="J3077">
        <v>4.3638579911932499E-2</v>
      </c>
      <c r="K3077">
        <v>2.8265175592071302E-2</v>
      </c>
      <c r="L3077">
        <v>1499.18136056143</v>
      </c>
      <c r="M3077">
        <v>28.889997157969599</v>
      </c>
      <c r="N3077">
        <v>52.041020124030602</v>
      </c>
      <c r="O3077">
        <v>51.646018507302401</v>
      </c>
      <c r="P3077">
        <v>-0.134322260543697</v>
      </c>
      <c r="Q3077">
        <v>3.9507338758526703E-2</v>
      </c>
      <c r="R3077">
        <v>0.99572417644751998</v>
      </c>
      <c r="S3077" t="s">
        <v>6706</v>
      </c>
      <c r="T3077" t="s">
        <v>7256</v>
      </c>
      <c r="U3077" t="s">
        <v>7256</v>
      </c>
      <c r="V3077" t="s">
        <v>7256</v>
      </c>
      <c r="W3077">
        <v>3</v>
      </c>
      <c r="X3077" t="s">
        <v>10333</v>
      </c>
      <c r="Y3077">
        <v>0.42687228192377358</v>
      </c>
      <c r="Z3077" t="str">
        <f>HYPERLINK("Melting_Curves/meltCurve_tr_B4DP38_B4DP38_HUMAN_.pdf", "Melting_Curves/meltCurve_tr_B4DP38_B4DP38_HUMAN_.pdf")</f>
        <v>Melting_Curves/meltCurve_tr_B4DP38_B4DP38_HUMAN_.pdf</v>
      </c>
      <c r="AA3077" t="s">
        <v>13923</v>
      </c>
      <c r="AB3077" t="s">
        <v>17500</v>
      </c>
    </row>
    <row r="3078" spans="1:28" x14ac:dyDescent="0.25">
      <c r="A3078" t="s">
        <v>3082</v>
      </c>
      <c r="B3078">
        <v>0.98018197421672304</v>
      </c>
      <c r="C3078">
        <v>0.96991212125969295</v>
      </c>
      <c r="D3078">
        <v>0.881272244637199</v>
      </c>
      <c r="E3078">
        <v>0.82427952540837202</v>
      </c>
      <c r="F3078">
        <v>0.65549899282162605</v>
      </c>
      <c r="G3078">
        <v>0.48710060584116499</v>
      </c>
      <c r="H3078">
        <v>0.38019788807858901</v>
      </c>
      <c r="I3078">
        <v>0.188421967370942</v>
      </c>
      <c r="J3078">
        <v>0.14860327434355</v>
      </c>
      <c r="K3078">
        <v>7.3448966917158395E-2</v>
      </c>
      <c r="L3078">
        <v>609.84556471458905</v>
      </c>
      <c r="M3078">
        <v>10.7752165433012</v>
      </c>
      <c r="N3078">
        <v>56.597059178132902</v>
      </c>
      <c r="O3078">
        <v>54.752246956692801</v>
      </c>
      <c r="P3078">
        <v>-4.9217854895357301E-2</v>
      </c>
      <c r="Q3078">
        <v>0</v>
      </c>
      <c r="R3078">
        <v>0.99124703588864604</v>
      </c>
      <c r="S3078" t="s">
        <v>6707</v>
      </c>
      <c r="T3078" t="s">
        <v>7256</v>
      </c>
      <c r="U3078" t="s">
        <v>7256</v>
      </c>
      <c r="V3078" t="s">
        <v>7256</v>
      </c>
      <c r="W3078">
        <v>21</v>
      </c>
      <c r="X3078" t="s">
        <v>10334</v>
      </c>
      <c r="Y3078">
        <v>0.57158257046668071</v>
      </c>
      <c r="Z3078" t="str">
        <f>HYPERLINK("Melting_Curves/meltCurve_tr_B4DPM9_B4DPM9_HUMAN_.pdf", "Melting_Curves/meltCurve_tr_B4DPM9_B4DPM9_HUMAN_.pdf")</f>
        <v>Melting_Curves/meltCurve_tr_B4DPM9_B4DPM9_HUMAN_.pdf</v>
      </c>
      <c r="AA3078" t="s">
        <v>11731</v>
      </c>
      <c r="AB3078" t="s">
        <v>17501</v>
      </c>
    </row>
    <row r="3079" spans="1:28" x14ac:dyDescent="0.25">
      <c r="A3079" t="s">
        <v>3083</v>
      </c>
      <c r="B3079">
        <v>0.98018197421672304</v>
      </c>
      <c r="C3079">
        <v>1.0058085840605799</v>
      </c>
      <c r="D3079">
        <v>0.83260700725960402</v>
      </c>
      <c r="E3079">
        <v>0.69262972074450302</v>
      </c>
      <c r="F3079">
        <v>0.46718785245255201</v>
      </c>
      <c r="G3079">
        <v>0.39989095739523201</v>
      </c>
      <c r="H3079">
        <v>0.19489536109908001</v>
      </c>
      <c r="I3079">
        <v>0.15524212893386899</v>
      </c>
      <c r="J3079">
        <v>0.188578679771884</v>
      </c>
      <c r="K3079">
        <v>0.12721040659799401</v>
      </c>
      <c r="L3079">
        <v>668.16448922644304</v>
      </c>
      <c r="M3079">
        <v>12.791380460494899</v>
      </c>
      <c r="N3079">
        <v>53.206194354574102</v>
      </c>
      <c r="O3079">
        <v>51.008231074479603</v>
      </c>
      <c r="P3079">
        <v>-5.6179139575780801E-2</v>
      </c>
      <c r="Q3079">
        <v>0.10406558414165699</v>
      </c>
      <c r="R3079">
        <v>0.98710293057074106</v>
      </c>
      <c r="S3079" t="s">
        <v>6708</v>
      </c>
      <c r="T3079" t="s">
        <v>7256</v>
      </c>
      <c r="U3079" t="s">
        <v>7256</v>
      </c>
      <c r="V3079" t="s">
        <v>7256</v>
      </c>
      <c r="W3079">
        <v>2</v>
      </c>
      <c r="X3079" t="s">
        <v>10335</v>
      </c>
      <c r="Y3079">
        <v>0.49433297911319041</v>
      </c>
      <c r="Z3079" t="str">
        <f>HYPERLINK("Melting_Curves/meltCurve_tr_B4DPR4_B4DPR4_HUMAN_.pdf", "Melting_Curves/meltCurve_tr_B4DPR4_B4DPR4_HUMAN_.pdf")</f>
        <v>Melting_Curves/meltCurve_tr_B4DPR4_B4DPR4_HUMAN_.pdf</v>
      </c>
      <c r="AA3079" t="s">
        <v>13924</v>
      </c>
      <c r="AB3079" t="s">
        <v>17502</v>
      </c>
    </row>
    <row r="3080" spans="1:28" x14ac:dyDescent="0.25">
      <c r="A3080" t="s">
        <v>3084</v>
      </c>
      <c r="B3080">
        <v>0.98018197421672304</v>
      </c>
      <c r="C3080">
        <v>1.03134618573156</v>
      </c>
      <c r="D3080">
        <v>0.90958949691167601</v>
      </c>
      <c r="E3080">
        <v>0.76417057704017599</v>
      </c>
      <c r="F3080">
        <v>0.62739554808589304</v>
      </c>
      <c r="G3080">
        <v>0.33822080230401702</v>
      </c>
      <c r="H3080">
        <v>0.22608862118294501</v>
      </c>
      <c r="I3080">
        <v>0.216745323401666</v>
      </c>
      <c r="J3080">
        <v>0.26809646022683098</v>
      </c>
      <c r="K3080">
        <v>0.31435516142435499</v>
      </c>
      <c r="L3080">
        <v>1064.29377686732</v>
      </c>
      <c r="M3080">
        <v>20.326695816667002</v>
      </c>
      <c r="N3080">
        <v>54.094274443078497</v>
      </c>
      <c r="O3080">
        <v>51.860540030544797</v>
      </c>
      <c r="P3080">
        <v>-7.4524369985179001E-2</v>
      </c>
      <c r="Q3080">
        <v>0.23947185254808101</v>
      </c>
      <c r="R3080">
        <v>0.981633025965432</v>
      </c>
      <c r="S3080" t="s">
        <v>6709</v>
      </c>
      <c r="T3080" t="s">
        <v>7256</v>
      </c>
      <c r="U3080" t="s">
        <v>7256</v>
      </c>
      <c r="V3080" t="s">
        <v>7256</v>
      </c>
      <c r="W3080">
        <v>7</v>
      </c>
      <c r="X3080" t="s">
        <v>10336</v>
      </c>
      <c r="Y3080">
        <v>0.56300426544432614</v>
      </c>
      <c r="Z3080" t="str">
        <f>HYPERLINK("Melting_Curves/meltCurve_tr_B4DQ14_B4DQ14_HUMAN_.pdf", "Melting_Curves/meltCurve_tr_B4DQ14_B4DQ14_HUMAN_.pdf")</f>
        <v>Melting_Curves/meltCurve_tr_B4DQ14_B4DQ14_HUMAN_.pdf</v>
      </c>
      <c r="AA3080" t="s">
        <v>13925</v>
      </c>
      <c r="AB3080" t="s">
        <v>14872</v>
      </c>
    </row>
    <row r="3081" spans="1:28" x14ac:dyDescent="0.25">
      <c r="A3081" t="s">
        <v>3085</v>
      </c>
      <c r="B3081">
        <v>0.98018197421672304</v>
      </c>
      <c r="C3081">
        <v>0.85084487544301501</v>
      </c>
      <c r="D3081">
        <v>0.59022950520093198</v>
      </c>
      <c r="E3081">
        <v>0.40409225578124602</v>
      </c>
      <c r="F3081">
        <v>0.31062414896593499</v>
      </c>
      <c r="G3081">
        <v>0.21194799539774301</v>
      </c>
      <c r="H3081">
        <v>0.174341761973651</v>
      </c>
      <c r="I3081">
        <v>0.22848369608000499</v>
      </c>
      <c r="J3081">
        <v>0.26200379440758298</v>
      </c>
      <c r="K3081">
        <v>0.30051366597754497</v>
      </c>
      <c r="L3081">
        <v>877.46699521772302</v>
      </c>
      <c r="M3081">
        <v>19.0839173971635</v>
      </c>
      <c r="N3081">
        <v>47.570922442465402</v>
      </c>
      <c r="O3081">
        <v>45.483455785011202</v>
      </c>
      <c r="P3081">
        <v>-8.0148086839150104E-2</v>
      </c>
      <c r="Q3081">
        <v>0.23594954465352</v>
      </c>
      <c r="R3081">
        <v>0.98076189845663397</v>
      </c>
      <c r="S3081" t="s">
        <v>6710</v>
      </c>
      <c r="T3081" t="s">
        <v>7256</v>
      </c>
      <c r="U3081" t="s">
        <v>7256</v>
      </c>
      <c r="V3081" t="s">
        <v>7256</v>
      </c>
      <c r="W3081">
        <v>5</v>
      </c>
      <c r="X3081" t="s">
        <v>10337</v>
      </c>
      <c r="Y3081">
        <v>0.40139972623337972</v>
      </c>
      <c r="Z3081" t="str">
        <f>HYPERLINK("Melting_Curves/meltCurve_tr_B4DQA8_B4DQA8_HUMAN_.pdf", "Melting_Curves/meltCurve_tr_B4DQA8_B4DQA8_HUMAN_.pdf")</f>
        <v>Melting_Curves/meltCurve_tr_B4DQA8_B4DQA8_HUMAN_.pdf</v>
      </c>
      <c r="AA3081" t="s">
        <v>13926</v>
      </c>
      <c r="AB3081" t="s">
        <v>17503</v>
      </c>
    </row>
    <row r="3082" spans="1:28" x14ac:dyDescent="0.25">
      <c r="A3082" t="s">
        <v>3086</v>
      </c>
      <c r="B3082">
        <v>0.98018197421672304</v>
      </c>
      <c r="C3082">
        <v>0.96522850826214301</v>
      </c>
      <c r="D3082">
        <v>0.90228699908976595</v>
      </c>
      <c r="E3082">
        <v>0.90302045160741895</v>
      </c>
      <c r="F3082">
        <v>0.62058050036590695</v>
      </c>
      <c r="G3082">
        <v>0.123285421266253</v>
      </c>
      <c r="H3082">
        <v>5.9343461656607699E-2</v>
      </c>
      <c r="I3082">
        <v>4.1163696033829703E-2</v>
      </c>
      <c r="J3082">
        <v>4.4192378530698698E-2</v>
      </c>
      <c r="K3082">
        <v>3.0914480247375802E-2</v>
      </c>
      <c r="L3082">
        <v>1819.03930522317</v>
      </c>
      <c r="M3082">
        <v>33.956267222445597</v>
      </c>
      <c r="N3082">
        <v>53.684709830948599</v>
      </c>
      <c r="O3082">
        <v>53.385288177972299</v>
      </c>
      <c r="P3082">
        <v>-0.153454111075949</v>
      </c>
      <c r="Q3082">
        <v>3.4975296307862197E-2</v>
      </c>
      <c r="R3082">
        <v>0.99330086069677603</v>
      </c>
      <c r="S3082" t="s">
        <v>6711</v>
      </c>
      <c r="T3082" t="s">
        <v>7256</v>
      </c>
      <c r="U3082" t="s">
        <v>7256</v>
      </c>
      <c r="V3082" t="s">
        <v>7256</v>
      </c>
      <c r="W3082">
        <v>25</v>
      </c>
      <c r="X3082" t="s">
        <v>10338</v>
      </c>
      <c r="Y3082">
        <v>0.47643514552843758</v>
      </c>
      <c r="Z3082" t="str">
        <f>HYPERLINK("Melting_Curves/meltCurve_tr_B4DQJ8_B4DQJ8_HUMAN_.pdf", "Melting_Curves/meltCurve_tr_B4DQJ8_B4DQJ8_HUMAN_.pdf")</f>
        <v>Melting_Curves/meltCurve_tr_B4DQJ8_B4DQJ8_HUMAN_.pdf</v>
      </c>
      <c r="AA3082" t="s">
        <v>13927</v>
      </c>
      <c r="AB3082" t="s">
        <v>17504</v>
      </c>
    </row>
    <row r="3083" spans="1:28" x14ac:dyDescent="0.25">
      <c r="A3083" t="s">
        <v>3087</v>
      </c>
      <c r="B3083">
        <v>0.98018197421672304</v>
      </c>
      <c r="C3083">
        <v>0.94541309355824799</v>
      </c>
      <c r="D3083">
        <v>0.87919507207310699</v>
      </c>
      <c r="E3083">
        <v>0.59551944929465195</v>
      </c>
      <c r="F3083">
        <v>0.28784826461572299</v>
      </c>
      <c r="G3083">
        <v>0.16309246064833299</v>
      </c>
      <c r="H3083">
        <v>0.10403061006676401</v>
      </c>
      <c r="I3083">
        <v>7.9200137161182196E-2</v>
      </c>
      <c r="J3083">
        <v>8.3209565116247497E-2</v>
      </c>
      <c r="K3083">
        <v>6.3078084075627899E-2</v>
      </c>
      <c r="L3083">
        <v>1027.5133097097701</v>
      </c>
      <c r="M3083">
        <v>20.396839708026501</v>
      </c>
      <c r="N3083">
        <v>50.754335679104798</v>
      </c>
      <c r="O3083">
        <v>49.899374825234702</v>
      </c>
      <c r="P3083">
        <v>-9.4987667984173393E-2</v>
      </c>
      <c r="Q3083">
        <v>7.0506492401293794E-2</v>
      </c>
      <c r="R3083">
        <v>0.99778980292756603</v>
      </c>
      <c r="S3083" t="s">
        <v>6712</v>
      </c>
      <c r="T3083" t="s">
        <v>7256</v>
      </c>
      <c r="U3083" t="s">
        <v>7256</v>
      </c>
      <c r="V3083" t="s">
        <v>7256</v>
      </c>
      <c r="W3083">
        <v>9</v>
      </c>
      <c r="X3083" t="s">
        <v>10339</v>
      </c>
      <c r="Y3083">
        <v>0.40443433571620518</v>
      </c>
      <c r="Z3083" t="str">
        <f>HYPERLINK("Melting_Curves/meltCurve_tr_B4DR80_B4DR80_HUMAN_.pdf", "Melting_Curves/meltCurve_tr_B4DR80_B4DR80_HUMAN_.pdf")</f>
        <v>Melting_Curves/meltCurve_tr_B4DR80_B4DR80_HUMAN_.pdf</v>
      </c>
      <c r="AA3083" t="s">
        <v>13928</v>
      </c>
      <c r="AB3083" t="s">
        <v>17505</v>
      </c>
    </row>
    <row r="3084" spans="1:28" x14ac:dyDescent="0.25">
      <c r="A3084" t="s">
        <v>3088</v>
      </c>
      <c r="B3084">
        <v>0.98018197421672304</v>
      </c>
      <c r="C3084">
        <v>0.97610762475545398</v>
      </c>
      <c r="D3084">
        <v>0.79799651942990601</v>
      </c>
      <c r="E3084">
        <v>0.79932112324520399</v>
      </c>
      <c r="F3084">
        <v>0.54791891912313295</v>
      </c>
      <c r="G3084">
        <v>0.28095611344937599</v>
      </c>
      <c r="H3084">
        <v>0.109259700145064</v>
      </c>
      <c r="I3084">
        <v>0.12057890851978301</v>
      </c>
      <c r="J3084">
        <v>8.6075479855765996E-2</v>
      </c>
      <c r="K3084">
        <v>3.9312438576355697E-2</v>
      </c>
      <c r="L3084">
        <v>746.95886114506698</v>
      </c>
      <c r="M3084">
        <v>13.9575430699942</v>
      </c>
      <c r="N3084">
        <v>53.559360362432301</v>
      </c>
      <c r="O3084">
        <v>52.4538527373509</v>
      </c>
      <c r="P3084">
        <v>-6.61624069335503E-2</v>
      </c>
      <c r="Q3084">
        <v>5.5532084602942103E-3</v>
      </c>
      <c r="R3084">
        <v>0.98438329339654596</v>
      </c>
      <c r="S3084" t="s">
        <v>6713</v>
      </c>
      <c r="T3084" t="s">
        <v>7256</v>
      </c>
      <c r="U3084" t="s">
        <v>7256</v>
      </c>
      <c r="V3084" t="s">
        <v>7256</v>
      </c>
      <c r="W3084">
        <v>3</v>
      </c>
      <c r="X3084" t="s">
        <v>10340</v>
      </c>
      <c r="Y3084">
        <v>0.47651121685067532</v>
      </c>
      <c r="Z3084" t="str">
        <f>HYPERLINK("Melting_Curves/meltCurve_tr_B4DRL9_B4DRL9_HUMAN_.pdf", "Melting_Curves/meltCurve_tr_B4DRL9_B4DRL9_HUMAN_.pdf")</f>
        <v>Melting_Curves/meltCurve_tr_B4DRL9_B4DRL9_HUMAN_.pdf</v>
      </c>
      <c r="AA3084" t="s">
        <v>13929</v>
      </c>
      <c r="AB3084" t="s">
        <v>17506</v>
      </c>
    </row>
    <row r="3085" spans="1:28" x14ac:dyDescent="0.25">
      <c r="A3085" t="s">
        <v>3089</v>
      </c>
      <c r="B3085">
        <v>0.98018197421672304</v>
      </c>
      <c r="C3085">
        <v>0.97644956403967698</v>
      </c>
      <c r="D3085">
        <v>0</v>
      </c>
      <c r="E3085">
        <v>0.73042189564721205</v>
      </c>
      <c r="F3085">
        <v>0.45125816893638498</v>
      </c>
      <c r="G3085">
        <v>0.26209127950349698</v>
      </c>
      <c r="H3085">
        <v>0.15924047612120601</v>
      </c>
      <c r="I3085">
        <v>0.103717808389757</v>
      </c>
      <c r="J3085">
        <v>0.12245379606944801</v>
      </c>
      <c r="K3085">
        <v>0.10112950985717201</v>
      </c>
      <c r="L3085">
        <v>379.79889952841302</v>
      </c>
      <c r="M3085">
        <v>7.8384723327291796</v>
      </c>
      <c r="N3085">
        <v>48.7588004331135</v>
      </c>
      <c r="O3085">
        <v>45.603265631209503</v>
      </c>
      <c r="P3085">
        <v>-4.1992080554273198E-2</v>
      </c>
      <c r="Q3085">
        <v>2.3972124276207499E-2</v>
      </c>
      <c r="R3085">
        <v>0.57577742768408502</v>
      </c>
      <c r="S3085" t="s">
        <v>6714</v>
      </c>
      <c r="T3085" t="s">
        <v>7256</v>
      </c>
      <c r="U3085" t="s">
        <v>7256</v>
      </c>
      <c r="V3085" t="s">
        <v>7256</v>
      </c>
      <c r="W3085">
        <v>2</v>
      </c>
      <c r="X3085" t="s">
        <v>10341</v>
      </c>
      <c r="Y3085">
        <v>0.36865281996072652</v>
      </c>
      <c r="Z3085" t="str">
        <f>HYPERLINK("Melting_Curves/meltCurve_tr_B4DSN5_B4DSN5_HUMAN_.pdf", "Melting_Curves/meltCurve_tr_B4DSN5_B4DSN5_HUMAN_.pdf")</f>
        <v>Melting_Curves/meltCurve_tr_B4DSN5_B4DSN5_HUMAN_.pdf</v>
      </c>
      <c r="AA3085" t="s">
        <v>13930</v>
      </c>
      <c r="AB3085" t="s">
        <v>17507</v>
      </c>
    </row>
    <row r="3086" spans="1:28" x14ac:dyDescent="0.25">
      <c r="A3086" t="s">
        <v>3090</v>
      </c>
      <c r="B3086">
        <v>0.98018197421672304</v>
      </c>
      <c r="C3086">
        <v>0.89010726494000703</v>
      </c>
      <c r="D3086">
        <v>0.83752255396963404</v>
      </c>
      <c r="E3086">
        <v>0.63857468930860295</v>
      </c>
      <c r="F3086">
        <v>0.36519751996815297</v>
      </c>
      <c r="G3086">
        <v>0.18673764685177</v>
      </c>
      <c r="H3086">
        <v>0.15481159924969001</v>
      </c>
      <c r="I3086">
        <v>0.121702220345457</v>
      </c>
      <c r="J3086">
        <v>0.12085492890982399</v>
      </c>
      <c r="K3086">
        <v>0.106599387801653</v>
      </c>
      <c r="L3086">
        <v>801.94591946079402</v>
      </c>
      <c r="M3086">
        <v>15.850628939956399</v>
      </c>
      <c r="N3086">
        <v>51.232996079214402</v>
      </c>
      <c r="O3086">
        <v>49.809190584509501</v>
      </c>
      <c r="P3086">
        <v>-7.24267076049879E-2</v>
      </c>
      <c r="Q3086">
        <v>8.9696150315030199E-2</v>
      </c>
      <c r="R3086">
        <v>0.99290740774994601</v>
      </c>
      <c r="S3086" t="s">
        <v>6715</v>
      </c>
      <c r="T3086" t="s">
        <v>7256</v>
      </c>
      <c r="U3086" t="s">
        <v>7256</v>
      </c>
      <c r="V3086" t="s">
        <v>7256</v>
      </c>
      <c r="W3086">
        <v>2</v>
      </c>
      <c r="X3086" t="s">
        <v>10342</v>
      </c>
      <c r="Y3086">
        <v>0.43052138769305281</v>
      </c>
      <c r="Z3086" t="str">
        <f>HYPERLINK("Melting_Curves/meltCurve_tr_B4DT77_B4DT77_HUMAN_.pdf", "Melting_Curves/meltCurve_tr_B4DT77_B4DT77_HUMAN_.pdf")</f>
        <v>Melting_Curves/meltCurve_tr_B4DT77_B4DT77_HUMAN_.pdf</v>
      </c>
      <c r="AA3086" t="s">
        <v>13931</v>
      </c>
      <c r="AB3086" t="s">
        <v>17508</v>
      </c>
    </row>
    <row r="3087" spans="1:28" x14ac:dyDescent="0.25">
      <c r="A3087" t="s">
        <v>3091</v>
      </c>
      <c r="B3087">
        <v>0.98018197421672304</v>
      </c>
      <c r="C3087">
        <v>0.99602310445789299</v>
      </c>
      <c r="D3087">
        <v>0.89328804883178503</v>
      </c>
      <c r="E3087">
        <v>0.75575316341750698</v>
      </c>
      <c r="F3087">
        <v>0.63340760366619697</v>
      </c>
      <c r="G3087">
        <v>0.40328785176135801</v>
      </c>
      <c r="H3087">
        <v>0.32734017894407702</v>
      </c>
      <c r="I3087">
        <v>0.35742153470333698</v>
      </c>
      <c r="J3087">
        <v>0.42119238437440198</v>
      </c>
      <c r="K3087">
        <v>0.45108241841149399</v>
      </c>
      <c r="L3087">
        <v>1017.75930362079</v>
      </c>
      <c r="M3087">
        <v>19.907094591423402</v>
      </c>
      <c r="N3087">
        <v>54.988428919447998</v>
      </c>
      <c r="O3087">
        <v>50.617934953593199</v>
      </c>
      <c r="P3087">
        <v>-6.1303283088342597E-2</v>
      </c>
      <c r="Q3087">
        <v>0.37651519684294699</v>
      </c>
      <c r="R3087">
        <v>0.96860573932196703</v>
      </c>
      <c r="S3087" t="s">
        <v>6716</v>
      </c>
      <c r="T3087" t="s">
        <v>7256</v>
      </c>
      <c r="U3087" t="s">
        <v>7256</v>
      </c>
      <c r="V3087" t="s">
        <v>7256</v>
      </c>
      <c r="W3087">
        <v>2</v>
      </c>
      <c r="X3087" t="s">
        <v>10343</v>
      </c>
      <c r="Y3087">
        <v>0.61646115435104032</v>
      </c>
      <c r="Z3087" t="str">
        <f>HYPERLINK("Melting_Curves/meltCurve_tr_B4DTG6_B4DTG6_HUMAN_.pdf", "Melting_Curves/meltCurve_tr_B4DTG6_B4DTG6_HUMAN_.pdf")</f>
        <v>Melting_Curves/meltCurve_tr_B4DTG6_B4DTG6_HUMAN_.pdf</v>
      </c>
      <c r="AA3087" t="s">
        <v>13932</v>
      </c>
      <c r="AB3087" t="s">
        <v>17509</v>
      </c>
    </row>
    <row r="3088" spans="1:28" x14ac:dyDescent="0.25">
      <c r="A3088" t="s">
        <v>3092</v>
      </c>
      <c r="B3088">
        <v>0.98018197421672304</v>
      </c>
      <c r="C3088">
        <v>0.98203654622984304</v>
      </c>
      <c r="D3088">
        <v>0.958297503276345</v>
      </c>
      <c r="E3088">
        <v>0.76533097507969206</v>
      </c>
      <c r="F3088">
        <v>0.55912926297955901</v>
      </c>
      <c r="G3088">
        <v>0.19411678783372799</v>
      </c>
      <c r="H3088">
        <v>9.9221742163908805E-2</v>
      </c>
      <c r="I3088">
        <v>7.8034000899934605E-2</v>
      </c>
      <c r="J3088">
        <v>8.1541822519104398E-2</v>
      </c>
      <c r="K3088">
        <v>6.2589028627442395E-2</v>
      </c>
      <c r="L3088">
        <v>1132.98869221309</v>
      </c>
      <c r="M3088">
        <v>21.400560718823002</v>
      </c>
      <c r="N3088">
        <v>53.230254499676903</v>
      </c>
      <c r="O3088">
        <v>52.4862619872072</v>
      </c>
      <c r="P3088">
        <v>-9.6359983696683499E-2</v>
      </c>
      <c r="Q3088">
        <v>5.4707559564914299E-2</v>
      </c>
      <c r="R3088">
        <v>0.99752883959474503</v>
      </c>
      <c r="S3088" t="s">
        <v>6717</v>
      </c>
      <c r="T3088" t="s">
        <v>7256</v>
      </c>
      <c r="U3088" t="s">
        <v>7256</v>
      </c>
      <c r="V3088" t="s">
        <v>7256</v>
      </c>
      <c r="W3088">
        <v>14</v>
      </c>
      <c r="X3088" t="s">
        <v>10344</v>
      </c>
      <c r="Y3088">
        <v>0.47406799162989788</v>
      </c>
      <c r="Z3088" t="str">
        <f>HYPERLINK("Melting_Curves/meltCurve_tr_B4DUS9_B4DUS9_HUMAN_.pdf", "Melting_Curves/meltCurve_tr_B4DUS9_B4DUS9_HUMAN_.pdf")</f>
        <v>Melting_Curves/meltCurve_tr_B4DUS9_B4DUS9_HUMAN_.pdf</v>
      </c>
      <c r="AA3088" t="s">
        <v>13933</v>
      </c>
      <c r="AB3088" t="s">
        <v>17510</v>
      </c>
    </row>
    <row r="3089" spans="1:28" x14ac:dyDescent="0.25">
      <c r="A3089" t="s">
        <v>3093</v>
      </c>
      <c r="B3089">
        <v>0.98018197421672304</v>
      </c>
      <c r="C3089">
        <v>1.0714396821985299</v>
      </c>
      <c r="D3089">
        <v>1.00069056453685</v>
      </c>
      <c r="E3089">
        <v>0.90002520508182304</v>
      </c>
      <c r="F3089">
        <v>0.86180601126201795</v>
      </c>
      <c r="G3089">
        <v>0.69812984938949196</v>
      </c>
      <c r="H3089">
        <v>0.57356119938983796</v>
      </c>
      <c r="I3089">
        <v>0.68773543405845905</v>
      </c>
      <c r="J3089">
        <v>0.72093224900487995</v>
      </c>
      <c r="K3089">
        <v>0.77594066085255997</v>
      </c>
      <c r="L3089">
        <v>1531.5024901766001</v>
      </c>
      <c r="M3089">
        <v>29.162640746795699</v>
      </c>
      <c r="O3089">
        <v>52.2708444547618</v>
      </c>
      <c r="P3089">
        <v>-4.3578112649049601E-2</v>
      </c>
      <c r="Q3089">
        <v>0.68756639201613201</v>
      </c>
      <c r="R3089">
        <v>0.86231222159466803</v>
      </c>
      <c r="S3089" t="s">
        <v>6718</v>
      </c>
      <c r="T3089" t="s">
        <v>7256</v>
      </c>
      <c r="U3089" t="s">
        <v>7256</v>
      </c>
      <c r="V3089" t="s">
        <v>7256</v>
      </c>
      <c r="W3089">
        <v>3</v>
      </c>
      <c r="X3089" t="s">
        <v>10345</v>
      </c>
      <c r="Y3089">
        <v>0.82003994861383556</v>
      </c>
      <c r="Z3089" t="str">
        <f>HYPERLINK("Melting_Curves/meltCurve_tr_B4DV96_B4DV96_HUMAN_.pdf", "Melting_Curves/meltCurve_tr_B4DV96_B4DV96_HUMAN_.pdf")</f>
        <v>Melting_Curves/meltCurve_tr_B4DV96_B4DV96_HUMAN_.pdf</v>
      </c>
      <c r="AA3089" t="s">
        <v>13934</v>
      </c>
      <c r="AB3089" t="s">
        <v>17511</v>
      </c>
    </row>
    <row r="3090" spans="1:28" x14ac:dyDescent="0.25">
      <c r="A3090" t="s">
        <v>3094</v>
      </c>
      <c r="B3090">
        <v>0.98018197421672304</v>
      </c>
      <c r="C3090">
        <v>0.81761034368424801</v>
      </c>
      <c r="D3090">
        <v>0.73632801744565901</v>
      </c>
      <c r="E3090">
        <v>0.38928042688338099</v>
      </c>
      <c r="F3090">
        <v>0.17609632144732201</v>
      </c>
      <c r="G3090">
        <v>9.9697123141840205E-2</v>
      </c>
      <c r="H3090">
        <v>7.4946640182441807E-2</v>
      </c>
      <c r="I3090">
        <v>5.7811597193034997E-2</v>
      </c>
      <c r="J3090">
        <v>5.3246760986186199E-2</v>
      </c>
      <c r="K3090">
        <v>0</v>
      </c>
      <c r="L3090">
        <v>766.73196235655098</v>
      </c>
      <c r="M3090">
        <v>15.8873094868484</v>
      </c>
      <c r="N3090">
        <v>48.4064604282121</v>
      </c>
      <c r="O3090">
        <v>47.5154513954622</v>
      </c>
      <c r="P3090">
        <v>-8.1643837251578699E-2</v>
      </c>
      <c r="Q3090">
        <v>2.3363640075403699E-2</v>
      </c>
      <c r="R3090">
        <v>0.99224538654004502</v>
      </c>
      <c r="S3090" t="s">
        <v>6719</v>
      </c>
      <c r="T3090" t="s">
        <v>7256</v>
      </c>
      <c r="U3090" t="s">
        <v>7256</v>
      </c>
      <c r="V3090" t="s">
        <v>7256</v>
      </c>
      <c r="W3090">
        <v>2</v>
      </c>
      <c r="X3090" t="s">
        <v>10346</v>
      </c>
      <c r="Y3090">
        <v>0.31445454937940109</v>
      </c>
      <c r="Z3090" t="str">
        <f>HYPERLINK("Melting_Curves/meltCurve_tr_B4DVG8_B4DVG8_HUMAN_.pdf", "Melting_Curves/meltCurve_tr_B4DVG8_B4DVG8_HUMAN_.pdf")</f>
        <v>Melting_Curves/meltCurve_tr_B4DVG8_B4DVG8_HUMAN_.pdf</v>
      </c>
      <c r="AA3090" t="s">
        <v>13935</v>
      </c>
      <c r="AB3090" t="s">
        <v>17512</v>
      </c>
    </row>
    <row r="3091" spans="1:28" x14ac:dyDescent="0.25">
      <c r="A3091" t="s">
        <v>3095</v>
      </c>
      <c r="B3091">
        <v>0.98018197421672304</v>
      </c>
      <c r="C3091">
        <v>0.90976444287996605</v>
      </c>
      <c r="D3091">
        <v>0.85831360774662502</v>
      </c>
      <c r="E3091">
        <v>0.40258186451547601</v>
      </c>
      <c r="F3091">
        <v>0.23911027805114801</v>
      </c>
      <c r="G3091">
        <v>0.11864670161535</v>
      </c>
      <c r="H3091">
        <v>9.4707689133297093E-2</v>
      </c>
      <c r="I3091">
        <v>8.1358443098905095E-2</v>
      </c>
      <c r="J3091">
        <v>0.10569060971688</v>
      </c>
      <c r="K3091">
        <v>5.5778079748529101E-2</v>
      </c>
      <c r="L3091">
        <v>1096.35832394044</v>
      </c>
      <c r="M3091">
        <v>22.4194194123932</v>
      </c>
      <c r="N3091">
        <v>49.292141778368197</v>
      </c>
      <c r="O3091">
        <v>48.5181015287585</v>
      </c>
      <c r="P3091">
        <v>-0.10613540608199901</v>
      </c>
      <c r="Q3091">
        <v>8.12643087001505E-2</v>
      </c>
      <c r="R3091">
        <v>0.99488427397417201</v>
      </c>
      <c r="S3091" t="s">
        <v>6720</v>
      </c>
      <c r="T3091" t="s">
        <v>7256</v>
      </c>
      <c r="U3091" t="s">
        <v>7256</v>
      </c>
      <c r="V3091" t="s">
        <v>7256</v>
      </c>
      <c r="W3091">
        <v>6</v>
      </c>
      <c r="X3091" t="s">
        <v>10347</v>
      </c>
      <c r="Y3091">
        <v>0.36407841488999843</v>
      </c>
      <c r="Z3091" t="str">
        <f>HYPERLINK("Melting_Curves/meltCurve_tr_B4DVY1_B4DVY1_HUMAN_.pdf", "Melting_Curves/meltCurve_tr_B4DVY1_B4DVY1_HUMAN_.pdf")</f>
        <v>Melting_Curves/meltCurve_tr_B4DVY1_B4DVY1_HUMAN_.pdf</v>
      </c>
      <c r="AA3091" t="s">
        <v>13936</v>
      </c>
      <c r="AB3091" t="s">
        <v>17513</v>
      </c>
    </row>
    <row r="3092" spans="1:28" x14ac:dyDescent="0.25">
      <c r="A3092" t="s">
        <v>3096</v>
      </c>
      <c r="B3092">
        <v>0.98018197421672304</v>
      </c>
      <c r="C3092">
        <v>1.0097845441314599</v>
      </c>
      <c r="D3092">
        <v>0.897223645834476</v>
      </c>
      <c r="E3092">
        <v>0.82124364142120998</v>
      </c>
      <c r="F3092">
        <v>0.70697373925328399</v>
      </c>
      <c r="G3092">
        <v>0.57429918997792095</v>
      </c>
      <c r="H3092">
        <v>0.387463717184163</v>
      </c>
      <c r="I3092">
        <v>0.25851807123424703</v>
      </c>
      <c r="J3092">
        <v>0.13608257102933499</v>
      </c>
      <c r="K3092">
        <v>7.9897638932916196E-2</v>
      </c>
      <c r="L3092">
        <v>637.61063521836104</v>
      </c>
      <c r="M3092">
        <v>11.0560783167435</v>
      </c>
      <c r="N3092">
        <v>57.6705940565529</v>
      </c>
      <c r="O3092">
        <v>55.880285147142402</v>
      </c>
      <c r="P3092">
        <v>-4.9479597277492501E-2</v>
      </c>
      <c r="Q3092">
        <v>0</v>
      </c>
      <c r="R3092">
        <v>0.99026234587451401</v>
      </c>
      <c r="S3092" t="s">
        <v>6721</v>
      </c>
      <c r="T3092" t="s">
        <v>7256</v>
      </c>
      <c r="U3092" t="s">
        <v>7256</v>
      </c>
      <c r="V3092" t="s">
        <v>7256</v>
      </c>
      <c r="W3092">
        <v>21</v>
      </c>
      <c r="X3092" t="s">
        <v>10348</v>
      </c>
      <c r="Y3092">
        <v>0.6024137560925229</v>
      </c>
      <c r="Z3092" t="str">
        <f>HYPERLINK("Melting_Curves/meltCurve_tr_B4DWI1_B4DWI1_HUMAN_.pdf", "Melting_Curves/meltCurve_tr_B4DWI1_B4DWI1_HUMAN_.pdf")</f>
        <v>Melting_Curves/meltCurve_tr_B4DWI1_B4DWI1_HUMAN_.pdf</v>
      </c>
      <c r="AA3092" t="s">
        <v>13937</v>
      </c>
      <c r="AB3092" t="s">
        <v>17514</v>
      </c>
    </row>
    <row r="3093" spans="1:28" x14ac:dyDescent="0.25">
      <c r="A3093" t="s">
        <v>3097</v>
      </c>
      <c r="B3093">
        <v>0.98018197421672304</v>
      </c>
      <c r="C3093">
        <v>0.77278817959299495</v>
      </c>
      <c r="D3093">
        <v>0.74250411008824901</v>
      </c>
      <c r="E3093">
        <v>0.69860340394756604</v>
      </c>
      <c r="F3093">
        <v>0.50409320887510101</v>
      </c>
      <c r="G3093">
        <v>0.22175282876880101</v>
      </c>
      <c r="H3093">
        <v>0.12509919190956401</v>
      </c>
      <c r="I3093">
        <v>9.4064356189750301E-2</v>
      </c>
      <c r="J3093">
        <v>0.100890324338824</v>
      </c>
      <c r="K3093">
        <v>6.9725463695836307E-2</v>
      </c>
      <c r="L3093">
        <v>536.83867310890798</v>
      </c>
      <c r="M3093">
        <v>10.3505491279056</v>
      </c>
      <c r="N3093">
        <v>51.865709233010101</v>
      </c>
      <c r="O3093">
        <v>50.041713698812003</v>
      </c>
      <c r="P3093">
        <v>-5.17316482327181E-2</v>
      </c>
      <c r="Q3093">
        <v>0</v>
      </c>
      <c r="R3093">
        <v>0.96344816542258205</v>
      </c>
      <c r="S3093" t="s">
        <v>6722</v>
      </c>
      <c r="T3093" t="s">
        <v>7256</v>
      </c>
      <c r="U3093" t="s">
        <v>7256</v>
      </c>
      <c r="V3093" t="s">
        <v>7256</v>
      </c>
      <c r="W3093">
        <v>6</v>
      </c>
      <c r="X3093" t="s">
        <v>10349</v>
      </c>
      <c r="Y3093">
        <v>0.43252238331036119</v>
      </c>
      <c r="Z3093" t="str">
        <f>HYPERLINK("Melting_Curves/meltCurve_tr_B4DWW4_B4DWW4_HUMAN_.pdf", "Melting_Curves/meltCurve_tr_B4DWW4_B4DWW4_HUMAN_.pdf")</f>
        <v>Melting_Curves/meltCurve_tr_B4DWW4_B4DWW4_HUMAN_.pdf</v>
      </c>
      <c r="AA3093" t="s">
        <v>13938</v>
      </c>
      <c r="AB3093" t="s">
        <v>17515</v>
      </c>
    </row>
    <row r="3094" spans="1:28" x14ac:dyDescent="0.25">
      <c r="A3094" t="s">
        <v>3098</v>
      </c>
      <c r="B3094">
        <v>0.98018197421672304</v>
      </c>
      <c r="C3094">
        <v>0.946352649097152</v>
      </c>
      <c r="D3094">
        <v>0.96891061970459202</v>
      </c>
      <c r="E3094">
        <v>0.77586657596868702</v>
      </c>
      <c r="F3094">
        <v>0.285391998939452</v>
      </c>
      <c r="G3094">
        <v>0.13051888803376699</v>
      </c>
      <c r="H3094">
        <v>9.3795685527501504E-2</v>
      </c>
      <c r="I3094">
        <v>6.1532935076956598E-2</v>
      </c>
      <c r="J3094">
        <v>5.7140273234054198E-2</v>
      </c>
      <c r="K3094">
        <v>3.5878680363199099E-2</v>
      </c>
      <c r="L3094">
        <v>1944.6211723972699</v>
      </c>
      <c r="M3094">
        <v>37.801604654749802</v>
      </c>
      <c r="N3094">
        <v>51.644775678225002</v>
      </c>
      <c r="O3094">
        <v>51.299488571450603</v>
      </c>
      <c r="P3094">
        <v>-0.171563304169219</v>
      </c>
      <c r="Q3094">
        <v>6.8707587884105303E-2</v>
      </c>
      <c r="R3094">
        <v>0.99556083643357396</v>
      </c>
      <c r="S3094" t="s">
        <v>6723</v>
      </c>
      <c r="T3094" t="s">
        <v>7256</v>
      </c>
      <c r="U3094" t="s">
        <v>7256</v>
      </c>
      <c r="V3094" t="s">
        <v>7256</v>
      </c>
      <c r="W3094">
        <v>2</v>
      </c>
      <c r="X3094" t="s">
        <v>10350</v>
      </c>
      <c r="Y3094">
        <v>0.42763769924557321</v>
      </c>
      <c r="Z3094" t="str">
        <f>HYPERLINK("Melting_Curves/meltCurve_tr_B4DXK4_B4DXK4_HUMAN_.pdf", "Melting_Curves/meltCurve_tr_B4DXK4_B4DXK4_HUMAN_.pdf")</f>
        <v>Melting_Curves/meltCurve_tr_B4DXK4_B4DXK4_HUMAN_.pdf</v>
      </c>
      <c r="AA3094" t="s">
        <v>13939</v>
      </c>
      <c r="AB3094" t="s">
        <v>17516</v>
      </c>
    </row>
    <row r="3095" spans="1:28" x14ac:dyDescent="0.25">
      <c r="A3095" t="s">
        <v>3099</v>
      </c>
      <c r="B3095">
        <v>0.98018197421672304</v>
      </c>
      <c r="C3095">
        <v>0.74431477374999899</v>
      </c>
      <c r="D3095">
        <v>0.73600564186544903</v>
      </c>
      <c r="E3095">
        <v>0.70886912944124703</v>
      </c>
      <c r="F3095">
        <v>0.50199602148009903</v>
      </c>
      <c r="G3095">
        <v>0.201086515694444</v>
      </c>
      <c r="H3095">
        <v>8.5234648866706703E-2</v>
      </c>
      <c r="I3095">
        <v>7.5754705241520906E-2</v>
      </c>
      <c r="J3095">
        <v>5.8553938229601803E-2</v>
      </c>
      <c r="K3095">
        <v>3.0443355935097199E-2</v>
      </c>
      <c r="L3095">
        <v>575.76017418893798</v>
      </c>
      <c r="M3095">
        <v>11.1538756895826</v>
      </c>
      <c r="N3095">
        <v>51.619738924208598</v>
      </c>
      <c r="O3095">
        <v>50.043847257907501</v>
      </c>
      <c r="P3095">
        <v>-5.5738333955097197E-2</v>
      </c>
      <c r="Q3095">
        <v>0</v>
      </c>
      <c r="R3095">
        <v>0.94945826224637997</v>
      </c>
      <c r="S3095" t="s">
        <v>6724</v>
      </c>
      <c r="T3095" t="s">
        <v>7256</v>
      </c>
      <c r="U3095" t="s">
        <v>7256</v>
      </c>
      <c r="V3095" t="s">
        <v>7256</v>
      </c>
      <c r="W3095">
        <v>7</v>
      </c>
      <c r="X3095" t="s">
        <v>10351</v>
      </c>
      <c r="Y3095">
        <v>0.42183497530523351</v>
      </c>
      <c r="Z3095" t="str">
        <f>HYPERLINK("Melting_Curves/meltCurve_tr_B4DXP9_B4DXP9_HUMAN_.pdf", "Melting_Curves/meltCurve_tr_B4DXP9_B4DXP9_HUMAN_.pdf")</f>
        <v>Melting_Curves/meltCurve_tr_B4DXP9_B4DXP9_HUMAN_.pdf</v>
      </c>
      <c r="AA3095" t="s">
        <v>12065</v>
      </c>
      <c r="AB3095" t="s">
        <v>15626</v>
      </c>
    </row>
    <row r="3096" spans="1:28" x14ac:dyDescent="0.25">
      <c r="A3096" t="s">
        <v>3100</v>
      </c>
      <c r="B3096">
        <v>0.98018197421672304</v>
      </c>
      <c r="C3096">
        <v>0.937497469705598</v>
      </c>
      <c r="D3096">
        <v>0.93169708879911495</v>
      </c>
      <c r="E3096">
        <v>0.53848351009678297</v>
      </c>
      <c r="F3096">
        <v>0.30220512929686399</v>
      </c>
      <c r="G3096">
        <v>0.12743248169594101</v>
      </c>
      <c r="H3096">
        <v>9.4487399748907894E-2</v>
      </c>
      <c r="I3096">
        <v>5.0421625664820002E-2</v>
      </c>
      <c r="J3096">
        <v>8.0189199909035294E-2</v>
      </c>
      <c r="K3096">
        <v>0</v>
      </c>
      <c r="L3096">
        <v>1067.5053116640499</v>
      </c>
      <c r="M3096">
        <v>21.1873571473485</v>
      </c>
      <c r="N3096">
        <v>50.618975383004901</v>
      </c>
      <c r="O3096">
        <v>49.941662169107502</v>
      </c>
      <c r="P3096">
        <v>-0.101097176493867</v>
      </c>
      <c r="Q3096">
        <v>4.6821846229043999E-2</v>
      </c>
      <c r="R3096">
        <v>0.99448012438285804</v>
      </c>
      <c r="S3096" t="s">
        <v>6725</v>
      </c>
      <c r="T3096" t="s">
        <v>7256</v>
      </c>
      <c r="U3096" t="s">
        <v>7256</v>
      </c>
      <c r="V3096" t="s">
        <v>7256</v>
      </c>
      <c r="W3096">
        <v>1</v>
      </c>
      <c r="X3096" t="s">
        <v>10352</v>
      </c>
      <c r="Y3096">
        <v>0.38860528154195478</v>
      </c>
      <c r="Z3096" t="str">
        <f>HYPERLINK("Melting_Curves/meltCurve_tr_B4DXW4_B4DXW4_HUMAN_.pdf", "Melting_Curves/meltCurve_tr_B4DXW4_B4DXW4_HUMAN_.pdf")</f>
        <v>Melting_Curves/meltCurve_tr_B4DXW4_B4DXW4_HUMAN_.pdf</v>
      </c>
      <c r="AA3096" t="s">
        <v>13940</v>
      </c>
      <c r="AB3096" t="s">
        <v>17517</v>
      </c>
    </row>
    <row r="3097" spans="1:28" x14ac:dyDescent="0.25">
      <c r="A3097" t="s">
        <v>3101</v>
      </c>
      <c r="B3097">
        <v>0.98018197421672304</v>
      </c>
      <c r="C3097">
        <v>1.0791700052547299</v>
      </c>
      <c r="D3097">
        <v>0.99314457532487299</v>
      </c>
      <c r="E3097">
        <v>0.83593600355727105</v>
      </c>
      <c r="F3097">
        <v>0.42227872435432301</v>
      </c>
      <c r="G3097">
        <v>0.17202333222265601</v>
      </c>
      <c r="H3097">
        <v>0.12011760080256</v>
      </c>
      <c r="I3097">
        <v>0.113107151574521</v>
      </c>
      <c r="J3097">
        <v>0.11295444255492799</v>
      </c>
      <c r="K3097">
        <v>0.125795282441136</v>
      </c>
      <c r="L3097">
        <v>1835.78860692018</v>
      </c>
      <c r="M3097">
        <v>35.259972577598802</v>
      </c>
      <c r="N3097">
        <v>52.468641295327103</v>
      </c>
      <c r="O3097">
        <v>51.897758103734503</v>
      </c>
      <c r="P3097">
        <v>-0.14964987750157099</v>
      </c>
      <c r="Q3097">
        <v>0.11894798728032099</v>
      </c>
      <c r="R3097">
        <v>0.99562090869502795</v>
      </c>
      <c r="S3097" t="s">
        <v>6726</v>
      </c>
      <c r="T3097" t="s">
        <v>7256</v>
      </c>
      <c r="U3097" t="s">
        <v>7256</v>
      </c>
      <c r="V3097" t="s">
        <v>7256</v>
      </c>
      <c r="W3097">
        <v>3</v>
      </c>
      <c r="X3097" t="s">
        <v>10353</v>
      </c>
      <c r="Y3097">
        <v>0.4773422037742332</v>
      </c>
      <c r="Z3097" t="str">
        <f>HYPERLINK("Melting_Curves/meltCurve_tr_B4DZW6_B4DZW6_HUMAN_.pdf", "Melting_Curves/meltCurve_tr_B4DZW6_B4DZW6_HUMAN_.pdf")</f>
        <v>Melting_Curves/meltCurve_tr_B4DZW6_B4DZW6_HUMAN_.pdf</v>
      </c>
      <c r="AA3097" t="s">
        <v>13941</v>
      </c>
      <c r="AB3097" t="s">
        <v>17518</v>
      </c>
    </row>
    <row r="3098" spans="1:28" x14ac:dyDescent="0.25">
      <c r="A3098" t="s">
        <v>3102</v>
      </c>
      <c r="B3098">
        <v>0.98018197421672304</v>
      </c>
      <c r="C3098">
        <v>0.79246348829186897</v>
      </c>
      <c r="D3098">
        <v>0.74980781264913599</v>
      </c>
      <c r="E3098">
        <v>0.82000622090768205</v>
      </c>
      <c r="F3098">
        <v>0.84050616853114002</v>
      </c>
      <c r="G3098">
        <v>0.59451160875639697</v>
      </c>
      <c r="H3098">
        <v>0.36031505541418601</v>
      </c>
      <c r="I3098">
        <v>0.178337221787257</v>
      </c>
      <c r="J3098">
        <v>5.0232155352217901E-2</v>
      </c>
      <c r="K3098">
        <v>1.1617125507017399E-2</v>
      </c>
      <c r="L3098">
        <v>800.67427253318795</v>
      </c>
      <c r="M3098">
        <v>13.8729210576008</v>
      </c>
      <c r="N3098">
        <v>57.7149015581534</v>
      </c>
      <c r="O3098">
        <v>56.555329692630501</v>
      </c>
      <c r="P3098">
        <v>-6.1332961462655898E-2</v>
      </c>
      <c r="Q3098">
        <v>0</v>
      </c>
      <c r="R3098">
        <v>0.90073194023960201</v>
      </c>
      <c r="S3098" t="s">
        <v>6727</v>
      </c>
      <c r="T3098" t="s">
        <v>7256</v>
      </c>
      <c r="U3098" t="s">
        <v>7256</v>
      </c>
      <c r="V3098" t="s">
        <v>7256</v>
      </c>
      <c r="W3098">
        <v>11</v>
      </c>
      <c r="X3098" t="s">
        <v>10354</v>
      </c>
      <c r="Y3098">
        <v>0.60486699398902455</v>
      </c>
      <c r="Z3098" t="str">
        <f>HYPERLINK("Melting_Curves/meltCurve_tr_B4E072_B4E072_HUMAN_.pdf", "Melting_Curves/meltCurve_tr_B4E072_B4E072_HUMAN_.pdf")</f>
        <v>Melting_Curves/meltCurve_tr_B4E072_B4E072_HUMAN_.pdf</v>
      </c>
      <c r="AA3098" t="s">
        <v>11384</v>
      </c>
      <c r="AB3098" t="s">
        <v>14938</v>
      </c>
    </row>
    <row r="3099" spans="1:28" x14ac:dyDescent="0.25">
      <c r="A3099" t="s">
        <v>3103</v>
      </c>
      <c r="B3099">
        <v>0.98018197421672304</v>
      </c>
      <c r="C3099">
        <v>1.00763820136065</v>
      </c>
      <c r="D3099">
        <v>0.87766621621250696</v>
      </c>
      <c r="E3099">
        <v>0.71069020282266404</v>
      </c>
      <c r="F3099">
        <v>0.42070020691142102</v>
      </c>
      <c r="G3099">
        <v>0.21473303747386699</v>
      </c>
      <c r="H3099">
        <v>0.13962160579868901</v>
      </c>
      <c r="I3099">
        <v>0.111565985627855</v>
      </c>
      <c r="J3099">
        <v>8.35622974618173E-2</v>
      </c>
      <c r="K3099">
        <v>5.7217518550751002E-2</v>
      </c>
      <c r="L3099">
        <v>930.48136715810404</v>
      </c>
      <c r="M3099">
        <v>17.959056641392198</v>
      </c>
      <c r="N3099">
        <v>52.232996638542502</v>
      </c>
      <c r="O3099">
        <v>51.181669140613899</v>
      </c>
      <c r="P3099">
        <v>-8.1805800832599196E-2</v>
      </c>
      <c r="Q3099">
        <v>6.7490219250208497E-2</v>
      </c>
      <c r="R3099">
        <v>0.99682067182942202</v>
      </c>
      <c r="S3099" t="s">
        <v>6728</v>
      </c>
      <c r="T3099" t="s">
        <v>7256</v>
      </c>
      <c r="U3099" t="s">
        <v>7256</v>
      </c>
      <c r="V3099" t="s">
        <v>7256</v>
      </c>
      <c r="W3099">
        <v>5</v>
      </c>
      <c r="X3099" t="s">
        <v>10355</v>
      </c>
      <c r="Y3099">
        <v>0.45024583146131802</v>
      </c>
      <c r="Z3099" t="str">
        <f>HYPERLINK("Melting_Curves/meltCurve_tr_B4E107_B4E107_HUMAN_.pdf", "Melting_Curves/meltCurve_tr_B4E107_B4E107_HUMAN_.pdf")</f>
        <v>Melting_Curves/meltCurve_tr_B4E107_B4E107_HUMAN_.pdf</v>
      </c>
      <c r="AA3099" t="s">
        <v>13942</v>
      </c>
      <c r="AB3099" t="s">
        <v>17519</v>
      </c>
    </row>
    <row r="3100" spans="1:28" x14ac:dyDescent="0.25">
      <c r="A3100" t="s">
        <v>3104</v>
      </c>
      <c r="B3100">
        <v>0.98018197421672304</v>
      </c>
      <c r="C3100">
        <v>0.96351537518577801</v>
      </c>
      <c r="D3100">
        <v>0.89634296954793302</v>
      </c>
      <c r="E3100">
        <v>0.60932526999577297</v>
      </c>
      <c r="F3100">
        <v>0.29186144887929999</v>
      </c>
      <c r="G3100">
        <v>0.14045947400214501</v>
      </c>
      <c r="H3100">
        <v>8.0266429499891101E-2</v>
      </c>
      <c r="I3100">
        <v>5.8734562290416598E-2</v>
      </c>
      <c r="J3100">
        <v>6.2662375815549398E-2</v>
      </c>
      <c r="K3100">
        <v>4.9943476411213002E-2</v>
      </c>
      <c r="L3100">
        <v>1099.814841123</v>
      </c>
      <c r="M3100">
        <v>21.722713216281001</v>
      </c>
      <c r="N3100">
        <v>50.892938300125401</v>
      </c>
      <c r="O3100">
        <v>50.206506457559698</v>
      </c>
      <c r="P3100">
        <v>-0.102421821481137</v>
      </c>
      <c r="Q3100">
        <v>5.3134647511468402E-2</v>
      </c>
      <c r="R3100">
        <v>0.99887280512846199</v>
      </c>
      <c r="S3100" t="s">
        <v>6729</v>
      </c>
      <c r="T3100" t="s">
        <v>7256</v>
      </c>
      <c r="U3100" t="s">
        <v>7256</v>
      </c>
      <c r="V3100" t="s">
        <v>7256</v>
      </c>
      <c r="W3100">
        <v>25</v>
      </c>
      <c r="X3100" t="s">
        <v>10356</v>
      </c>
      <c r="Y3100">
        <v>0.39985719002483749</v>
      </c>
      <c r="Z3100" t="str">
        <f>HYPERLINK("Melting_Curves/meltCurve_tr_B4E1Z4_B4E1Z4_HUMAN_.pdf", "Melting_Curves/meltCurve_tr_B4E1Z4_B4E1Z4_HUMAN_.pdf")</f>
        <v>Melting_Curves/meltCurve_tr_B4E1Z4_B4E1Z4_HUMAN_.pdf</v>
      </c>
      <c r="AA3100" t="s">
        <v>13943</v>
      </c>
      <c r="AB3100" t="s">
        <v>17520</v>
      </c>
    </row>
    <row r="3101" spans="1:28" x14ac:dyDescent="0.25">
      <c r="A3101" t="s">
        <v>3105</v>
      </c>
      <c r="B3101">
        <v>0.98018197421672304</v>
      </c>
      <c r="C3101">
        <v>0.82540740435468696</v>
      </c>
      <c r="D3101">
        <v>0.81268706423833803</v>
      </c>
      <c r="E3101">
        <v>0.74243305039307494</v>
      </c>
      <c r="F3101">
        <v>0.63144958939901696</v>
      </c>
      <c r="G3101">
        <v>0.52911722764956204</v>
      </c>
      <c r="H3101">
        <v>0.422117946802818</v>
      </c>
      <c r="I3101">
        <v>0.41114511380212898</v>
      </c>
      <c r="J3101">
        <v>0.42636393549034501</v>
      </c>
      <c r="K3101">
        <v>0.37872125701406001</v>
      </c>
      <c r="L3101">
        <v>405.89881602082301</v>
      </c>
      <c r="M3101">
        <v>7.7743849721217204</v>
      </c>
      <c r="N3101">
        <v>58.662469135108601</v>
      </c>
      <c r="O3101">
        <v>49.092969798717498</v>
      </c>
      <c r="P3101">
        <v>-2.8247732548653599E-2</v>
      </c>
      <c r="Q3101">
        <v>0.287391936552643</v>
      </c>
      <c r="R3101">
        <v>0.97567355449299298</v>
      </c>
      <c r="S3101" t="s">
        <v>6730</v>
      </c>
      <c r="T3101" t="s">
        <v>7256</v>
      </c>
      <c r="U3101" t="s">
        <v>7256</v>
      </c>
      <c r="V3101" t="s">
        <v>7256</v>
      </c>
      <c r="W3101">
        <v>3</v>
      </c>
      <c r="X3101" t="s">
        <v>10357</v>
      </c>
      <c r="Y3101">
        <v>0.61080825955595608</v>
      </c>
      <c r="Z3101" t="str">
        <f>HYPERLINK("Melting_Curves/meltCurve_tr_B4E241_B4E241_HUMAN_.pdf", "Melting_Curves/meltCurve_tr_B4E241_B4E241_HUMAN_.pdf")</f>
        <v>Melting_Curves/meltCurve_tr_B4E241_B4E241_HUMAN_.pdf</v>
      </c>
      <c r="AA3101" t="s">
        <v>13944</v>
      </c>
      <c r="AB3101" t="s">
        <v>17521</v>
      </c>
    </row>
    <row r="3102" spans="1:28" x14ac:dyDescent="0.25">
      <c r="A3102" t="s">
        <v>3106</v>
      </c>
      <c r="B3102">
        <v>0.98018197421672304</v>
      </c>
      <c r="C3102">
        <v>0.855252084758932</v>
      </c>
      <c r="D3102">
        <v>0.73295609285540897</v>
      </c>
      <c r="E3102">
        <v>0.43595160578543701</v>
      </c>
      <c r="F3102">
        <v>0.243714434311603</v>
      </c>
      <c r="G3102">
        <v>0.11466082096496701</v>
      </c>
      <c r="H3102">
        <v>5.3360887835312003E-2</v>
      </c>
      <c r="I3102">
        <v>4.4749331485140799E-2</v>
      </c>
      <c r="J3102">
        <v>4.2051422288891603E-2</v>
      </c>
      <c r="K3102">
        <v>3.3607035556438798E-2</v>
      </c>
      <c r="L3102">
        <v>724.10039668491902</v>
      </c>
      <c r="M3102">
        <v>14.8185782454047</v>
      </c>
      <c r="N3102">
        <v>48.9689290412554</v>
      </c>
      <c r="O3102">
        <v>48.000383672594999</v>
      </c>
      <c r="P3102">
        <v>-7.5985575142380399E-2</v>
      </c>
      <c r="Q3102">
        <v>1.5573666221797299E-2</v>
      </c>
      <c r="R3102">
        <v>0.99839927416201202</v>
      </c>
      <c r="S3102" t="s">
        <v>6731</v>
      </c>
      <c r="T3102" t="s">
        <v>7256</v>
      </c>
      <c r="U3102" t="s">
        <v>7256</v>
      </c>
      <c r="V3102" t="s">
        <v>7256</v>
      </c>
      <c r="W3102">
        <v>25</v>
      </c>
      <c r="X3102" t="s">
        <v>10358</v>
      </c>
      <c r="Y3102">
        <v>0.33143995614065519</v>
      </c>
      <c r="Z3102" t="str">
        <f>HYPERLINK("Melting_Curves/meltCurve_tr_B4E2W0_B4E2W0_HUMAN_.pdf", "Melting_Curves/meltCurve_tr_B4E2W0_B4E2W0_HUMAN_.pdf")</f>
        <v>Melting_Curves/meltCurve_tr_B4E2W0_B4E2W0_HUMAN_.pdf</v>
      </c>
      <c r="AA3102" t="s">
        <v>13945</v>
      </c>
      <c r="AB3102" t="s">
        <v>17522</v>
      </c>
    </row>
    <row r="3103" spans="1:28" x14ac:dyDescent="0.25">
      <c r="A3103" t="s">
        <v>3107</v>
      </c>
      <c r="B3103">
        <v>0.98018197421672304</v>
      </c>
      <c r="C3103">
        <v>0.94505085405693301</v>
      </c>
      <c r="D3103">
        <v>0.72282559439921701</v>
      </c>
      <c r="E3103">
        <v>0.317531422117384</v>
      </c>
      <c r="F3103">
        <v>0.18390981508280399</v>
      </c>
      <c r="G3103">
        <v>9.4030373931133601E-2</v>
      </c>
      <c r="H3103">
        <v>5.1539600362627301E-2</v>
      </c>
      <c r="I3103">
        <v>4.22654987631138E-2</v>
      </c>
      <c r="J3103">
        <v>5.3701982315669E-2</v>
      </c>
      <c r="K3103">
        <v>4.7412827163325497E-2</v>
      </c>
      <c r="L3103">
        <v>1009.64769267312</v>
      </c>
      <c r="M3103">
        <v>21.048268049568001</v>
      </c>
      <c r="N3103">
        <v>48.205032713855097</v>
      </c>
      <c r="O3103">
        <v>47.541543401719998</v>
      </c>
      <c r="P3103">
        <v>-0.105249374457837</v>
      </c>
      <c r="Q3103">
        <v>4.9122276355487597E-2</v>
      </c>
      <c r="R3103">
        <v>0.99894959292928498</v>
      </c>
      <c r="S3103" t="s">
        <v>6732</v>
      </c>
      <c r="T3103" t="s">
        <v>7256</v>
      </c>
      <c r="U3103" t="s">
        <v>7256</v>
      </c>
      <c r="V3103" t="s">
        <v>7256</v>
      </c>
      <c r="W3103">
        <v>1</v>
      </c>
      <c r="X3103" t="s">
        <v>10359</v>
      </c>
      <c r="Y3103">
        <v>0.3138115828651819</v>
      </c>
      <c r="Z3103" t="str">
        <f>HYPERLINK("Melting_Curves/meltCurve_tr_B4E3J8_B4E3J8_HUMAN_.pdf", "Melting_Curves/meltCurve_tr_B4E3J8_B4E3J8_HUMAN_.pdf")</f>
        <v>Melting_Curves/meltCurve_tr_B4E3J8_B4E3J8_HUMAN_.pdf</v>
      </c>
      <c r="AA3103" t="s">
        <v>13946</v>
      </c>
      <c r="AB3103" t="s">
        <v>17523</v>
      </c>
    </row>
    <row r="3104" spans="1:28" x14ac:dyDescent="0.25">
      <c r="A3104" t="s">
        <v>3108</v>
      </c>
      <c r="B3104">
        <v>0.98018197421672304</v>
      </c>
      <c r="C3104">
        <v>1.0331700179221199</v>
      </c>
      <c r="D3104">
        <v>0.85501767905770198</v>
      </c>
      <c r="E3104">
        <v>0.76189288533555199</v>
      </c>
      <c r="F3104">
        <v>0.53529160857664204</v>
      </c>
      <c r="G3104">
        <v>0.39555799390560298</v>
      </c>
      <c r="H3104">
        <v>0.286636910836439</v>
      </c>
      <c r="I3104">
        <v>0.210709016443973</v>
      </c>
      <c r="J3104">
        <v>0.138684861998181</v>
      </c>
      <c r="K3104">
        <v>6.0459271113177303E-2</v>
      </c>
      <c r="L3104">
        <v>590.43648592094803</v>
      </c>
      <c r="M3104">
        <v>10.8137086428543</v>
      </c>
      <c r="N3104">
        <v>54.766796947388798</v>
      </c>
      <c r="O3104">
        <v>52.832973611142201</v>
      </c>
      <c r="P3104">
        <v>-5.0362185504661899E-2</v>
      </c>
      <c r="Q3104">
        <v>1.6128211402409699E-2</v>
      </c>
      <c r="R3104">
        <v>0.98763687273338296</v>
      </c>
      <c r="S3104" t="s">
        <v>6733</v>
      </c>
      <c r="T3104" t="s">
        <v>7256</v>
      </c>
      <c r="U3104" t="s">
        <v>7256</v>
      </c>
      <c r="V3104" t="s">
        <v>7256</v>
      </c>
      <c r="W3104">
        <v>4</v>
      </c>
      <c r="X3104" t="s">
        <v>10360</v>
      </c>
      <c r="Y3104">
        <v>0.52098429331107909</v>
      </c>
      <c r="Z3104" t="str">
        <f>HYPERLINK("Melting_Curves/meltCurve_tr_B4E3Q4_B4E3Q4_HUMAN_.pdf", "Melting_Curves/meltCurve_tr_B4E3Q4_B4E3Q4_HUMAN_.pdf")</f>
        <v>Melting_Curves/meltCurve_tr_B4E3Q4_B4E3Q4_HUMAN_.pdf</v>
      </c>
      <c r="AA3104" t="s">
        <v>13947</v>
      </c>
      <c r="AB3104" t="s">
        <v>17524</v>
      </c>
    </row>
    <row r="3105" spans="1:28" x14ac:dyDescent="0.25">
      <c r="A3105" t="s">
        <v>3109</v>
      </c>
      <c r="B3105">
        <v>0.98018197421672304</v>
      </c>
      <c r="C3105">
        <v>0.82020820296373098</v>
      </c>
      <c r="D3105">
        <v>0.875978003341363</v>
      </c>
      <c r="E3105">
        <v>0.52881469830873695</v>
      </c>
      <c r="F3105">
        <v>0.41959764622402901</v>
      </c>
      <c r="G3105">
        <v>0.21480027658402001</v>
      </c>
      <c r="H3105">
        <v>0.147939026489572</v>
      </c>
      <c r="I3105">
        <v>9.9038508090685901E-2</v>
      </c>
      <c r="J3105">
        <v>8.6392928397201904E-2</v>
      </c>
      <c r="K3105">
        <v>0</v>
      </c>
      <c r="L3105">
        <v>597.97889797186599</v>
      </c>
      <c r="M3105">
        <v>11.6744653941113</v>
      </c>
      <c r="N3105">
        <v>51.221094767995098</v>
      </c>
      <c r="O3105">
        <v>49.787456348382001</v>
      </c>
      <c r="P3105">
        <v>-5.86372409624379E-2</v>
      </c>
      <c r="Q3105">
        <v>0</v>
      </c>
      <c r="R3105">
        <v>0.98319114130674001</v>
      </c>
      <c r="S3105" t="s">
        <v>6734</v>
      </c>
      <c r="T3105" t="s">
        <v>7256</v>
      </c>
      <c r="U3105" t="s">
        <v>7256</v>
      </c>
      <c r="V3105" t="s">
        <v>7256</v>
      </c>
      <c r="W3105">
        <v>1</v>
      </c>
      <c r="X3105" t="s">
        <v>10361</v>
      </c>
      <c r="Y3105">
        <v>0.4074607284521809</v>
      </c>
      <c r="Z3105" t="str">
        <f>HYPERLINK("Melting_Curves/meltCurve_tr_B5MC59_B5MC59_HUMAN_.pdf", "Melting_Curves/meltCurve_tr_B5MC59_B5MC59_HUMAN_.pdf")</f>
        <v>Melting_Curves/meltCurve_tr_B5MC59_B5MC59_HUMAN_.pdf</v>
      </c>
      <c r="AA3105" t="s">
        <v>13948</v>
      </c>
      <c r="AB3105" t="s">
        <v>17525</v>
      </c>
    </row>
    <row r="3106" spans="1:28" x14ac:dyDescent="0.25">
      <c r="A3106" t="s">
        <v>3110</v>
      </c>
      <c r="B3106">
        <v>0.98018197421672304</v>
      </c>
      <c r="C3106">
        <v>1.1018761554311001</v>
      </c>
      <c r="D3106">
        <v>0.50459377728006205</v>
      </c>
      <c r="E3106">
        <v>0.330703168851262</v>
      </c>
      <c r="F3106">
        <v>0.26435148998214703</v>
      </c>
      <c r="G3106">
        <v>0.21655760693867099</v>
      </c>
      <c r="H3106">
        <v>0.13378368859980599</v>
      </c>
      <c r="I3106">
        <v>0.114813260588123</v>
      </c>
      <c r="J3106">
        <v>0.156179472465653</v>
      </c>
      <c r="K3106">
        <v>0.100482339416695</v>
      </c>
      <c r="L3106">
        <v>11479.3850247726</v>
      </c>
      <c r="M3106">
        <v>250</v>
      </c>
      <c r="N3106">
        <v>46.004375458344697</v>
      </c>
      <c r="O3106">
        <v>45.914602263048799</v>
      </c>
      <c r="P3106">
        <v>-1.1051434891691001</v>
      </c>
      <c r="Q3106">
        <v>0.18812443125929201</v>
      </c>
      <c r="R3106">
        <v>0.95427988727638002</v>
      </c>
      <c r="S3106" t="s">
        <v>6735</v>
      </c>
      <c r="T3106" t="s">
        <v>7256</v>
      </c>
      <c r="U3106" t="s">
        <v>7256</v>
      </c>
      <c r="V3106" t="s">
        <v>7256</v>
      </c>
      <c r="W3106">
        <v>3</v>
      </c>
      <c r="X3106" t="s">
        <v>10362</v>
      </c>
      <c r="Y3106">
        <v>0.34833339701796168</v>
      </c>
      <c r="Z3106" t="str">
        <f>HYPERLINK("Melting_Curves/meltCurve_tr_B5MCP9_B5MCP9_HUMAN_.pdf", "Melting_Curves/meltCurve_tr_B5MCP9_B5MCP9_HUMAN_.pdf")</f>
        <v>Melting_Curves/meltCurve_tr_B5MCP9_B5MCP9_HUMAN_.pdf</v>
      </c>
      <c r="AA3106" t="s">
        <v>13949</v>
      </c>
      <c r="AB3106" t="s">
        <v>17526</v>
      </c>
    </row>
    <row r="3107" spans="1:28" x14ac:dyDescent="0.25">
      <c r="A3107" t="s">
        <v>3111</v>
      </c>
      <c r="B3107">
        <v>0.98018197421672304</v>
      </c>
      <c r="C3107">
        <v>0.93431446660952799</v>
      </c>
      <c r="D3107">
        <v>0.89379141096540105</v>
      </c>
      <c r="E3107">
        <v>0.77275015609922604</v>
      </c>
      <c r="F3107">
        <v>0.62543255805320597</v>
      </c>
      <c r="G3107">
        <v>0.35218305898024599</v>
      </c>
      <c r="H3107">
        <v>0.25843101402270902</v>
      </c>
      <c r="I3107">
        <v>0.157748074859656</v>
      </c>
      <c r="J3107">
        <v>7.4835673918211998E-2</v>
      </c>
      <c r="K3107">
        <v>4.6923089130173602E-2</v>
      </c>
      <c r="L3107">
        <v>665.59280968709595</v>
      </c>
      <c r="M3107">
        <v>12.141798070081499</v>
      </c>
      <c r="N3107">
        <v>54.818306616147403</v>
      </c>
      <c r="O3107">
        <v>53.394858050984901</v>
      </c>
      <c r="P3107">
        <v>-5.6862173454390402E-2</v>
      </c>
      <c r="Q3107">
        <v>0</v>
      </c>
      <c r="R3107">
        <v>0.995753849169841</v>
      </c>
      <c r="S3107" t="s">
        <v>6736</v>
      </c>
      <c r="T3107" t="s">
        <v>7256</v>
      </c>
      <c r="U3107" t="s">
        <v>7256</v>
      </c>
      <c r="V3107" t="s">
        <v>7256</v>
      </c>
      <c r="W3107">
        <v>18</v>
      </c>
      <c r="X3107" t="s">
        <v>10363</v>
      </c>
      <c r="Y3107">
        <v>0.51769752627833454</v>
      </c>
      <c r="Z3107" t="str">
        <f>HYPERLINK("Melting_Curves/meltCurve_tr_B5MCX3_B5MCX3_HUMAN_.pdf", "Melting_Curves/meltCurve_tr_B5MCX3_B5MCX3_HUMAN_.pdf")</f>
        <v>Melting_Curves/meltCurve_tr_B5MCX3_B5MCX3_HUMAN_.pdf</v>
      </c>
      <c r="AA3107" t="s">
        <v>13950</v>
      </c>
      <c r="AB3107" t="s">
        <v>17527</v>
      </c>
    </row>
    <row r="3108" spans="1:28" x14ac:dyDescent="0.25">
      <c r="A3108" t="s">
        <v>3112</v>
      </c>
      <c r="B3108">
        <v>0.98018197421672304</v>
      </c>
      <c r="C3108">
        <v>0.92081837581717996</v>
      </c>
      <c r="D3108">
        <v>0.76265234597717002</v>
      </c>
      <c r="E3108">
        <v>0.49691030893996802</v>
      </c>
      <c r="F3108">
        <v>0.27639460583617298</v>
      </c>
      <c r="G3108">
        <v>0.153537683588852</v>
      </c>
      <c r="H3108">
        <v>0.104109368087183</v>
      </c>
      <c r="I3108">
        <v>8.7518880433958501E-2</v>
      </c>
      <c r="J3108">
        <v>0.11990979743645901</v>
      </c>
      <c r="K3108">
        <v>0.13975411465616899</v>
      </c>
      <c r="L3108">
        <v>849.22608653919895</v>
      </c>
      <c r="M3108">
        <v>17.3417189124768</v>
      </c>
      <c r="N3108">
        <v>49.581809713680002</v>
      </c>
      <c r="O3108">
        <v>48.332861340149599</v>
      </c>
      <c r="P3108">
        <v>-8.1065722429571302E-2</v>
      </c>
      <c r="Q3108">
        <v>9.6303062122792396E-2</v>
      </c>
      <c r="R3108">
        <v>0.99639730392316905</v>
      </c>
      <c r="S3108" t="s">
        <v>6737</v>
      </c>
      <c r="T3108" t="s">
        <v>7256</v>
      </c>
      <c r="U3108" t="s">
        <v>7256</v>
      </c>
      <c r="V3108" t="s">
        <v>7256</v>
      </c>
      <c r="W3108">
        <v>3</v>
      </c>
      <c r="X3108" t="s">
        <v>10364</v>
      </c>
      <c r="Y3108">
        <v>0.38337767906624781</v>
      </c>
      <c r="Z3108" t="str">
        <f>HYPERLINK("Melting_Curves/meltCurve_tr_B7Z1L3_B7Z1L3_HUMAN_.pdf", "Melting_Curves/meltCurve_tr_B7Z1L3_B7Z1L3_HUMAN_.pdf")</f>
        <v>Melting_Curves/meltCurve_tr_B7Z1L3_B7Z1L3_HUMAN_.pdf</v>
      </c>
      <c r="AA3108" t="s">
        <v>13951</v>
      </c>
      <c r="AB3108" t="s">
        <v>17528</v>
      </c>
    </row>
    <row r="3109" spans="1:28" x14ac:dyDescent="0.25">
      <c r="A3109" t="s">
        <v>3113</v>
      </c>
      <c r="B3109">
        <v>0.98018197421672304</v>
      </c>
      <c r="C3109">
        <v>1.0057250853454001</v>
      </c>
      <c r="D3109">
        <v>0.86116621916971703</v>
      </c>
      <c r="E3109">
        <v>0.62294380850699904</v>
      </c>
      <c r="F3109">
        <v>0.42915945484462897</v>
      </c>
      <c r="G3109">
        <v>0.28908111535041697</v>
      </c>
      <c r="H3109">
        <v>0.16994621677478799</v>
      </c>
      <c r="I3109">
        <v>5.5599417072523298E-2</v>
      </c>
      <c r="J3109">
        <v>4.7193697978255102E-2</v>
      </c>
      <c r="K3109">
        <v>2.89256260448735E-2</v>
      </c>
      <c r="L3109">
        <v>682.23610563102704</v>
      </c>
      <c r="M3109">
        <v>13.0478350990174</v>
      </c>
      <c r="N3109">
        <v>52.2872787450328</v>
      </c>
      <c r="O3109">
        <v>51.104827929647797</v>
      </c>
      <c r="P3109">
        <v>-6.3839895482441497E-2</v>
      </c>
      <c r="Q3109">
        <v>0</v>
      </c>
      <c r="R3109">
        <v>0.99403314817131105</v>
      </c>
      <c r="S3109" t="s">
        <v>6738</v>
      </c>
      <c r="T3109" t="s">
        <v>7256</v>
      </c>
      <c r="U3109" t="s">
        <v>7256</v>
      </c>
      <c r="V3109" t="s">
        <v>7256</v>
      </c>
      <c r="W3109">
        <v>13</v>
      </c>
      <c r="X3109" t="s">
        <v>10365</v>
      </c>
      <c r="Y3109">
        <v>0.43652214853855947</v>
      </c>
      <c r="Z3109" t="str">
        <f>HYPERLINK("Melting_Curves/meltCurve_tr_B7Z1R5_B7Z1R5_HUMAN_.pdf", "Melting_Curves/meltCurve_tr_B7Z1R5_B7Z1R5_HUMAN_.pdf")</f>
        <v>Melting_Curves/meltCurve_tr_B7Z1R5_B7Z1R5_HUMAN_.pdf</v>
      </c>
      <c r="AA3109" t="s">
        <v>13952</v>
      </c>
      <c r="AB3109" t="s">
        <v>17529</v>
      </c>
    </row>
    <row r="3110" spans="1:28" x14ac:dyDescent="0.25">
      <c r="A3110" t="s">
        <v>3114</v>
      </c>
      <c r="B3110">
        <v>0.98018197421672304</v>
      </c>
      <c r="C3110">
        <v>1.0994774848447499</v>
      </c>
      <c r="D3110">
        <v>0.98687251333276704</v>
      </c>
      <c r="E3110">
        <v>0.722611478301873</v>
      </c>
      <c r="F3110">
        <v>0.50928997945200705</v>
      </c>
      <c r="G3110">
        <v>0.122551791662235</v>
      </c>
      <c r="H3110">
        <v>8.4187163790765907E-2</v>
      </c>
      <c r="I3110">
        <v>3.7147335546255898E-2</v>
      </c>
      <c r="J3110">
        <v>4.4832719595323603E-2</v>
      </c>
      <c r="K3110">
        <v>0</v>
      </c>
      <c r="L3110">
        <v>1192.3200239073999</v>
      </c>
      <c r="M3110">
        <v>22.675088115504401</v>
      </c>
      <c r="N3110">
        <v>52.672660597447603</v>
      </c>
      <c r="O3110">
        <v>52.178965789810498</v>
      </c>
      <c r="P3110">
        <v>-0.106582234191788</v>
      </c>
      <c r="Q3110">
        <v>1.8969078870160999E-2</v>
      </c>
      <c r="R3110">
        <v>0.98968799251692896</v>
      </c>
      <c r="S3110" t="s">
        <v>6739</v>
      </c>
      <c r="T3110" t="s">
        <v>7256</v>
      </c>
      <c r="U3110" t="s">
        <v>7256</v>
      </c>
      <c r="V3110" t="s">
        <v>7256</v>
      </c>
      <c r="W3110">
        <v>1</v>
      </c>
      <c r="X3110" t="s">
        <v>10366</v>
      </c>
      <c r="Y3110">
        <v>0.44124663220275612</v>
      </c>
      <c r="Z3110" t="str">
        <f>HYPERLINK("Melting_Curves/meltCurve_tr_B7Z1T4_B7Z1T4_HUMAN_.pdf", "Melting_Curves/meltCurve_tr_B7Z1T4_B7Z1T4_HUMAN_.pdf")</f>
        <v>Melting_Curves/meltCurve_tr_B7Z1T4_B7Z1T4_HUMAN_.pdf</v>
      </c>
      <c r="AA3110" t="s">
        <v>13953</v>
      </c>
      <c r="AB3110" t="s">
        <v>17530</v>
      </c>
    </row>
    <row r="3111" spans="1:28" x14ac:dyDescent="0.25">
      <c r="A3111" t="s">
        <v>3115</v>
      </c>
      <c r="B3111">
        <v>0.98018197421672304</v>
      </c>
      <c r="C3111">
        <v>0.881241552287921</v>
      </c>
      <c r="D3111">
        <v>0.748360786137786</v>
      </c>
      <c r="E3111">
        <v>0.38491642520998998</v>
      </c>
      <c r="F3111">
        <v>0.20086442532805099</v>
      </c>
      <c r="G3111">
        <v>0.13304652034018699</v>
      </c>
      <c r="H3111">
        <v>9.7046332905112706E-2</v>
      </c>
      <c r="I3111">
        <v>7.8937243949481206E-2</v>
      </c>
      <c r="J3111">
        <v>8.6449213491948396E-2</v>
      </c>
      <c r="K3111">
        <v>9.75203636859997E-2</v>
      </c>
      <c r="L3111">
        <v>907.80514130507902</v>
      </c>
      <c r="M3111">
        <v>18.870731316843901</v>
      </c>
      <c r="N3111">
        <v>48.560809403594</v>
      </c>
      <c r="O3111">
        <v>47.576055131338499</v>
      </c>
      <c r="P3111">
        <v>-9.1140479016433795E-2</v>
      </c>
      <c r="Q3111">
        <v>8.0920222269824205E-2</v>
      </c>
      <c r="R3111">
        <v>0.99808816370560505</v>
      </c>
      <c r="S3111" t="s">
        <v>6740</v>
      </c>
      <c r="T3111" t="s">
        <v>7256</v>
      </c>
      <c r="U3111" t="s">
        <v>7256</v>
      </c>
      <c r="V3111" t="s">
        <v>7256</v>
      </c>
      <c r="W3111">
        <v>5</v>
      </c>
      <c r="X3111" t="s">
        <v>10367</v>
      </c>
      <c r="Y3111">
        <v>0.34400039432744561</v>
      </c>
      <c r="Z3111" t="str">
        <f>HYPERLINK("Melting_Curves/meltCurve_tr_B7Z1W9_B7Z1W9_HUMAN_.pdf", "Melting_Curves/meltCurve_tr_B7Z1W9_B7Z1W9_HUMAN_.pdf")</f>
        <v>Melting_Curves/meltCurve_tr_B7Z1W9_B7Z1W9_HUMAN_.pdf</v>
      </c>
      <c r="AA3111" t="s">
        <v>13954</v>
      </c>
      <c r="AB3111" t="s">
        <v>17531</v>
      </c>
    </row>
    <row r="3112" spans="1:28" x14ac:dyDescent="0.25">
      <c r="A3112" t="s">
        <v>3116</v>
      </c>
      <c r="B3112">
        <v>0.98018197421672304</v>
      </c>
      <c r="C3112">
        <v>0.97685155850235905</v>
      </c>
      <c r="D3112">
        <v>0.71690813433071399</v>
      </c>
      <c r="E3112">
        <v>0.298127710231953</v>
      </c>
      <c r="F3112">
        <v>0.15576117325303099</v>
      </c>
      <c r="G3112">
        <v>0.10034111750713599</v>
      </c>
      <c r="H3112">
        <v>6.0075803610424798E-2</v>
      </c>
      <c r="I3112">
        <v>5.3024062916514202E-2</v>
      </c>
      <c r="J3112">
        <v>4.8462683853496703E-2</v>
      </c>
      <c r="K3112">
        <v>5.6803209737287502E-2</v>
      </c>
      <c r="L3112">
        <v>1130.00568154902</v>
      </c>
      <c r="M3112">
        <v>23.6540972884615</v>
      </c>
      <c r="N3112">
        <v>48.028229207436297</v>
      </c>
      <c r="O3112">
        <v>47.434580789441398</v>
      </c>
      <c r="P3112">
        <v>-0.117281421592075</v>
      </c>
      <c r="Q3112">
        <v>5.9257798560826497E-2</v>
      </c>
      <c r="R3112">
        <v>0.99816152047296602</v>
      </c>
      <c r="S3112" t="s">
        <v>6741</v>
      </c>
      <c r="T3112" t="s">
        <v>7256</v>
      </c>
      <c r="U3112" t="s">
        <v>7256</v>
      </c>
      <c r="V3112" t="s">
        <v>7256</v>
      </c>
      <c r="W3112">
        <v>2</v>
      </c>
      <c r="X3112" t="s">
        <v>10368</v>
      </c>
      <c r="Y3112">
        <v>0.31234621144569719</v>
      </c>
      <c r="Z3112" t="str">
        <f>HYPERLINK("Melting_Curves/meltCurve_tr_B7Z242_B7Z242_HUMAN_.pdf", "Melting_Curves/meltCurve_tr_B7Z242_B7Z242_HUMAN_.pdf")</f>
        <v>Melting_Curves/meltCurve_tr_B7Z242_B7Z242_HUMAN_.pdf</v>
      </c>
      <c r="AA3112" t="s">
        <v>13955</v>
      </c>
      <c r="AB3112" t="s">
        <v>17532</v>
      </c>
    </row>
    <row r="3113" spans="1:28" x14ac:dyDescent="0.25">
      <c r="A3113" t="s">
        <v>3117</v>
      </c>
      <c r="B3113">
        <v>0.98018197421672304</v>
      </c>
      <c r="C3113">
        <v>0.518414861006675</v>
      </c>
      <c r="D3113">
        <v>1.0338807257144</v>
      </c>
      <c r="E3113">
        <v>0.73377547058523596</v>
      </c>
      <c r="F3113">
        <v>0.67740137700631997</v>
      </c>
      <c r="G3113">
        <v>0.44475713509682901</v>
      </c>
      <c r="H3113">
        <v>6.0154169451233898E-2</v>
      </c>
      <c r="I3113">
        <v>4.3207040052346699E-2</v>
      </c>
      <c r="J3113">
        <v>3.8542617509725201E-2</v>
      </c>
      <c r="K3113">
        <v>3.4481879710078399E-2</v>
      </c>
      <c r="L3113">
        <v>828.057354346696</v>
      </c>
      <c r="M3113">
        <v>15.145853875270401</v>
      </c>
      <c r="N3113">
        <v>54.672213360986497</v>
      </c>
      <c r="O3113">
        <v>53.745705770281603</v>
      </c>
      <c r="P3113">
        <v>-7.0458318216132507E-2</v>
      </c>
      <c r="Q3113">
        <v>0</v>
      </c>
      <c r="R3113">
        <v>0.81736335525970005</v>
      </c>
      <c r="S3113" t="s">
        <v>6742</v>
      </c>
      <c r="T3113" t="s">
        <v>7256</v>
      </c>
      <c r="U3113" t="s">
        <v>7256</v>
      </c>
      <c r="V3113" t="s">
        <v>7256</v>
      </c>
      <c r="W3113">
        <v>14</v>
      </c>
      <c r="X3113" t="s">
        <v>10369</v>
      </c>
      <c r="Y3113">
        <v>0.50857651007591154</v>
      </c>
      <c r="Z3113" t="str">
        <f>HYPERLINK("Melting_Curves/meltCurve_tr_B7Z254_B7Z254_HUMAN_.pdf", "Melting_Curves/meltCurve_tr_B7Z254_B7Z254_HUMAN_.pdf")</f>
        <v>Melting_Curves/meltCurve_tr_B7Z254_B7Z254_HUMAN_.pdf</v>
      </c>
      <c r="AA3113" t="s">
        <v>13956</v>
      </c>
      <c r="AB3113" t="s">
        <v>17533</v>
      </c>
    </row>
    <row r="3114" spans="1:28" x14ac:dyDescent="0.25">
      <c r="A3114" t="s">
        <v>3118</v>
      </c>
      <c r="B3114">
        <v>0.98018197421672304</v>
      </c>
      <c r="C3114">
        <v>0.90903569251113003</v>
      </c>
      <c r="D3114">
        <v>0.84511258995131699</v>
      </c>
      <c r="E3114">
        <v>0.58754375168756601</v>
      </c>
      <c r="F3114">
        <v>0.23415495312932499</v>
      </c>
      <c r="G3114">
        <v>0.107866343456926</v>
      </c>
      <c r="H3114">
        <v>7.1082242897516607E-2</v>
      </c>
      <c r="I3114">
        <v>5.7071106104136397E-2</v>
      </c>
      <c r="J3114">
        <v>6.1162571945810297E-2</v>
      </c>
      <c r="K3114">
        <v>2.4694471926206898E-2</v>
      </c>
      <c r="L3114">
        <v>995.88642347484404</v>
      </c>
      <c r="M3114">
        <v>19.854196290092599</v>
      </c>
      <c r="N3114">
        <v>50.345017812355898</v>
      </c>
      <c r="O3114">
        <v>49.659455319760497</v>
      </c>
      <c r="P3114">
        <v>-9.6437906988384295E-2</v>
      </c>
      <c r="Q3114">
        <v>3.5187813062598702E-2</v>
      </c>
      <c r="R3114">
        <v>0.99291928484121095</v>
      </c>
      <c r="S3114" t="s">
        <v>6743</v>
      </c>
      <c r="T3114" t="s">
        <v>7256</v>
      </c>
      <c r="U3114" t="s">
        <v>7256</v>
      </c>
      <c r="V3114" t="s">
        <v>7256</v>
      </c>
      <c r="W3114">
        <v>4</v>
      </c>
      <c r="X3114" t="s">
        <v>10370</v>
      </c>
      <c r="Y3114">
        <v>0.37555269776620148</v>
      </c>
      <c r="Z3114" t="str">
        <f>HYPERLINK("Melting_Curves/meltCurve_tr_B7Z2C3_B7Z2C3_HUMAN_.pdf", "Melting_Curves/meltCurve_tr_B7Z2C3_B7Z2C3_HUMAN_.pdf")</f>
        <v>Melting_Curves/meltCurve_tr_B7Z2C3_B7Z2C3_HUMAN_.pdf</v>
      </c>
      <c r="AA3114" t="s">
        <v>13957</v>
      </c>
      <c r="AB3114" t="s">
        <v>17534</v>
      </c>
    </row>
    <row r="3115" spans="1:28" x14ac:dyDescent="0.25">
      <c r="A3115" t="s">
        <v>3119</v>
      </c>
      <c r="B3115">
        <v>0.98018197421672304</v>
      </c>
      <c r="C3115">
        <v>1.0008553362265999</v>
      </c>
      <c r="D3115">
        <v>0.91589659402176904</v>
      </c>
      <c r="E3115">
        <v>0.75222602200190203</v>
      </c>
      <c r="F3115">
        <v>0.70881669050798102</v>
      </c>
      <c r="G3115">
        <v>0.487501367406388</v>
      </c>
      <c r="H3115">
        <v>0.24997178569745701</v>
      </c>
      <c r="I3115">
        <v>0.31722999773002297</v>
      </c>
      <c r="J3115">
        <v>0.53960888572384502</v>
      </c>
      <c r="K3115">
        <v>0.66977039859864096</v>
      </c>
      <c r="L3115">
        <v>1096.7219759662801</v>
      </c>
      <c r="M3115">
        <v>21.4644934141138</v>
      </c>
      <c r="N3115">
        <v>57.035989874267301</v>
      </c>
      <c r="O3115">
        <v>50.657410395872297</v>
      </c>
      <c r="P3115">
        <v>-5.8628058692634398E-2</v>
      </c>
      <c r="Q3115">
        <v>0.44655150575685398</v>
      </c>
      <c r="R3115">
        <v>0.788838341672081</v>
      </c>
      <c r="S3115" t="s">
        <v>6744</v>
      </c>
      <c r="T3115" t="s">
        <v>7256</v>
      </c>
      <c r="U3115" t="s">
        <v>7256</v>
      </c>
      <c r="V3115" t="s">
        <v>7256</v>
      </c>
      <c r="W3115">
        <v>1</v>
      </c>
      <c r="X3115" t="s">
        <v>10371</v>
      </c>
      <c r="Y3115">
        <v>0.65795312627069236</v>
      </c>
      <c r="Z3115" t="str">
        <f>HYPERLINK("Melting_Curves/meltCurve_tr_B7Z2R9_B7Z2R9_HUMAN_.pdf", "Melting_Curves/meltCurve_tr_B7Z2R9_B7Z2R9_HUMAN_.pdf")</f>
        <v>Melting_Curves/meltCurve_tr_B7Z2R9_B7Z2R9_HUMAN_.pdf</v>
      </c>
      <c r="AA3115" t="s">
        <v>13958</v>
      </c>
      <c r="AB3115" t="s">
        <v>17535</v>
      </c>
    </row>
    <row r="3116" spans="1:28" x14ac:dyDescent="0.25">
      <c r="A3116" t="s">
        <v>3120</v>
      </c>
      <c r="B3116">
        <v>0.98018197421672304</v>
      </c>
      <c r="C3116">
        <v>0.95153204484812903</v>
      </c>
      <c r="D3116">
        <v>0.97318700751114595</v>
      </c>
      <c r="E3116">
        <v>0.85166346407540106</v>
      </c>
      <c r="F3116">
        <v>0.73071718349570303</v>
      </c>
      <c r="G3116">
        <v>0.41670868886139301</v>
      </c>
      <c r="H3116">
        <v>0.103926493538987</v>
      </c>
      <c r="I3116">
        <v>5.61053548436398E-2</v>
      </c>
      <c r="J3116">
        <v>4.2729626903306998E-2</v>
      </c>
      <c r="K3116">
        <v>3.2119815643057603E-2</v>
      </c>
      <c r="L3116">
        <v>1070.14183487834</v>
      </c>
      <c r="M3116">
        <v>19.261284696199201</v>
      </c>
      <c r="N3116">
        <v>55.559224326315899</v>
      </c>
      <c r="O3116">
        <v>54.970734236176497</v>
      </c>
      <c r="P3116">
        <v>-8.7601213987808596E-2</v>
      </c>
      <c r="Q3116">
        <v>0</v>
      </c>
      <c r="R3116">
        <v>0.99464865815111803</v>
      </c>
      <c r="S3116" t="s">
        <v>6745</v>
      </c>
      <c r="T3116" t="s">
        <v>7256</v>
      </c>
      <c r="U3116" t="s">
        <v>7256</v>
      </c>
      <c r="V3116" t="s">
        <v>7256</v>
      </c>
      <c r="W3116">
        <v>3</v>
      </c>
      <c r="X3116" t="s">
        <v>10372</v>
      </c>
      <c r="Y3116">
        <v>0.53244134898987627</v>
      </c>
      <c r="Z3116" t="str">
        <f>HYPERLINK("Melting_Curves/meltCurve_tr_B7Z2X9_B7Z2X9_HUMAN_.pdf", "Melting_Curves/meltCurve_tr_B7Z2X9_B7Z2X9_HUMAN_.pdf")</f>
        <v>Melting_Curves/meltCurve_tr_B7Z2X9_B7Z2X9_HUMAN_.pdf</v>
      </c>
      <c r="AA3116" t="s">
        <v>13959</v>
      </c>
      <c r="AB3116" t="s">
        <v>17536</v>
      </c>
    </row>
    <row r="3117" spans="1:28" x14ac:dyDescent="0.25">
      <c r="A3117" t="s">
        <v>3121</v>
      </c>
      <c r="B3117">
        <v>0.98018197421672304</v>
      </c>
      <c r="C3117">
        <v>0.83949465631809805</v>
      </c>
      <c r="D3117">
        <v>0.76672219553073295</v>
      </c>
      <c r="E3117">
        <v>0.36324512478580101</v>
      </c>
      <c r="F3117">
        <v>0.276069283417127</v>
      </c>
      <c r="G3117">
        <v>0.16584598037631401</v>
      </c>
      <c r="H3117">
        <v>0.16176902395586901</v>
      </c>
      <c r="I3117">
        <v>0.14494493250111001</v>
      </c>
      <c r="J3117">
        <v>0.30537438704464698</v>
      </c>
      <c r="K3117">
        <v>0.16609783224656199</v>
      </c>
      <c r="L3117">
        <v>975.54911173277299</v>
      </c>
      <c r="M3117">
        <v>20.591626069123699</v>
      </c>
      <c r="N3117">
        <v>48.437800072318602</v>
      </c>
      <c r="O3117">
        <v>46.9359858394835</v>
      </c>
      <c r="P3117">
        <v>-8.9761278495467098E-2</v>
      </c>
      <c r="Q3117">
        <v>0.181626185414339</v>
      </c>
      <c r="R3117">
        <v>0.96899233981850497</v>
      </c>
      <c r="S3117" t="s">
        <v>6746</v>
      </c>
      <c r="T3117" t="s">
        <v>7256</v>
      </c>
      <c r="U3117" t="s">
        <v>7256</v>
      </c>
      <c r="V3117" t="s">
        <v>7256</v>
      </c>
      <c r="W3117">
        <v>4</v>
      </c>
      <c r="X3117" t="s">
        <v>10373</v>
      </c>
      <c r="Y3117">
        <v>0.39392964287883347</v>
      </c>
      <c r="Z3117" t="str">
        <f>HYPERLINK("Melting_Curves/meltCurve_tr_B7Z2Y2_B7Z2Y2_HUMAN_.pdf", "Melting_Curves/meltCurve_tr_B7Z2Y2_B7Z2Y2_HUMAN_.pdf")</f>
        <v>Melting_Curves/meltCurve_tr_B7Z2Y2_B7Z2Y2_HUMAN_.pdf</v>
      </c>
      <c r="AA3117" t="s">
        <v>13960</v>
      </c>
      <c r="AB3117" t="s">
        <v>17537</v>
      </c>
    </row>
    <row r="3118" spans="1:28" x14ac:dyDescent="0.25">
      <c r="A3118" t="s">
        <v>3122</v>
      </c>
      <c r="B3118">
        <v>0.98018197421672304</v>
      </c>
      <c r="C3118">
        <v>1.13707057014743</v>
      </c>
      <c r="D3118">
        <v>0.94624423864987295</v>
      </c>
      <c r="E3118">
        <v>0.77859052073621704</v>
      </c>
      <c r="F3118">
        <v>0.52130519711272905</v>
      </c>
      <c r="G3118">
        <v>0.134016592690544</v>
      </c>
      <c r="H3118">
        <v>0.101039195080061</v>
      </c>
      <c r="I3118">
        <v>7.8875417963421193E-2</v>
      </c>
      <c r="J3118">
        <v>6.8554565403695103E-2</v>
      </c>
      <c r="K3118">
        <v>4.6424382916912997E-2</v>
      </c>
      <c r="L3118">
        <v>1324.26447997282</v>
      </c>
      <c r="M3118">
        <v>25.156690401056501</v>
      </c>
      <c r="N3118">
        <v>52.890663009558097</v>
      </c>
      <c r="O3118">
        <v>52.311379845259502</v>
      </c>
      <c r="P3118">
        <v>-0.11348796055005</v>
      </c>
      <c r="Q3118">
        <v>5.6054593633157998E-2</v>
      </c>
      <c r="R3118">
        <v>0.98590865779312797</v>
      </c>
      <c r="S3118" t="s">
        <v>6747</v>
      </c>
      <c r="T3118" t="s">
        <v>7256</v>
      </c>
      <c r="U3118" t="s">
        <v>7256</v>
      </c>
      <c r="V3118" t="s">
        <v>7256</v>
      </c>
      <c r="W3118">
        <v>2</v>
      </c>
      <c r="X3118" t="s">
        <v>10374</v>
      </c>
      <c r="Y3118">
        <v>0.46235578756554491</v>
      </c>
      <c r="Z3118" t="str">
        <f>HYPERLINK("Melting_Curves/meltCurve_tr_B7Z341_B7Z341_HUMAN_.pdf", "Melting_Curves/meltCurve_tr_B7Z341_B7Z341_HUMAN_.pdf")</f>
        <v>Melting_Curves/meltCurve_tr_B7Z341_B7Z341_HUMAN_.pdf</v>
      </c>
      <c r="AA3118" t="s">
        <v>13961</v>
      </c>
      <c r="AB3118" t="s">
        <v>17538</v>
      </c>
    </row>
    <row r="3119" spans="1:28" x14ac:dyDescent="0.25">
      <c r="A3119" t="s">
        <v>3123</v>
      </c>
      <c r="B3119">
        <v>0.98018197421672304</v>
      </c>
      <c r="C3119">
        <v>0.96980216513010398</v>
      </c>
      <c r="D3119">
        <v>0.84910521297395003</v>
      </c>
      <c r="E3119">
        <v>0.60230538329179395</v>
      </c>
      <c r="F3119">
        <v>0.16065253155634601</v>
      </c>
      <c r="G3119">
        <v>0.103631261946439</v>
      </c>
      <c r="H3119">
        <v>7.3387562018267904E-2</v>
      </c>
      <c r="I3119">
        <v>4.5323864655460303E-2</v>
      </c>
      <c r="J3119">
        <v>6.7306026401407607E-2</v>
      </c>
      <c r="K3119">
        <v>4.1754310644239997E-2</v>
      </c>
      <c r="L3119">
        <v>1327.8444848089</v>
      </c>
      <c r="M3119">
        <v>26.497091728460099</v>
      </c>
      <c r="N3119">
        <v>50.311121972058899</v>
      </c>
      <c r="O3119">
        <v>49.830013951153802</v>
      </c>
      <c r="P3119">
        <v>-0.12634764650400601</v>
      </c>
      <c r="Q3119">
        <v>4.9580515193888897E-2</v>
      </c>
      <c r="R3119">
        <v>0.98982768275601396</v>
      </c>
      <c r="S3119" t="s">
        <v>6748</v>
      </c>
      <c r="T3119" t="s">
        <v>7256</v>
      </c>
      <c r="U3119" t="s">
        <v>7256</v>
      </c>
      <c r="V3119" t="s">
        <v>7256</v>
      </c>
      <c r="W3119">
        <v>4</v>
      </c>
      <c r="X3119" t="s">
        <v>10375</v>
      </c>
      <c r="Y3119">
        <v>0.37752807116534282</v>
      </c>
      <c r="Z3119" t="str">
        <f>HYPERLINK("Melting_Curves/meltCurve_tr_B7Z385_B7Z385_HUMAN_.pdf", "Melting_Curves/meltCurve_tr_B7Z385_B7Z385_HUMAN_.pdf")</f>
        <v>Melting_Curves/meltCurve_tr_B7Z385_B7Z385_HUMAN_.pdf</v>
      </c>
      <c r="AA3119" t="s">
        <v>13962</v>
      </c>
      <c r="AB3119" t="s">
        <v>17539</v>
      </c>
    </row>
    <row r="3120" spans="1:28" x14ac:dyDescent="0.25">
      <c r="A3120" t="s">
        <v>3124</v>
      </c>
      <c r="B3120">
        <v>0.98018197421672304</v>
      </c>
      <c r="C3120">
        <v>0.97407828596678603</v>
      </c>
      <c r="D3120">
        <v>0.90856710563825904</v>
      </c>
      <c r="E3120">
        <v>0.65474983395564501</v>
      </c>
      <c r="F3120">
        <v>0.46833454830931998</v>
      </c>
      <c r="G3120">
        <v>0.32085887844883498</v>
      </c>
      <c r="H3120">
        <v>0.27703118009896899</v>
      </c>
      <c r="I3120">
        <v>0.27934994419213699</v>
      </c>
      <c r="J3120">
        <v>0.44612879925548199</v>
      </c>
      <c r="K3120">
        <v>0.36824450475554299</v>
      </c>
      <c r="L3120">
        <v>1238.1946301046501</v>
      </c>
      <c r="M3120">
        <v>24.881408239936199</v>
      </c>
      <c r="N3120">
        <v>52.070935782558898</v>
      </c>
      <c r="O3120">
        <v>49.445738311034098</v>
      </c>
      <c r="P3120">
        <v>-8.3789376063606494E-2</v>
      </c>
      <c r="Q3120">
        <v>0.33396524590847398</v>
      </c>
      <c r="R3120">
        <v>0.96884527348562699</v>
      </c>
      <c r="S3120" t="s">
        <v>6749</v>
      </c>
      <c r="T3120" t="s">
        <v>7256</v>
      </c>
      <c r="U3120" t="s">
        <v>7256</v>
      </c>
      <c r="V3120" t="s">
        <v>7256</v>
      </c>
      <c r="W3120">
        <v>1</v>
      </c>
      <c r="X3120" t="s">
        <v>10376</v>
      </c>
      <c r="Y3120">
        <v>0.55673035544612282</v>
      </c>
      <c r="Z3120" t="str">
        <f>HYPERLINK("Melting_Curves/meltCurve_tr_B7Z3B9_B7Z3B9_HUMAN_.pdf", "Melting_Curves/meltCurve_tr_B7Z3B9_B7Z3B9_HUMAN_.pdf")</f>
        <v>Melting_Curves/meltCurve_tr_B7Z3B9_B7Z3B9_HUMAN_.pdf</v>
      </c>
      <c r="AA3120" t="s">
        <v>13963</v>
      </c>
      <c r="AB3120" t="s">
        <v>17540</v>
      </c>
    </row>
    <row r="3121" spans="1:28" x14ac:dyDescent="0.25">
      <c r="A3121" t="s">
        <v>3125</v>
      </c>
      <c r="B3121">
        <v>0.98018197421672304</v>
      </c>
      <c r="C3121">
        <v>0.93266635926048203</v>
      </c>
      <c r="D3121">
        <v>0.87245126366249404</v>
      </c>
      <c r="E3121">
        <v>0.80788730814256104</v>
      </c>
      <c r="F3121">
        <v>0.70048239308832705</v>
      </c>
      <c r="G3121">
        <v>0.545895784262034</v>
      </c>
      <c r="H3121">
        <v>0.45248721640429401</v>
      </c>
      <c r="I3121">
        <v>0.46587875657616101</v>
      </c>
      <c r="J3121">
        <v>0.40694279738804401</v>
      </c>
      <c r="K3121">
        <v>0.37722763822812799</v>
      </c>
      <c r="L3121">
        <v>529.83584789158203</v>
      </c>
      <c r="M3121">
        <v>9.8431713864775201</v>
      </c>
      <c r="N3121">
        <v>59.973421270593398</v>
      </c>
      <c r="O3121">
        <v>51.747249241322002</v>
      </c>
      <c r="P3121">
        <v>-3.2465461638547001E-2</v>
      </c>
      <c r="Q3121">
        <v>0.31764675230894401</v>
      </c>
      <c r="R3121">
        <v>0.99213448847627095</v>
      </c>
      <c r="S3121" t="s">
        <v>6750</v>
      </c>
      <c r="T3121" t="s">
        <v>7256</v>
      </c>
      <c r="U3121" t="s">
        <v>7256</v>
      </c>
      <c r="V3121" t="s">
        <v>7256</v>
      </c>
      <c r="W3121">
        <v>22</v>
      </c>
      <c r="X3121" t="s">
        <v>10377</v>
      </c>
      <c r="Y3121">
        <v>0.65349790931615037</v>
      </c>
      <c r="Z3121" t="str">
        <f>HYPERLINK("Melting_Curves/meltCurve_tr_B7Z3I9_B7Z3I9_HUMAN_.pdf", "Melting_Curves/meltCurve_tr_B7Z3I9_B7Z3I9_HUMAN_.pdf")</f>
        <v>Melting_Curves/meltCurve_tr_B7Z3I9_B7Z3I9_HUMAN_.pdf</v>
      </c>
      <c r="AA3121" t="s">
        <v>13964</v>
      </c>
      <c r="AB3121" t="s">
        <v>17541</v>
      </c>
    </row>
    <row r="3122" spans="1:28" x14ac:dyDescent="0.25">
      <c r="A3122" t="s">
        <v>3126</v>
      </c>
      <c r="B3122">
        <v>0.98018197421672304</v>
      </c>
      <c r="C3122">
        <v>0.95344237175891</v>
      </c>
      <c r="D3122">
        <v>0.901278058647901</v>
      </c>
      <c r="E3122">
        <v>0.62518498963039804</v>
      </c>
      <c r="F3122">
        <v>0.40216265385727801</v>
      </c>
      <c r="G3122">
        <v>0.25580232510753098</v>
      </c>
      <c r="H3122">
        <v>0.20644193320127799</v>
      </c>
      <c r="I3122">
        <v>0.22052816779676901</v>
      </c>
      <c r="J3122">
        <v>0.205330855537667</v>
      </c>
      <c r="K3122">
        <v>0.297544869515182</v>
      </c>
      <c r="L3122">
        <v>1124.7611054521601</v>
      </c>
      <c r="M3122">
        <v>22.468497736834099</v>
      </c>
      <c r="N3122">
        <v>51.423962383678401</v>
      </c>
      <c r="O3122">
        <v>49.667988666743703</v>
      </c>
      <c r="P3122">
        <v>-8.7700726606546306E-2</v>
      </c>
      <c r="Q3122">
        <v>0.22454463973661301</v>
      </c>
      <c r="R3122">
        <v>0.99158683047238205</v>
      </c>
      <c r="S3122" t="s">
        <v>6751</v>
      </c>
      <c r="T3122" t="s">
        <v>7256</v>
      </c>
      <c r="U3122" t="s">
        <v>7256</v>
      </c>
      <c r="V3122" t="s">
        <v>7256</v>
      </c>
      <c r="W3122">
        <v>9</v>
      </c>
      <c r="X3122" t="s">
        <v>10378</v>
      </c>
      <c r="Y3122">
        <v>0.49315107144168702</v>
      </c>
      <c r="Z3122" t="str">
        <f>HYPERLINK("Melting_Curves/meltCurve_tr_B7Z493_B7Z493_HUMAN_.pdf", "Melting_Curves/meltCurve_tr_B7Z493_B7Z493_HUMAN_.pdf")</f>
        <v>Melting_Curves/meltCurve_tr_B7Z493_B7Z493_HUMAN_.pdf</v>
      </c>
      <c r="AA3122" t="s">
        <v>13965</v>
      </c>
      <c r="AB3122" t="s">
        <v>17542</v>
      </c>
    </row>
    <row r="3123" spans="1:28" x14ac:dyDescent="0.25">
      <c r="A3123" t="s">
        <v>3127</v>
      </c>
      <c r="B3123">
        <v>0.98018197421672304</v>
      </c>
      <c r="C3123">
        <v>0.73945309576516505</v>
      </c>
      <c r="D3123">
        <v>0.74596884406138697</v>
      </c>
      <c r="E3123">
        <v>0.48030692705239902</v>
      </c>
      <c r="F3123">
        <v>0.361299711358194</v>
      </c>
      <c r="G3123">
        <v>0.22696746804429699</v>
      </c>
      <c r="H3123">
        <v>0.19376228762560099</v>
      </c>
      <c r="I3123">
        <v>0.15201097916128101</v>
      </c>
      <c r="J3123">
        <v>0.14890791714305401</v>
      </c>
      <c r="K3123">
        <v>0.15711299044035901</v>
      </c>
      <c r="L3123">
        <v>549.29084904971603</v>
      </c>
      <c r="M3123">
        <v>11.3200143663468</v>
      </c>
      <c r="N3123">
        <v>49.619586021788301</v>
      </c>
      <c r="O3123">
        <v>47.083547621595599</v>
      </c>
      <c r="P3123">
        <v>-5.3475070364776403E-2</v>
      </c>
      <c r="Q3123">
        <v>0.11058925200659001</v>
      </c>
      <c r="R3123">
        <v>0.98025731265818195</v>
      </c>
      <c r="S3123" t="s">
        <v>6752</v>
      </c>
      <c r="T3123" t="s">
        <v>7256</v>
      </c>
      <c r="U3123" t="s">
        <v>7256</v>
      </c>
      <c r="V3123" t="s">
        <v>7256</v>
      </c>
      <c r="W3123">
        <v>1</v>
      </c>
      <c r="X3123" t="s">
        <v>10379</v>
      </c>
      <c r="Y3123">
        <v>0.400429587304518</v>
      </c>
      <c r="Z3123" t="str">
        <f>HYPERLINK("Melting_Curves/meltCurve_tr_B7Z4K4_B7Z4K4_HUMAN_.pdf", "Melting_Curves/meltCurve_tr_B7Z4K4_B7Z4K4_HUMAN_.pdf")</f>
        <v>Melting_Curves/meltCurve_tr_B7Z4K4_B7Z4K4_HUMAN_.pdf</v>
      </c>
      <c r="AA3123" t="s">
        <v>13966</v>
      </c>
      <c r="AB3123" t="s">
        <v>17543</v>
      </c>
    </row>
    <row r="3124" spans="1:28" x14ac:dyDescent="0.25">
      <c r="A3124" t="s">
        <v>3128</v>
      </c>
      <c r="B3124">
        <v>0.98018197421672304</v>
      </c>
      <c r="C3124">
        <v>1.0060769055282099</v>
      </c>
      <c r="D3124">
        <v>1.02546375484451</v>
      </c>
      <c r="E3124">
        <v>0.91173070184818605</v>
      </c>
      <c r="F3124">
        <v>0.99047496343489205</v>
      </c>
      <c r="G3124">
        <v>0.85522721031107196</v>
      </c>
      <c r="H3124">
        <v>0.65567091927183396</v>
      </c>
      <c r="I3124">
        <v>0.70621382551399303</v>
      </c>
      <c r="J3124">
        <v>0.819484117111834</v>
      </c>
      <c r="K3124">
        <v>0.87222438179053496</v>
      </c>
      <c r="L3124">
        <v>14224.051383247701</v>
      </c>
      <c r="M3124">
        <v>250</v>
      </c>
      <c r="O3124">
        <v>56.892564556794397</v>
      </c>
      <c r="P3124">
        <v>-0.259921583741059</v>
      </c>
      <c r="Q3124">
        <v>0.76339831256911195</v>
      </c>
      <c r="R3124">
        <v>0.732454568520575</v>
      </c>
      <c r="S3124" t="s">
        <v>6753</v>
      </c>
      <c r="T3124" t="s">
        <v>7256</v>
      </c>
      <c r="U3124" t="s">
        <v>7256</v>
      </c>
      <c r="V3124" t="s">
        <v>7256</v>
      </c>
      <c r="W3124">
        <v>5</v>
      </c>
      <c r="X3124" t="s">
        <v>10380</v>
      </c>
      <c r="Y3124">
        <v>0.89667762905303217</v>
      </c>
      <c r="Z3124" t="str">
        <f>HYPERLINK("Melting_Curves/meltCurve_tr_B7Z4K6_B7Z4K6_HUMAN_.pdf", "Melting_Curves/meltCurve_tr_B7Z4K6_B7Z4K6_HUMAN_.pdf")</f>
        <v>Melting_Curves/meltCurve_tr_B7Z4K6_B7Z4K6_HUMAN_.pdf</v>
      </c>
      <c r="AA3124" t="s">
        <v>13967</v>
      </c>
      <c r="AB3124" t="s">
        <v>17544</v>
      </c>
    </row>
    <row r="3125" spans="1:28" x14ac:dyDescent="0.25">
      <c r="A3125" t="s">
        <v>3129</v>
      </c>
      <c r="B3125">
        <v>0.98018197421672304</v>
      </c>
      <c r="C3125">
        <v>0.98257946832555498</v>
      </c>
      <c r="D3125">
        <v>0.72210070764950596</v>
      </c>
      <c r="E3125">
        <v>0.43266837895224702</v>
      </c>
      <c r="F3125">
        <v>0.26559966952319802</v>
      </c>
      <c r="G3125">
        <v>0.18660697267107501</v>
      </c>
      <c r="H3125">
        <v>0.108959599731089</v>
      </c>
      <c r="I3125">
        <v>6.8833426510202994E-2</v>
      </c>
      <c r="J3125">
        <v>6.4440872021473694E-2</v>
      </c>
      <c r="K3125">
        <v>5.2496262891942903E-2</v>
      </c>
      <c r="L3125">
        <v>815.388616602453</v>
      </c>
      <c r="M3125">
        <v>16.6921212520135</v>
      </c>
      <c r="N3125">
        <v>49.259810015125602</v>
      </c>
      <c r="O3125">
        <v>48.163763488923799</v>
      </c>
      <c r="P3125">
        <v>-8.1014552496669404E-2</v>
      </c>
      <c r="Q3125">
        <v>6.5018370300099701E-2</v>
      </c>
      <c r="R3125">
        <v>0.99349989667467997</v>
      </c>
      <c r="S3125" t="s">
        <v>6754</v>
      </c>
      <c r="T3125" t="s">
        <v>7256</v>
      </c>
      <c r="U3125" t="s">
        <v>7256</v>
      </c>
      <c r="V3125" t="s">
        <v>7256</v>
      </c>
      <c r="W3125">
        <v>1</v>
      </c>
      <c r="X3125" t="s">
        <v>10381</v>
      </c>
      <c r="Y3125">
        <v>0.35967062397126531</v>
      </c>
      <c r="Z3125" t="str">
        <f>HYPERLINK("Melting_Curves/meltCurve_tr_B7Z4L4_B7Z4L4_HUMAN_.pdf", "Melting_Curves/meltCurve_tr_B7Z4L4_B7Z4L4_HUMAN_.pdf")</f>
        <v>Melting_Curves/meltCurve_tr_B7Z4L4_B7Z4L4_HUMAN_.pdf</v>
      </c>
      <c r="AA3125" t="s">
        <v>13968</v>
      </c>
      <c r="AB3125" t="s">
        <v>17545</v>
      </c>
    </row>
    <row r="3126" spans="1:28" x14ac:dyDescent="0.25">
      <c r="A3126" t="s">
        <v>3130</v>
      </c>
      <c r="B3126">
        <v>0.98018197421672304</v>
      </c>
      <c r="C3126">
        <v>0.88470849112554495</v>
      </c>
      <c r="D3126">
        <v>0.73706892940269098</v>
      </c>
      <c r="E3126">
        <v>0.58571790501110299</v>
      </c>
      <c r="F3126">
        <v>0.50672688017831602</v>
      </c>
      <c r="G3126">
        <v>0.416064616832858</v>
      </c>
      <c r="H3126">
        <v>0.37522386889746501</v>
      </c>
      <c r="I3126">
        <v>0.39760748065624502</v>
      </c>
      <c r="J3126">
        <v>0.545033379362867</v>
      </c>
      <c r="K3126">
        <v>0.40484491496993402</v>
      </c>
      <c r="L3126">
        <v>776.78697023847701</v>
      </c>
      <c r="M3126">
        <v>16.637175347875601</v>
      </c>
      <c r="N3126">
        <v>52.580023069611599</v>
      </c>
      <c r="O3126">
        <v>46.030928474286704</v>
      </c>
      <c r="P3126">
        <v>-5.2189702105251597E-2</v>
      </c>
      <c r="Q3126">
        <v>0.42245512541385599</v>
      </c>
      <c r="R3126">
        <v>0.94967850706295998</v>
      </c>
      <c r="S3126" t="s">
        <v>6755</v>
      </c>
      <c r="T3126" t="s">
        <v>7256</v>
      </c>
      <c r="U3126" t="s">
        <v>7256</v>
      </c>
      <c r="V3126" t="s">
        <v>7256</v>
      </c>
      <c r="W3126">
        <v>2</v>
      </c>
      <c r="X3126" t="s">
        <v>10382</v>
      </c>
      <c r="Y3126">
        <v>0.56410301789694373</v>
      </c>
      <c r="Z3126" t="str">
        <f>HYPERLINK("Melting_Curves/meltCurve_tr_B7Z4M2_B7Z4M2_HUMAN_.pdf", "Melting_Curves/meltCurve_tr_B7Z4M2_B7Z4M2_HUMAN_.pdf")</f>
        <v>Melting_Curves/meltCurve_tr_B7Z4M2_B7Z4M2_HUMAN_.pdf</v>
      </c>
      <c r="AA3126" t="s">
        <v>13969</v>
      </c>
      <c r="AB3126" t="s">
        <v>17546</v>
      </c>
    </row>
    <row r="3127" spans="1:28" x14ac:dyDescent="0.25">
      <c r="A3127" t="s">
        <v>3131</v>
      </c>
      <c r="B3127">
        <v>0.98018197421672304</v>
      </c>
      <c r="C3127">
        <v>1.0225273047247101</v>
      </c>
      <c r="D3127">
        <v>0.95450345653994095</v>
      </c>
      <c r="E3127">
        <v>0.79498508054276895</v>
      </c>
      <c r="F3127">
        <v>0.743841386082573</v>
      </c>
      <c r="G3127">
        <v>0.426368153680309</v>
      </c>
      <c r="H3127">
        <v>0.15753622651034899</v>
      </c>
      <c r="I3127">
        <v>0.12015339847485999</v>
      </c>
      <c r="J3127">
        <v>0.21580036221402599</v>
      </c>
      <c r="K3127">
        <v>5.5773661356077302E-2</v>
      </c>
      <c r="L3127">
        <v>938.46649418007405</v>
      </c>
      <c r="M3127">
        <v>17.016906313368601</v>
      </c>
      <c r="N3127">
        <v>55.6348395607369</v>
      </c>
      <c r="O3127">
        <v>54.404359302906101</v>
      </c>
      <c r="P3127">
        <v>-7.2802581432699798E-2</v>
      </c>
      <c r="Q3127">
        <v>6.9035483973343997E-2</v>
      </c>
      <c r="R3127">
        <v>0.98094652191316301</v>
      </c>
      <c r="S3127" t="s">
        <v>6756</v>
      </c>
      <c r="T3127" t="s">
        <v>7256</v>
      </c>
      <c r="U3127" t="s">
        <v>7256</v>
      </c>
      <c r="V3127" t="s">
        <v>7256</v>
      </c>
      <c r="W3127">
        <v>2</v>
      </c>
      <c r="X3127" t="s">
        <v>10383</v>
      </c>
      <c r="Y3127">
        <v>0.5545265157692697</v>
      </c>
      <c r="Z3127" t="str">
        <f>HYPERLINK("Melting_Curves/meltCurve_tr_B7Z583_B7Z583_HUMAN_.pdf", "Melting_Curves/meltCurve_tr_B7Z583_B7Z583_HUMAN_.pdf")</f>
        <v>Melting_Curves/meltCurve_tr_B7Z583_B7Z583_HUMAN_.pdf</v>
      </c>
      <c r="AA3127" t="s">
        <v>13970</v>
      </c>
      <c r="AB3127" t="s">
        <v>17547</v>
      </c>
    </row>
    <row r="3128" spans="1:28" x14ac:dyDescent="0.25">
      <c r="A3128" t="s">
        <v>3132</v>
      </c>
      <c r="B3128">
        <v>0.98018197421672304</v>
      </c>
      <c r="C3128">
        <v>0.92015675608219005</v>
      </c>
      <c r="D3128">
        <v>0.86703559567985999</v>
      </c>
      <c r="E3128">
        <v>0.67553640070133603</v>
      </c>
      <c r="F3128">
        <v>0.26978792519525302</v>
      </c>
      <c r="G3128">
        <v>9.0241986682022796E-2</v>
      </c>
      <c r="H3128">
        <v>4.1721507733955901E-2</v>
      </c>
      <c r="I3128">
        <v>2.97213932750756E-2</v>
      </c>
      <c r="J3128">
        <v>3.0912852801686101E-2</v>
      </c>
      <c r="K3128">
        <v>2.0269854536941901E-2</v>
      </c>
      <c r="L3128">
        <v>1162.59904702222</v>
      </c>
      <c r="M3128">
        <v>22.796617277238798</v>
      </c>
      <c r="N3128">
        <v>51.073919226043401</v>
      </c>
      <c r="O3128">
        <v>50.611166419489102</v>
      </c>
      <c r="P3128">
        <v>-0.110751129688152</v>
      </c>
      <c r="Q3128">
        <v>1.6496776251761599E-2</v>
      </c>
      <c r="R3128">
        <v>0.99167482734245904</v>
      </c>
      <c r="S3128" t="s">
        <v>6757</v>
      </c>
      <c r="T3128" t="s">
        <v>7256</v>
      </c>
      <c r="U3128" t="s">
        <v>7256</v>
      </c>
      <c r="V3128" t="s">
        <v>7256</v>
      </c>
      <c r="W3128">
        <v>21</v>
      </c>
      <c r="X3128" t="s">
        <v>10384</v>
      </c>
      <c r="Y3128">
        <v>0.38771241968394249</v>
      </c>
      <c r="Z3128" t="str">
        <f>HYPERLINK("Melting_Curves/meltCurve_tr_B7Z6B8_B7Z6B8_HUMAN_.pdf", "Melting_Curves/meltCurve_tr_B7Z6B8_B7Z6B8_HUMAN_.pdf")</f>
        <v>Melting_Curves/meltCurve_tr_B7Z6B8_B7Z6B8_HUMAN_.pdf</v>
      </c>
      <c r="AA3128" t="s">
        <v>13971</v>
      </c>
      <c r="AB3128" t="s">
        <v>17548</v>
      </c>
    </row>
    <row r="3129" spans="1:28" x14ac:dyDescent="0.25">
      <c r="A3129" t="s">
        <v>3133</v>
      </c>
      <c r="B3129">
        <v>0.98018197421672304</v>
      </c>
      <c r="C3129">
        <v>0.83802128912932905</v>
      </c>
      <c r="D3129">
        <v>0.79505769146065497</v>
      </c>
      <c r="E3129">
        <v>0.483482202451117</v>
      </c>
      <c r="F3129">
        <v>0.326128484424555</v>
      </c>
      <c r="G3129">
        <v>0.25242247408170998</v>
      </c>
      <c r="H3129">
        <v>9.1629727956437299E-2</v>
      </c>
      <c r="I3129">
        <v>6.8691848869000094E-2</v>
      </c>
      <c r="J3129">
        <v>5.8064765484376502E-2</v>
      </c>
      <c r="K3129">
        <v>4.9450739004711301E-2</v>
      </c>
      <c r="L3129">
        <v>606.14485362351297</v>
      </c>
      <c r="M3129">
        <v>12.1126142469909</v>
      </c>
      <c r="N3129">
        <v>50.162029440137403</v>
      </c>
      <c r="O3129">
        <v>48.737034330171397</v>
      </c>
      <c r="P3129">
        <v>-6.1262514818459401E-2</v>
      </c>
      <c r="Q3129">
        <v>1.4231348072760001E-2</v>
      </c>
      <c r="R3129">
        <v>0.99149980546184402</v>
      </c>
      <c r="S3129" t="s">
        <v>6758</v>
      </c>
      <c r="T3129" t="s">
        <v>7256</v>
      </c>
      <c r="U3129" t="s">
        <v>7256</v>
      </c>
      <c r="V3129" t="s">
        <v>7256</v>
      </c>
      <c r="W3129">
        <v>1</v>
      </c>
      <c r="X3129" t="s">
        <v>10385</v>
      </c>
      <c r="Y3129">
        <v>0.377761463726902</v>
      </c>
      <c r="Z3129" t="str">
        <f>HYPERLINK("Melting_Curves/meltCurve_tr_B7Z6P0_B7Z6P0_HUMAN_.pdf", "Melting_Curves/meltCurve_tr_B7Z6P0_B7Z6P0_HUMAN_.pdf")</f>
        <v>Melting_Curves/meltCurve_tr_B7Z6P0_B7Z6P0_HUMAN_.pdf</v>
      </c>
      <c r="AA3129" t="s">
        <v>13972</v>
      </c>
      <c r="AB3129" t="s">
        <v>17549</v>
      </c>
    </row>
    <row r="3130" spans="1:28" x14ac:dyDescent="0.25">
      <c r="A3130" t="s">
        <v>3134</v>
      </c>
      <c r="B3130">
        <v>0.98018197421672304</v>
      </c>
      <c r="C3130">
        <v>0.80297407415105204</v>
      </c>
      <c r="D3130">
        <v>0.78766324647201902</v>
      </c>
      <c r="E3130">
        <v>0.67714041641809297</v>
      </c>
      <c r="F3130">
        <v>0.64883247352911699</v>
      </c>
      <c r="G3130">
        <v>0.60007549934857796</v>
      </c>
      <c r="H3130">
        <v>0.36305754392539502</v>
      </c>
      <c r="I3130">
        <v>0.184967593379951</v>
      </c>
      <c r="J3130">
        <v>8.8712563751783602E-2</v>
      </c>
      <c r="K3130">
        <v>5.47286651665643E-2</v>
      </c>
      <c r="L3130">
        <v>474.36523474034999</v>
      </c>
      <c r="M3130">
        <v>8.5512118281077196</v>
      </c>
      <c r="N3130">
        <v>55.473451507096797</v>
      </c>
      <c r="O3130">
        <v>52.6894756793208</v>
      </c>
      <c r="P3130">
        <v>-4.06093806789425E-2</v>
      </c>
      <c r="Q3130">
        <v>0</v>
      </c>
      <c r="R3130">
        <v>0.92469725465433195</v>
      </c>
      <c r="S3130" t="s">
        <v>6759</v>
      </c>
      <c r="T3130" t="s">
        <v>7256</v>
      </c>
      <c r="U3130" t="s">
        <v>7256</v>
      </c>
      <c r="V3130" t="s">
        <v>7256</v>
      </c>
      <c r="W3130">
        <v>3</v>
      </c>
      <c r="X3130" t="s">
        <v>10386</v>
      </c>
      <c r="Y3130">
        <v>0.53972718789606033</v>
      </c>
      <c r="Z3130" t="str">
        <f>HYPERLINK("Melting_Curves/meltCurve_tr_B7Z729_B7Z729_HUMAN_.pdf", "Melting_Curves/meltCurve_tr_B7Z729_B7Z729_HUMAN_.pdf")</f>
        <v>Melting_Curves/meltCurve_tr_B7Z729_B7Z729_HUMAN_.pdf</v>
      </c>
      <c r="AA3130" t="s">
        <v>13973</v>
      </c>
      <c r="AB3130" t="s">
        <v>17550</v>
      </c>
    </row>
    <row r="3131" spans="1:28" x14ac:dyDescent="0.25">
      <c r="A3131" t="s">
        <v>3135</v>
      </c>
      <c r="B3131">
        <v>0.98018197421672304</v>
      </c>
      <c r="C3131">
        <v>0.85344259286093904</v>
      </c>
      <c r="D3131">
        <v>0.86041901793977205</v>
      </c>
      <c r="E3131">
        <v>0.68675799190602804</v>
      </c>
      <c r="F3131">
        <v>0.57338957582724603</v>
      </c>
      <c r="G3131">
        <v>0.42307532848872198</v>
      </c>
      <c r="H3131">
        <v>0.34439040116603098</v>
      </c>
      <c r="I3131">
        <v>0.32932657725515702</v>
      </c>
      <c r="J3131">
        <v>0.432689157125631</v>
      </c>
      <c r="K3131">
        <v>0.30857508685415203</v>
      </c>
      <c r="L3131">
        <v>595.47848581775395</v>
      </c>
      <c r="M3131">
        <v>11.804471895097899</v>
      </c>
      <c r="N3131">
        <v>54.838926440271599</v>
      </c>
      <c r="O3131">
        <v>49.062774429805799</v>
      </c>
      <c r="P3131">
        <v>-4.1765927709121499E-2</v>
      </c>
      <c r="Q3131">
        <v>0.305813589251618</v>
      </c>
      <c r="R3131">
        <v>0.96768976715334099</v>
      </c>
      <c r="S3131" t="s">
        <v>6760</v>
      </c>
      <c r="T3131" t="s">
        <v>7256</v>
      </c>
      <c r="U3131" t="s">
        <v>7256</v>
      </c>
      <c r="V3131" t="s">
        <v>7256</v>
      </c>
      <c r="W3131">
        <v>5</v>
      </c>
      <c r="X3131" t="s">
        <v>10387</v>
      </c>
      <c r="Y3131">
        <v>0.57149951791261921</v>
      </c>
      <c r="Z3131" t="str">
        <f>HYPERLINK("Melting_Curves/meltCurve_tr_B7Z7F3_B7Z7F3_HUMAN_.pdf", "Melting_Curves/meltCurve_tr_B7Z7F3_B7Z7F3_HUMAN_.pdf")</f>
        <v>Melting_Curves/meltCurve_tr_B7Z7F3_B7Z7F3_HUMAN_.pdf</v>
      </c>
      <c r="AA3131" t="s">
        <v>13974</v>
      </c>
      <c r="AB3131" t="s">
        <v>17551</v>
      </c>
    </row>
    <row r="3132" spans="1:28" x14ac:dyDescent="0.25">
      <c r="A3132" t="s">
        <v>3136</v>
      </c>
      <c r="B3132">
        <v>0.98018197421672304</v>
      </c>
      <c r="C3132">
        <v>0.94899638971022604</v>
      </c>
      <c r="D3132">
        <v>0.86202533690526695</v>
      </c>
      <c r="E3132">
        <v>0.68436820257810904</v>
      </c>
      <c r="F3132">
        <v>0.38852900604533902</v>
      </c>
      <c r="G3132">
        <v>0.17902776944238899</v>
      </c>
      <c r="H3132">
        <v>9.7121564549509404E-2</v>
      </c>
      <c r="I3132">
        <v>4.1021891285355203E-2</v>
      </c>
      <c r="J3132">
        <v>5.6735972002203199E-2</v>
      </c>
      <c r="K3132">
        <v>8.3373450274244598E-3</v>
      </c>
      <c r="L3132">
        <v>848.39156354516797</v>
      </c>
      <c r="M3132">
        <v>16.3904115934183</v>
      </c>
      <c r="N3132">
        <v>51.820796403814001</v>
      </c>
      <c r="O3132">
        <v>51.009337090471703</v>
      </c>
      <c r="P3132">
        <v>-7.9589282607649497E-2</v>
      </c>
      <c r="Q3132">
        <v>9.2969196569246005E-3</v>
      </c>
      <c r="R3132">
        <v>0.99700571693413298</v>
      </c>
      <c r="S3132" t="s">
        <v>6761</v>
      </c>
      <c r="T3132" t="s">
        <v>7256</v>
      </c>
      <c r="U3132" t="s">
        <v>7256</v>
      </c>
      <c r="V3132" t="s">
        <v>7256</v>
      </c>
      <c r="W3132">
        <v>3</v>
      </c>
      <c r="X3132" t="s">
        <v>10388</v>
      </c>
      <c r="Y3132">
        <v>0.41707350823986322</v>
      </c>
      <c r="Z3132" t="str">
        <f>HYPERLINK("Melting_Curves/meltCurve_tr_B7Z7F9_B7Z7F9_HUMAN_.pdf", "Melting_Curves/meltCurve_tr_B7Z7F9_B7Z7F9_HUMAN_.pdf")</f>
        <v>Melting_Curves/meltCurve_tr_B7Z7F9_B7Z7F9_HUMAN_.pdf</v>
      </c>
      <c r="AA3132" t="s">
        <v>13975</v>
      </c>
      <c r="AB3132" t="s">
        <v>17552</v>
      </c>
    </row>
    <row r="3133" spans="1:28" x14ac:dyDescent="0.25">
      <c r="A3133" t="s">
        <v>3137</v>
      </c>
      <c r="B3133">
        <v>0.98018197421672304</v>
      </c>
      <c r="C3133">
        <v>0.97002639305747596</v>
      </c>
      <c r="D3133">
        <v>0.76899982605710904</v>
      </c>
      <c r="E3133">
        <v>0.40397045332770598</v>
      </c>
      <c r="F3133">
        <v>0.20640428721968301</v>
      </c>
      <c r="G3133">
        <v>0.119737405764857</v>
      </c>
      <c r="H3133">
        <v>7.3482105708093604E-2</v>
      </c>
      <c r="I3133">
        <v>6.3192820289809895E-2</v>
      </c>
      <c r="J3133">
        <v>7.3612476102131202E-2</v>
      </c>
      <c r="K3133">
        <v>5.1365535954601103E-2</v>
      </c>
      <c r="L3133">
        <v>1000.40012260421</v>
      </c>
      <c r="M3133">
        <v>20.5665375791522</v>
      </c>
      <c r="N3133">
        <v>48.956268302570301</v>
      </c>
      <c r="O3133">
        <v>48.1892643155415</v>
      </c>
      <c r="P3133">
        <v>-0.100103968156696</v>
      </c>
      <c r="Q3133">
        <v>6.1816783647726602E-2</v>
      </c>
      <c r="R3133">
        <v>0.99900991155798102</v>
      </c>
      <c r="S3133" t="s">
        <v>6762</v>
      </c>
      <c r="T3133" t="s">
        <v>7256</v>
      </c>
      <c r="U3133" t="s">
        <v>7256</v>
      </c>
      <c r="V3133" t="s">
        <v>7256</v>
      </c>
      <c r="W3133">
        <v>12</v>
      </c>
      <c r="X3133" t="s">
        <v>10389</v>
      </c>
      <c r="Y3133">
        <v>0.34453317676639339</v>
      </c>
      <c r="Z3133" t="str">
        <f>HYPERLINK("Melting_Curves/meltCurve_tr_B7Z815_B7Z815_HUMAN_.pdf", "Melting_Curves/meltCurve_tr_B7Z815_B7Z815_HUMAN_.pdf")</f>
        <v>Melting_Curves/meltCurve_tr_B7Z815_B7Z815_HUMAN_.pdf</v>
      </c>
      <c r="AA3133" t="s">
        <v>13976</v>
      </c>
      <c r="AB3133" t="s">
        <v>17553</v>
      </c>
    </row>
    <row r="3134" spans="1:28" x14ac:dyDescent="0.25">
      <c r="A3134" t="s">
        <v>3138</v>
      </c>
      <c r="B3134">
        <v>0.98018197421672304</v>
      </c>
      <c r="C3134">
        <v>1.0033754965782999</v>
      </c>
      <c r="D3134">
        <v>0.97965475399289004</v>
      </c>
      <c r="E3134">
        <v>0.84376466080419699</v>
      </c>
      <c r="F3134">
        <v>0.43450134575841998</v>
      </c>
      <c r="G3134">
        <v>0.190997670188809</v>
      </c>
      <c r="H3134">
        <v>6.5580926694137398E-2</v>
      </c>
      <c r="I3134">
        <v>4.0686496954186899E-2</v>
      </c>
      <c r="J3134">
        <v>3.7555538215594597E-2</v>
      </c>
      <c r="K3134">
        <v>2.96702512070358E-2</v>
      </c>
      <c r="L3134">
        <v>1429.3225990570299</v>
      </c>
      <c r="M3134">
        <v>27.172945062379299</v>
      </c>
      <c r="N3134">
        <v>52.768547268405499</v>
      </c>
      <c r="O3134">
        <v>52.318515615735102</v>
      </c>
      <c r="P3134">
        <v>-0.12447682291485999</v>
      </c>
      <c r="Q3134">
        <v>4.1343215615953999E-2</v>
      </c>
      <c r="R3134">
        <v>0.99710125080497003</v>
      </c>
      <c r="S3134" t="s">
        <v>6763</v>
      </c>
      <c r="T3134" t="s">
        <v>7256</v>
      </c>
      <c r="U3134" t="s">
        <v>7256</v>
      </c>
      <c r="V3134" t="s">
        <v>7256</v>
      </c>
      <c r="W3134">
        <v>17</v>
      </c>
      <c r="X3134" t="s">
        <v>10390</v>
      </c>
      <c r="Y3134">
        <v>0.45150914827795291</v>
      </c>
      <c r="Z3134" t="str">
        <f>HYPERLINK("Melting_Curves/meltCurve_tr_B7Z8V7_B7Z8V7_HUMAN_.pdf", "Melting_Curves/meltCurve_tr_B7Z8V7_B7Z8V7_HUMAN_.pdf")</f>
        <v>Melting_Curves/meltCurve_tr_B7Z8V7_B7Z8V7_HUMAN_.pdf</v>
      </c>
      <c r="AA3134" t="s">
        <v>13977</v>
      </c>
      <c r="AB3134" t="s">
        <v>17554</v>
      </c>
    </row>
    <row r="3135" spans="1:28" x14ac:dyDescent="0.25">
      <c r="A3135" t="s">
        <v>3139</v>
      </c>
      <c r="B3135">
        <v>0.98018197421672304</v>
      </c>
      <c r="C3135">
        <v>0.820758516651795</v>
      </c>
      <c r="D3135">
        <v>0.65063221391862103</v>
      </c>
      <c r="E3135">
        <v>0.51861453778789601</v>
      </c>
      <c r="F3135">
        <v>0.27276482182622802</v>
      </c>
      <c r="G3135">
        <v>0.222143914025309</v>
      </c>
      <c r="H3135">
        <v>0.19899938667711101</v>
      </c>
      <c r="I3135">
        <v>0.154290860488276</v>
      </c>
      <c r="J3135">
        <v>0.19067454860355099</v>
      </c>
      <c r="K3135">
        <v>6.9288549662747806E-2</v>
      </c>
      <c r="L3135">
        <v>596.97780043159003</v>
      </c>
      <c r="M3135">
        <v>12.402844161236599</v>
      </c>
      <c r="N3135">
        <v>49.144576259468799</v>
      </c>
      <c r="O3135">
        <v>46.932425440473999</v>
      </c>
      <c r="P3135">
        <v>-5.86327742329497E-2</v>
      </c>
      <c r="Q3135">
        <v>0.112721189702365</v>
      </c>
      <c r="R3135">
        <v>0.98030524318419199</v>
      </c>
      <c r="S3135" t="s">
        <v>6764</v>
      </c>
      <c r="T3135" t="s">
        <v>7256</v>
      </c>
      <c r="U3135" t="s">
        <v>7256</v>
      </c>
      <c r="V3135" t="s">
        <v>7256</v>
      </c>
      <c r="W3135">
        <v>5</v>
      </c>
      <c r="X3135" t="s">
        <v>10391</v>
      </c>
      <c r="Y3135">
        <v>0.38570648861437662</v>
      </c>
      <c r="Z3135" t="str">
        <f>HYPERLINK("Melting_Curves/meltCurve_tr_B7Z9K1_B7Z9K1_HUMAN_.pdf", "Melting_Curves/meltCurve_tr_B7Z9K1_B7Z9K1_HUMAN_.pdf")</f>
        <v>Melting_Curves/meltCurve_tr_B7Z9K1_B7Z9K1_HUMAN_.pdf</v>
      </c>
      <c r="AA3135" t="s">
        <v>13978</v>
      </c>
      <c r="AB3135" t="s">
        <v>17555</v>
      </c>
    </row>
    <row r="3136" spans="1:28" x14ac:dyDescent="0.25">
      <c r="A3136" t="s">
        <v>3140</v>
      </c>
      <c r="B3136">
        <v>0.98018197421672304</v>
      </c>
      <c r="C3136">
        <v>0.91808183820002298</v>
      </c>
      <c r="D3136">
        <v>0.81948401028476603</v>
      </c>
      <c r="E3136">
        <v>0.50478564164125395</v>
      </c>
      <c r="F3136">
        <v>0.25842376395767502</v>
      </c>
      <c r="G3136">
        <v>0.14214427568259999</v>
      </c>
      <c r="H3136">
        <v>8.5204777776533402E-2</v>
      </c>
      <c r="I3136">
        <v>6.6452176303234606E-2</v>
      </c>
      <c r="J3136">
        <v>6.5691228225446999E-2</v>
      </c>
      <c r="K3136">
        <v>5.7668537325806797E-2</v>
      </c>
      <c r="L3136">
        <v>887.00387863625599</v>
      </c>
      <c r="M3136">
        <v>17.8911788399658</v>
      </c>
      <c r="N3136">
        <v>49.886013669784298</v>
      </c>
      <c r="O3136">
        <v>48.970785008670802</v>
      </c>
      <c r="P3136">
        <v>-8.6560151990304798E-2</v>
      </c>
      <c r="Q3136">
        <v>5.2336501382307297E-2</v>
      </c>
      <c r="R3136">
        <v>0.998833022253932</v>
      </c>
      <c r="S3136" t="s">
        <v>6765</v>
      </c>
      <c r="T3136" t="s">
        <v>7256</v>
      </c>
      <c r="U3136" t="s">
        <v>7256</v>
      </c>
      <c r="V3136" t="s">
        <v>7256</v>
      </c>
      <c r="W3136">
        <v>6</v>
      </c>
      <c r="X3136" t="s">
        <v>10392</v>
      </c>
      <c r="Y3136">
        <v>0.37133350163628909</v>
      </c>
      <c r="Z3136" t="str">
        <f>HYPERLINK("Melting_Curves/meltCurve_tr_B8ZZG1_B8ZZG1_HUMAN_.pdf", "Melting_Curves/meltCurve_tr_B8ZZG1_B8ZZG1_HUMAN_.pdf")</f>
        <v>Melting_Curves/meltCurve_tr_B8ZZG1_B8ZZG1_HUMAN_.pdf</v>
      </c>
      <c r="AA3136" t="s">
        <v>13979</v>
      </c>
      <c r="AB3136" t="s">
        <v>17556</v>
      </c>
    </row>
    <row r="3137" spans="1:28" x14ac:dyDescent="0.25">
      <c r="A3137" t="s">
        <v>3141</v>
      </c>
      <c r="B3137">
        <v>0.98018197421672304</v>
      </c>
      <c r="C3137">
        <v>0.89344667742412998</v>
      </c>
      <c r="D3137">
        <v>0.89455691978212104</v>
      </c>
      <c r="E3137">
        <v>0.81548551976637995</v>
      </c>
      <c r="F3137">
        <v>0.83571073999443402</v>
      </c>
      <c r="G3137">
        <v>0.75433801043083304</v>
      </c>
      <c r="H3137">
        <v>0.55403642282664101</v>
      </c>
      <c r="I3137">
        <v>0.52388245289131796</v>
      </c>
      <c r="J3137">
        <v>0.617063396498719</v>
      </c>
      <c r="K3137">
        <v>0.85087058595402998</v>
      </c>
      <c r="L3137">
        <v>538.85055868050495</v>
      </c>
      <c r="M3137">
        <v>10.787514311956301</v>
      </c>
      <c r="O3137">
        <v>48.3266415713464</v>
      </c>
      <c r="P3137">
        <v>-2.05382029302528E-2</v>
      </c>
      <c r="Q3137">
        <v>0.63210004907923401</v>
      </c>
      <c r="R3137">
        <v>0.59818923715593597</v>
      </c>
      <c r="S3137" t="s">
        <v>6766</v>
      </c>
      <c r="T3137" t="s">
        <v>7256</v>
      </c>
      <c r="U3137" t="s">
        <v>7256</v>
      </c>
      <c r="V3137" t="s">
        <v>7256</v>
      </c>
      <c r="W3137">
        <v>7</v>
      </c>
      <c r="X3137" t="s">
        <v>10393</v>
      </c>
      <c r="Y3137">
        <v>0.76913822241235397</v>
      </c>
      <c r="Z3137" t="str">
        <f>HYPERLINK("Melting_Curves/meltCurve_tr_B8ZZQ6_B8ZZQ6_HUMAN_.pdf", "Melting_Curves/meltCurve_tr_B8ZZQ6_B8ZZQ6_HUMAN_.pdf")</f>
        <v>Melting_Curves/meltCurve_tr_B8ZZQ6_B8ZZQ6_HUMAN_.pdf</v>
      </c>
      <c r="AA3137" t="s">
        <v>13980</v>
      </c>
      <c r="AB3137" t="s">
        <v>17557</v>
      </c>
    </row>
    <row r="3138" spans="1:28" x14ac:dyDescent="0.25">
      <c r="A3138" t="s">
        <v>3142</v>
      </c>
      <c r="B3138">
        <v>0.98018197421672304</v>
      </c>
      <c r="C3138">
        <v>0.99221658279123703</v>
      </c>
      <c r="D3138">
        <v>0.96208756167249498</v>
      </c>
      <c r="E3138">
        <v>0.81306231178969701</v>
      </c>
      <c r="F3138">
        <v>0.73014822111486</v>
      </c>
      <c r="G3138">
        <v>0.40129875898600198</v>
      </c>
      <c r="H3138">
        <v>0.22596894367119999</v>
      </c>
      <c r="I3138">
        <v>0.21003805016090599</v>
      </c>
      <c r="J3138">
        <v>0.27220848308978401</v>
      </c>
      <c r="K3138">
        <v>0.31249695998354499</v>
      </c>
      <c r="L3138">
        <v>1189.4058445609901</v>
      </c>
      <c r="M3138">
        <v>22.152677337681599</v>
      </c>
      <c r="N3138">
        <v>55.306816864182103</v>
      </c>
      <c r="O3138">
        <v>53.259510410429101</v>
      </c>
      <c r="P3138">
        <v>-7.9215617595683199E-2</v>
      </c>
      <c r="Q3138">
        <v>0.23821517327706801</v>
      </c>
      <c r="R3138">
        <v>0.98054364199453803</v>
      </c>
      <c r="S3138" t="s">
        <v>6767</v>
      </c>
      <c r="T3138" t="s">
        <v>7256</v>
      </c>
      <c r="U3138" t="s">
        <v>7256</v>
      </c>
      <c r="V3138" t="s">
        <v>7256</v>
      </c>
      <c r="W3138">
        <v>9</v>
      </c>
      <c r="X3138" t="s">
        <v>10394</v>
      </c>
      <c r="Y3138">
        <v>0.59462251540587774</v>
      </c>
      <c r="Z3138" t="str">
        <f>HYPERLINK("Melting_Curves/meltCurve_tr_B8ZZU8_B8ZZU8_HUMAN_.pdf", "Melting_Curves/meltCurve_tr_B8ZZU8_B8ZZU8_HUMAN_.pdf")</f>
        <v>Melting_Curves/meltCurve_tr_B8ZZU8_B8ZZU8_HUMAN_.pdf</v>
      </c>
      <c r="AA3138" t="s">
        <v>13981</v>
      </c>
      <c r="AB3138" t="s">
        <v>17558</v>
      </c>
    </row>
    <row r="3139" spans="1:28" x14ac:dyDescent="0.25">
      <c r="A3139" t="s">
        <v>3143</v>
      </c>
      <c r="B3139">
        <v>0.98018197421672304</v>
      </c>
      <c r="C3139">
        <v>1.0627615937816699</v>
      </c>
      <c r="D3139">
        <v>0.88896497803921604</v>
      </c>
      <c r="E3139">
        <v>0.77982672603820702</v>
      </c>
      <c r="F3139">
        <v>0.66124188500136505</v>
      </c>
      <c r="G3139">
        <v>0.41487048021059397</v>
      </c>
      <c r="H3139">
        <v>0.17771734898524999</v>
      </c>
      <c r="I3139">
        <v>7.9086527297899806E-2</v>
      </c>
      <c r="J3139">
        <v>7.3848301938390704E-2</v>
      </c>
      <c r="K3139">
        <v>5.32960135196687E-2</v>
      </c>
      <c r="L3139">
        <v>792.83972738888394</v>
      </c>
      <c r="M3139">
        <v>14.3945465817964</v>
      </c>
      <c r="N3139">
        <v>55.079162113133499</v>
      </c>
      <c r="O3139">
        <v>54.048875312719701</v>
      </c>
      <c r="P3139">
        <v>-6.6589060755734703E-2</v>
      </c>
      <c r="Q3139">
        <v>0</v>
      </c>
      <c r="R3139">
        <v>0.99017150071805604</v>
      </c>
      <c r="S3139" t="s">
        <v>6768</v>
      </c>
      <c r="T3139" t="s">
        <v>7256</v>
      </c>
      <c r="U3139" t="s">
        <v>7256</v>
      </c>
      <c r="V3139" t="s">
        <v>7256</v>
      </c>
      <c r="W3139">
        <v>2</v>
      </c>
      <c r="X3139" t="s">
        <v>10395</v>
      </c>
      <c r="Y3139">
        <v>0.52262914804251015</v>
      </c>
      <c r="Z3139" t="str">
        <f>HYPERLINK("Melting_Curves/meltCurve_tr_C0H5X6_C0H5X6_HUMAN_.pdf", "Melting_Curves/meltCurve_tr_C0H5X6_C0H5X6_HUMAN_.pdf")</f>
        <v>Melting_Curves/meltCurve_tr_C0H5X6_C0H5X6_HUMAN_.pdf</v>
      </c>
      <c r="AA3139" t="s">
        <v>13982</v>
      </c>
      <c r="AB3139" t="s">
        <v>17559</v>
      </c>
    </row>
    <row r="3140" spans="1:28" x14ac:dyDescent="0.25">
      <c r="A3140" t="s">
        <v>3144</v>
      </c>
      <c r="B3140">
        <v>0.98018197421672304</v>
      </c>
      <c r="C3140">
        <v>0.56057045542624595</v>
      </c>
      <c r="D3140">
        <v>0.69889422044346505</v>
      </c>
      <c r="E3140">
        <v>0.52325898836779305</v>
      </c>
      <c r="F3140">
        <v>0.27953200099779002</v>
      </c>
      <c r="G3140">
        <v>0.18864799951942099</v>
      </c>
      <c r="H3140">
        <v>0.12223157574865</v>
      </c>
      <c r="I3140">
        <v>8.2861037836856E-2</v>
      </c>
      <c r="J3140">
        <v>5.4632169062133903E-2</v>
      </c>
      <c r="K3140">
        <v>1.85842653432042E-2</v>
      </c>
      <c r="L3140">
        <v>449.95814847031301</v>
      </c>
      <c r="M3140">
        <v>9.2765222925338406</v>
      </c>
      <c r="N3140">
        <v>48.505047122365603</v>
      </c>
      <c r="O3140">
        <v>46.410830376680899</v>
      </c>
      <c r="P3140">
        <v>-5.0001940045636101E-2</v>
      </c>
      <c r="Q3140">
        <v>0</v>
      </c>
      <c r="R3140">
        <v>0.92394639405960699</v>
      </c>
      <c r="S3140" t="s">
        <v>6769</v>
      </c>
      <c r="T3140" t="s">
        <v>7256</v>
      </c>
      <c r="U3140" t="s">
        <v>7256</v>
      </c>
      <c r="V3140" t="s">
        <v>7256</v>
      </c>
      <c r="W3140">
        <v>9</v>
      </c>
      <c r="X3140" t="s">
        <v>10396</v>
      </c>
      <c r="Y3140">
        <v>0.34032904236453049</v>
      </c>
      <c r="Z3140" t="str">
        <f>HYPERLINK("Melting_Curves/meltCurve_tr_C9IZA5_C9IZA5_HUMAN_.pdf", "Melting_Curves/meltCurve_tr_C9IZA5_C9IZA5_HUMAN_.pdf")</f>
        <v>Melting_Curves/meltCurve_tr_C9IZA5_C9IZA5_HUMAN_.pdf</v>
      </c>
      <c r="AA3140" t="s">
        <v>12015</v>
      </c>
      <c r="AB3140" t="s">
        <v>17560</v>
      </c>
    </row>
    <row r="3141" spans="1:28" x14ac:dyDescent="0.25">
      <c r="A3141" t="s">
        <v>3145</v>
      </c>
      <c r="B3141">
        <v>0.98018197421672304</v>
      </c>
      <c r="C3141">
        <v>0.89704569206842799</v>
      </c>
      <c r="D3141">
        <v>1.0163317038199899</v>
      </c>
      <c r="E3141">
        <v>0.89773142711142495</v>
      </c>
      <c r="F3141">
        <v>0.94497674156906797</v>
      </c>
      <c r="G3141">
        <v>0.81926945587911004</v>
      </c>
      <c r="H3141">
        <v>0.63176495161050905</v>
      </c>
      <c r="I3141">
        <v>0.69948449478046204</v>
      </c>
      <c r="J3141">
        <v>0.75581720563945398</v>
      </c>
      <c r="K3141">
        <v>0.99940050347668397</v>
      </c>
      <c r="L3141">
        <v>1557.0111380155799</v>
      </c>
      <c r="M3141">
        <v>29.1306573851402</v>
      </c>
      <c r="O3141">
        <v>53.199257811185099</v>
      </c>
      <c r="P3141">
        <v>-3.07033592225914E-2</v>
      </c>
      <c r="Q3141">
        <v>0.77571620050066903</v>
      </c>
      <c r="R3141">
        <v>0.38200556012276998</v>
      </c>
      <c r="S3141" t="s">
        <v>6770</v>
      </c>
      <c r="T3141" t="s">
        <v>7256</v>
      </c>
      <c r="U3141" t="s">
        <v>7256</v>
      </c>
      <c r="V3141" t="s">
        <v>7256</v>
      </c>
      <c r="W3141">
        <v>2</v>
      </c>
      <c r="X3141" t="s">
        <v>10397</v>
      </c>
      <c r="Y3141">
        <v>0.87781360741646142</v>
      </c>
      <c r="Z3141" t="str">
        <f>HYPERLINK("Melting_Curves/meltCurve_tr_C9IZG4_C9IZG4_HUMAN_.pdf", "Melting_Curves/meltCurve_tr_C9IZG4_C9IZG4_HUMAN_.pdf")</f>
        <v>Melting_Curves/meltCurve_tr_C9IZG4_C9IZG4_HUMAN_.pdf</v>
      </c>
      <c r="AA3141" t="s">
        <v>13983</v>
      </c>
      <c r="AB3141" t="s">
        <v>17561</v>
      </c>
    </row>
    <row r="3142" spans="1:28" x14ac:dyDescent="0.25">
      <c r="A3142" t="s">
        <v>3146</v>
      </c>
      <c r="B3142">
        <v>0.98018197421672304</v>
      </c>
      <c r="C3142">
        <v>0.92497719000016299</v>
      </c>
      <c r="D3142">
        <v>0.85860901746003104</v>
      </c>
      <c r="E3142">
        <v>0.72261476324218898</v>
      </c>
      <c r="F3142">
        <v>0.53682040650418805</v>
      </c>
      <c r="G3142">
        <v>0.34543855251221101</v>
      </c>
      <c r="H3142">
        <v>0.25036500864240602</v>
      </c>
      <c r="I3142">
        <v>0.16838184894039601</v>
      </c>
      <c r="J3142">
        <v>0.130628221745616</v>
      </c>
      <c r="K3142">
        <v>0.105628590528204</v>
      </c>
      <c r="L3142">
        <v>595.19487156156299</v>
      </c>
      <c r="M3142">
        <v>11.1257386936313</v>
      </c>
      <c r="N3142">
        <v>53.896837183961999</v>
      </c>
      <c r="O3142">
        <v>51.856047826646801</v>
      </c>
      <c r="P3142">
        <v>-5.1530138167302203E-2</v>
      </c>
      <c r="Q3142">
        <v>3.9601144556568997E-2</v>
      </c>
      <c r="R3142">
        <v>0.99854382586401802</v>
      </c>
      <c r="S3142" t="s">
        <v>6771</v>
      </c>
      <c r="T3142" t="s">
        <v>7256</v>
      </c>
      <c r="U3142" t="s">
        <v>7256</v>
      </c>
      <c r="V3142" t="s">
        <v>7256</v>
      </c>
      <c r="W3142">
        <v>9</v>
      </c>
      <c r="X3142" t="s">
        <v>10398</v>
      </c>
      <c r="Y3142">
        <v>0.49995095569810988</v>
      </c>
      <c r="Z3142" t="str">
        <f>HYPERLINK("Melting_Curves/meltCurve_tr_C9J050_C9J050_HUMAN_.pdf", "Melting_Curves/meltCurve_tr_C9J050_C9J050_HUMAN_.pdf")</f>
        <v>Melting_Curves/meltCurve_tr_C9J050_C9J050_HUMAN_.pdf</v>
      </c>
      <c r="AA3142" t="s">
        <v>13984</v>
      </c>
      <c r="AB3142" t="s">
        <v>17562</v>
      </c>
    </row>
    <row r="3143" spans="1:28" x14ac:dyDescent="0.25">
      <c r="A3143" t="s">
        <v>3147</v>
      </c>
      <c r="B3143">
        <v>0.98018197421672304</v>
      </c>
      <c r="C3143">
        <v>0.92347203599550498</v>
      </c>
      <c r="D3143">
        <v>0.92886551393454797</v>
      </c>
      <c r="E3143">
        <v>0.807185724298351</v>
      </c>
      <c r="F3143">
        <v>0.67995823646016595</v>
      </c>
      <c r="G3143">
        <v>0.34728709051979401</v>
      </c>
      <c r="H3143">
        <v>0.146673853397777</v>
      </c>
      <c r="I3143">
        <v>0.106438979139433</v>
      </c>
      <c r="J3143">
        <v>8.9647737053320201E-2</v>
      </c>
      <c r="K3143">
        <v>7.5252743420500007E-2</v>
      </c>
      <c r="L3143">
        <v>903.54612225323206</v>
      </c>
      <c r="M3143">
        <v>16.547074389897301</v>
      </c>
      <c r="N3143">
        <v>54.839682892640603</v>
      </c>
      <c r="O3143">
        <v>53.825764943149402</v>
      </c>
      <c r="P3143">
        <v>-7.4228402737371496E-2</v>
      </c>
      <c r="Q3143">
        <v>3.42399063209528E-2</v>
      </c>
      <c r="R3143">
        <v>0.99309530308023797</v>
      </c>
      <c r="S3143" t="s">
        <v>6772</v>
      </c>
      <c r="T3143" t="s">
        <v>7256</v>
      </c>
      <c r="U3143" t="s">
        <v>7256</v>
      </c>
      <c r="V3143" t="s">
        <v>7256</v>
      </c>
      <c r="W3143">
        <v>7</v>
      </c>
      <c r="X3143" t="s">
        <v>10399</v>
      </c>
      <c r="Y3143">
        <v>0.52137255098608803</v>
      </c>
      <c r="Z3143" t="str">
        <f>HYPERLINK("Melting_Curves/meltCurve_tr_C9J0K6_C9J0K6_HUMAN_.pdf", "Melting_Curves/meltCurve_tr_C9J0K6_C9J0K6_HUMAN_.pdf")</f>
        <v>Melting_Curves/meltCurve_tr_C9J0K6_C9J0K6_HUMAN_.pdf</v>
      </c>
      <c r="AA3143" t="s">
        <v>13985</v>
      </c>
      <c r="AB3143" t="s">
        <v>17563</v>
      </c>
    </row>
    <row r="3144" spans="1:28" x14ac:dyDescent="0.25">
      <c r="A3144" t="s">
        <v>3148</v>
      </c>
      <c r="B3144">
        <v>0.98018197421672304</v>
      </c>
      <c r="C3144">
        <v>0.710399562879513</v>
      </c>
      <c r="D3144">
        <v>0.630287324077485</v>
      </c>
      <c r="E3144">
        <v>0.34174486832939399</v>
      </c>
      <c r="F3144">
        <v>0.23907245246843001</v>
      </c>
      <c r="G3144">
        <v>0.17449027406916801</v>
      </c>
      <c r="H3144">
        <v>7.6275624963190999E-2</v>
      </c>
      <c r="I3144">
        <v>5.3836247124780599E-2</v>
      </c>
      <c r="J3144">
        <v>7.6437379099894995E-2</v>
      </c>
      <c r="K3144">
        <v>4.3243818567286901E-2</v>
      </c>
      <c r="L3144">
        <v>580.60527221651398</v>
      </c>
      <c r="M3144">
        <v>12.287212359512999</v>
      </c>
      <c r="N3144">
        <v>47.531955056445199</v>
      </c>
      <c r="O3144">
        <v>46.053491570976199</v>
      </c>
      <c r="P3144">
        <v>-6.4393239441276007E-2</v>
      </c>
      <c r="Q3144">
        <v>3.4807525314665702E-2</v>
      </c>
      <c r="R3144">
        <v>0.98513233565078695</v>
      </c>
      <c r="S3144" t="s">
        <v>6773</v>
      </c>
      <c r="T3144" t="s">
        <v>7256</v>
      </c>
      <c r="U3144" t="s">
        <v>7256</v>
      </c>
      <c r="V3144" t="s">
        <v>7256</v>
      </c>
      <c r="W3144">
        <v>4</v>
      </c>
      <c r="X3144" t="s">
        <v>10400</v>
      </c>
      <c r="Y3144">
        <v>0.30624047036975971</v>
      </c>
      <c r="Z3144" t="str">
        <f>HYPERLINK("Melting_Curves/meltCurve_tr_C9J1Z8_C9J1Z8_HUMAN_.pdf", "Melting_Curves/meltCurve_tr_C9J1Z8_C9J1Z8_HUMAN_.pdf")</f>
        <v>Melting_Curves/meltCurve_tr_C9J1Z8_C9J1Z8_HUMAN_.pdf</v>
      </c>
      <c r="AA3144" t="s">
        <v>13986</v>
      </c>
      <c r="AB3144" t="s">
        <v>17564</v>
      </c>
    </row>
    <row r="3145" spans="1:28" x14ac:dyDescent="0.25">
      <c r="A3145" t="s">
        <v>3149</v>
      </c>
      <c r="B3145">
        <v>0.98018197421672304</v>
      </c>
      <c r="C3145">
        <v>0.83590631272291305</v>
      </c>
      <c r="D3145">
        <v>0.77660656732274203</v>
      </c>
      <c r="E3145">
        <v>0.59883672606469696</v>
      </c>
      <c r="F3145">
        <v>0.392229041121751</v>
      </c>
      <c r="G3145">
        <v>0.221223716256058</v>
      </c>
      <c r="H3145">
        <v>8.5937252200903397E-2</v>
      </c>
      <c r="I3145">
        <v>8.1769873259537398E-2</v>
      </c>
      <c r="J3145">
        <v>8.0436616638650801E-2</v>
      </c>
      <c r="K3145">
        <v>0.106866653371796</v>
      </c>
      <c r="L3145">
        <v>605.172019666908</v>
      </c>
      <c r="M3145">
        <v>11.9280578662491</v>
      </c>
      <c r="N3145">
        <v>50.933712744851597</v>
      </c>
      <c r="O3145">
        <v>49.372233774280502</v>
      </c>
      <c r="P3145">
        <v>-5.9041157758603698E-2</v>
      </c>
      <c r="Q3145">
        <v>2.2716178417795801E-2</v>
      </c>
      <c r="R3145">
        <v>0.98925373802549599</v>
      </c>
      <c r="S3145" t="s">
        <v>6774</v>
      </c>
      <c r="T3145" t="s">
        <v>7256</v>
      </c>
      <c r="U3145" t="s">
        <v>7256</v>
      </c>
      <c r="V3145" t="s">
        <v>7256</v>
      </c>
      <c r="W3145">
        <v>2</v>
      </c>
      <c r="X3145" t="s">
        <v>10401</v>
      </c>
      <c r="Y3145">
        <v>0.4051005710767156</v>
      </c>
      <c r="Z3145" t="str">
        <f>HYPERLINK("Melting_Curves/meltCurve_tr_C9J212_C9J212_HUMAN_.pdf", "Melting_Curves/meltCurve_tr_C9J212_C9J212_HUMAN_.pdf")</f>
        <v>Melting_Curves/meltCurve_tr_C9J212_C9J212_HUMAN_.pdf</v>
      </c>
      <c r="AA3145" t="s">
        <v>13987</v>
      </c>
      <c r="AB3145" t="s">
        <v>17565</v>
      </c>
    </row>
    <row r="3146" spans="1:28" x14ac:dyDescent="0.25">
      <c r="A3146" t="s">
        <v>3150</v>
      </c>
      <c r="B3146">
        <v>0.98018197421672304</v>
      </c>
      <c r="C3146">
        <v>1.01031869499121</v>
      </c>
      <c r="D3146">
        <v>0.91122380829557903</v>
      </c>
      <c r="E3146">
        <v>0.78010908104816201</v>
      </c>
      <c r="F3146">
        <v>0.49131766462502402</v>
      </c>
      <c r="G3146">
        <v>0.149170300555242</v>
      </c>
      <c r="H3146">
        <v>8.5370269827533304E-2</v>
      </c>
      <c r="I3146">
        <v>7.4222473192350896E-2</v>
      </c>
      <c r="J3146">
        <v>8.5837932658233904E-2</v>
      </c>
      <c r="K3146">
        <v>5.4409565991002599E-2</v>
      </c>
      <c r="L3146">
        <v>1248.2388791901501</v>
      </c>
      <c r="M3146">
        <v>23.793447312505101</v>
      </c>
      <c r="N3146">
        <v>52.731212077226303</v>
      </c>
      <c r="O3146">
        <v>52.095093712386102</v>
      </c>
      <c r="P3146">
        <v>-0.107642171444465</v>
      </c>
      <c r="Q3146">
        <v>5.72972158815463E-2</v>
      </c>
      <c r="R3146">
        <v>0.99632746837723296</v>
      </c>
      <c r="S3146" t="s">
        <v>6775</v>
      </c>
      <c r="T3146" t="s">
        <v>7256</v>
      </c>
      <c r="U3146" t="s">
        <v>7256</v>
      </c>
      <c r="V3146" t="s">
        <v>7256</v>
      </c>
      <c r="W3146">
        <v>3</v>
      </c>
      <c r="X3146" t="s">
        <v>10402</v>
      </c>
      <c r="Y3146">
        <v>0.45836890191672258</v>
      </c>
      <c r="Z3146" t="str">
        <f>HYPERLINK("Melting_Curves/meltCurve_tr_C9J5D1_C9J5D1_HUMAN_.pdf", "Melting_Curves/meltCurve_tr_C9J5D1_C9J5D1_HUMAN_.pdf")</f>
        <v>Melting_Curves/meltCurve_tr_C9J5D1_C9J5D1_HUMAN_.pdf</v>
      </c>
      <c r="AA3146" t="s">
        <v>13988</v>
      </c>
      <c r="AB3146" t="s">
        <v>17566</v>
      </c>
    </row>
    <row r="3147" spans="1:28" x14ac:dyDescent="0.25">
      <c r="A3147" t="s">
        <v>3151</v>
      </c>
      <c r="B3147">
        <v>0.98018197421672304</v>
      </c>
      <c r="C3147">
        <v>0.89783500173099595</v>
      </c>
      <c r="D3147">
        <v>0.67965947988565401</v>
      </c>
      <c r="E3147">
        <v>0.344476106113483</v>
      </c>
      <c r="F3147">
        <v>0.179815228723222</v>
      </c>
      <c r="G3147">
        <v>0.17415293282767799</v>
      </c>
      <c r="H3147">
        <v>8.2174182813976995E-2</v>
      </c>
      <c r="I3147">
        <v>8.61709286588066E-2</v>
      </c>
      <c r="J3147">
        <v>0.11257131388682901</v>
      </c>
      <c r="K3147">
        <v>0</v>
      </c>
      <c r="L3147">
        <v>861.00703668381402</v>
      </c>
      <c r="M3147">
        <v>18.067239774287302</v>
      </c>
      <c r="N3147">
        <v>48.059498501553797</v>
      </c>
      <c r="O3147">
        <v>47.083388734421199</v>
      </c>
      <c r="P3147">
        <v>-8.9180921001813199E-2</v>
      </c>
      <c r="Q3147">
        <v>7.0420129987403601E-2</v>
      </c>
      <c r="R3147">
        <v>0.99092026059560601</v>
      </c>
      <c r="S3147" t="s">
        <v>6776</v>
      </c>
      <c r="T3147" t="s">
        <v>7256</v>
      </c>
      <c r="U3147" t="s">
        <v>7256</v>
      </c>
      <c r="V3147" t="s">
        <v>7256</v>
      </c>
      <c r="W3147">
        <v>1</v>
      </c>
      <c r="X3147" t="s">
        <v>10403</v>
      </c>
      <c r="Y3147">
        <v>0.32419023165122718</v>
      </c>
      <c r="Z3147" t="str">
        <f>HYPERLINK("Melting_Curves/meltCurve_tr_C9J5S3_C9J5S3_HUMAN_.pdf", "Melting_Curves/meltCurve_tr_C9J5S3_C9J5S3_HUMAN_.pdf")</f>
        <v>Melting_Curves/meltCurve_tr_C9J5S3_C9J5S3_HUMAN_.pdf</v>
      </c>
      <c r="AA3147" t="s">
        <v>13989</v>
      </c>
      <c r="AB3147" t="s">
        <v>17567</v>
      </c>
    </row>
    <row r="3148" spans="1:28" x14ac:dyDescent="0.25">
      <c r="A3148" t="s">
        <v>3152</v>
      </c>
      <c r="B3148">
        <v>0.98018197421672304</v>
      </c>
      <c r="C3148">
        <v>0.94914075488413696</v>
      </c>
      <c r="D3148">
        <v>0.74589871669555896</v>
      </c>
      <c r="E3148">
        <v>0.37232907138472798</v>
      </c>
      <c r="F3148">
        <v>0.20612366818241201</v>
      </c>
      <c r="G3148">
        <v>0.152873099653202</v>
      </c>
      <c r="H3148">
        <v>7.8226708029907097E-2</v>
      </c>
      <c r="I3148">
        <v>6.74219381150966E-2</v>
      </c>
      <c r="J3148">
        <v>6.3991488193731599E-2</v>
      </c>
      <c r="K3148">
        <v>6.0701099482804E-2</v>
      </c>
      <c r="L3148">
        <v>956.73931745318203</v>
      </c>
      <c r="M3148">
        <v>19.806795816597798</v>
      </c>
      <c r="N3148">
        <v>48.667349486214903</v>
      </c>
      <c r="O3148">
        <v>47.819294004371898</v>
      </c>
      <c r="P3148">
        <v>-9.6428862022254799E-2</v>
      </c>
      <c r="Q3148">
        <v>6.8803656075235101E-2</v>
      </c>
      <c r="R3148">
        <v>0.99805832607424505</v>
      </c>
      <c r="S3148" t="s">
        <v>6777</v>
      </c>
      <c r="T3148" t="s">
        <v>7256</v>
      </c>
      <c r="U3148" t="s">
        <v>7256</v>
      </c>
      <c r="V3148" t="s">
        <v>7256</v>
      </c>
      <c r="W3148">
        <v>6</v>
      </c>
      <c r="X3148" t="s">
        <v>10404</v>
      </c>
      <c r="Y3148">
        <v>0.33997537832302283</v>
      </c>
      <c r="Z3148" t="str">
        <f>HYPERLINK("Melting_Curves/meltCurve_tr_C9J9K3_C9J9K3_HUMAN_.pdf", "Melting_Curves/meltCurve_tr_C9J9K3_C9J9K3_HUMAN_.pdf")</f>
        <v>Melting_Curves/meltCurve_tr_C9J9K3_C9J9K3_HUMAN_.pdf</v>
      </c>
      <c r="AA3148" t="s">
        <v>13990</v>
      </c>
      <c r="AB3148" t="s">
        <v>17568</v>
      </c>
    </row>
    <row r="3149" spans="1:28" x14ac:dyDescent="0.25">
      <c r="A3149" t="s">
        <v>3153</v>
      </c>
      <c r="B3149">
        <v>0.98018197421672304</v>
      </c>
      <c r="C3149">
        <v>0.96720387262549001</v>
      </c>
      <c r="D3149">
        <v>0.93859612327358499</v>
      </c>
      <c r="E3149">
        <v>0.78356894729084403</v>
      </c>
      <c r="F3149">
        <v>0.79104883519996805</v>
      </c>
      <c r="G3149">
        <v>0.63552767390084197</v>
      </c>
      <c r="H3149">
        <v>0.447215199855446</v>
      </c>
      <c r="I3149">
        <v>0.49376867874292302</v>
      </c>
      <c r="J3149">
        <v>0.42724062459781098</v>
      </c>
      <c r="K3149">
        <v>0.66496091426040704</v>
      </c>
      <c r="L3149">
        <v>801.61117245692196</v>
      </c>
      <c r="M3149">
        <v>15.3334383039507</v>
      </c>
      <c r="O3149">
        <v>51.413637890435702</v>
      </c>
      <c r="P3149">
        <v>-3.7620176479032298E-2</v>
      </c>
      <c r="Q3149">
        <v>0.49547887102362798</v>
      </c>
      <c r="R3149">
        <v>0.87230235330462502</v>
      </c>
      <c r="S3149" t="s">
        <v>6778</v>
      </c>
      <c r="T3149" t="s">
        <v>7256</v>
      </c>
      <c r="U3149" t="s">
        <v>7256</v>
      </c>
      <c r="V3149" t="s">
        <v>7256</v>
      </c>
      <c r="W3149">
        <v>8</v>
      </c>
      <c r="X3149" t="s">
        <v>10405</v>
      </c>
      <c r="Y3149">
        <v>0.71277786861261017</v>
      </c>
      <c r="Z3149" t="str">
        <f>HYPERLINK("Melting_Curves/meltCurve_tr_C9JAX1_C9JAX1_HUMAN_.pdf", "Melting_Curves/meltCurve_tr_C9JAX1_C9JAX1_HUMAN_.pdf")</f>
        <v>Melting_Curves/meltCurve_tr_C9JAX1_C9JAX1_HUMAN_.pdf</v>
      </c>
      <c r="AA3149" t="s">
        <v>13991</v>
      </c>
      <c r="AB3149" t="s">
        <v>17569</v>
      </c>
    </row>
    <row r="3150" spans="1:28" x14ac:dyDescent="0.25">
      <c r="A3150" t="s">
        <v>3154</v>
      </c>
      <c r="B3150">
        <v>0.98018197421672304</v>
      </c>
      <c r="C3150">
        <v>0.89344530915203901</v>
      </c>
      <c r="D3150">
        <v>0.81404519614144999</v>
      </c>
      <c r="E3150">
        <v>0.71968279658967604</v>
      </c>
      <c r="F3150">
        <v>0.57619651319746001</v>
      </c>
      <c r="G3150">
        <v>0.46653608331830199</v>
      </c>
      <c r="H3150">
        <v>0.376361342245427</v>
      </c>
      <c r="I3150">
        <v>0.39247550385235702</v>
      </c>
      <c r="J3150">
        <v>0.36819271311128199</v>
      </c>
      <c r="K3150">
        <v>0.42249274898435202</v>
      </c>
      <c r="L3150">
        <v>591.53986892780597</v>
      </c>
      <c r="M3150">
        <v>11.806967211308701</v>
      </c>
      <c r="N3150">
        <v>55.793581572220198</v>
      </c>
      <c r="O3150">
        <v>48.7285266710633</v>
      </c>
      <c r="P3150">
        <v>-3.9377623907660697E-2</v>
      </c>
      <c r="Q3150">
        <v>0.35010549017621201</v>
      </c>
      <c r="R3150">
        <v>0.98428135053111199</v>
      </c>
      <c r="S3150" t="s">
        <v>6779</v>
      </c>
      <c r="T3150" t="s">
        <v>7256</v>
      </c>
      <c r="U3150" t="s">
        <v>7256</v>
      </c>
      <c r="V3150" t="s">
        <v>7256</v>
      </c>
      <c r="W3150">
        <v>5</v>
      </c>
      <c r="X3150" t="s">
        <v>10406</v>
      </c>
      <c r="Y3150">
        <v>0.59185245700836153</v>
      </c>
      <c r="Z3150" t="str">
        <f>HYPERLINK("Melting_Curves/meltCurve_tr_C9JB55_C9JB55_HUMAN_.pdf", "Melting_Curves/meltCurve_tr_C9JB55_C9JB55_HUMAN_.pdf")</f>
        <v>Melting_Curves/meltCurve_tr_C9JB55_C9JB55_HUMAN_.pdf</v>
      </c>
      <c r="AA3150" t="s">
        <v>13992</v>
      </c>
      <c r="AB3150" t="s">
        <v>17570</v>
      </c>
    </row>
    <row r="3151" spans="1:28" x14ac:dyDescent="0.25">
      <c r="A3151" t="s">
        <v>3155</v>
      </c>
      <c r="B3151">
        <v>0.98018197421672304</v>
      </c>
      <c r="C3151">
        <v>0.92385771267928296</v>
      </c>
      <c r="D3151">
        <v>0.93945274477317597</v>
      </c>
      <c r="E3151">
        <v>0.86173345928044398</v>
      </c>
      <c r="F3151">
        <v>0.75381766611405299</v>
      </c>
      <c r="G3151">
        <v>0.63455918184946902</v>
      </c>
      <c r="H3151">
        <v>0.45068649252232001</v>
      </c>
      <c r="I3151">
        <v>0.35456282633689301</v>
      </c>
      <c r="J3151">
        <v>0.208370000013404</v>
      </c>
      <c r="K3151">
        <v>0.119459678249405</v>
      </c>
      <c r="L3151">
        <v>613.42467778269997</v>
      </c>
      <c r="M3151">
        <v>10.334271413018</v>
      </c>
      <c r="N3151">
        <v>59.358271920168598</v>
      </c>
      <c r="O3151">
        <v>57.264585679497799</v>
      </c>
      <c r="P3151">
        <v>-4.5135676807010403E-2</v>
      </c>
      <c r="Q3151">
        <v>0</v>
      </c>
      <c r="R3151">
        <v>0.98897428222959205</v>
      </c>
      <c r="S3151" t="s">
        <v>6780</v>
      </c>
      <c r="T3151" t="s">
        <v>7256</v>
      </c>
      <c r="U3151" t="s">
        <v>7256</v>
      </c>
      <c r="V3151" t="s">
        <v>7256</v>
      </c>
      <c r="W3151">
        <v>3</v>
      </c>
      <c r="X3151" t="s">
        <v>10407</v>
      </c>
      <c r="Y3151">
        <v>0.64719923248008604</v>
      </c>
      <c r="Z3151" t="str">
        <f>HYPERLINK("Melting_Curves/meltCurve_tr_C9JBI3_C9JBI3_HUMAN_.pdf", "Melting_Curves/meltCurve_tr_C9JBI3_C9JBI3_HUMAN_.pdf")</f>
        <v>Melting_Curves/meltCurve_tr_C9JBI3_C9JBI3_HUMAN_.pdf</v>
      </c>
      <c r="AA3151" t="s">
        <v>13993</v>
      </c>
      <c r="AB3151" t="s">
        <v>17571</v>
      </c>
    </row>
    <row r="3152" spans="1:28" x14ac:dyDescent="0.25">
      <c r="A3152" t="s">
        <v>3156</v>
      </c>
      <c r="B3152">
        <v>0.98018197421672304</v>
      </c>
      <c r="C3152">
        <v>0.99411234630295298</v>
      </c>
      <c r="D3152">
        <v>0.83263184263214796</v>
      </c>
      <c r="E3152">
        <v>0.65015510638616703</v>
      </c>
      <c r="F3152">
        <v>0.46778586895885699</v>
      </c>
      <c r="G3152">
        <v>0.335929253839445</v>
      </c>
      <c r="H3152">
        <v>0.19964789621856499</v>
      </c>
      <c r="I3152">
        <v>0.17098608710772301</v>
      </c>
      <c r="J3152">
        <v>0.16219074455914001</v>
      </c>
      <c r="K3152">
        <v>0.15240704803967001</v>
      </c>
      <c r="L3152">
        <v>709.26049234866798</v>
      </c>
      <c r="M3152">
        <v>13.781028849919499</v>
      </c>
      <c r="N3152">
        <v>52.566352975691899</v>
      </c>
      <c r="O3152">
        <v>50.419033750547499</v>
      </c>
      <c r="P3152">
        <v>-5.9782057198925397E-2</v>
      </c>
      <c r="Q3152">
        <v>0.12525265016481399</v>
      </c>
      <c r="R3152">
        <v>0.99615733968589204</v>
      </c>
      <c r="S3152" t="s">
        <v>6781</v>
      </c>
      <c r="T3152" t="s">
        <v>7256</v>
      </c>
      <c r="U3152" t="s">
        <v>7256</v>
      </c>
      <c r="V3152" t="s">
        <v>7256</v>
      </c>
      <c r="W3152">
        <v>1</v>
      </c>
      <c r="X3152" t="s">
        <v>10408</v>
      </c>
      <c r="Y3152">
        <v>0.48230797479582038</v>
      </c>
      <c r="Z3152" t="str">
        <f>HYPERLINK("Melting_Curves/meltCurve_tr_C9JBJ6_C9JBJ6_HUMAN_.pdf", "Melting_Curves/meltCurve_tr_C9JBJ6_C9JBJ6_HUMAN_.pdf")</f>
        <v>Melting_Curves/meltCurve_tr_C9JBJ6_C9JBJ6_HUMAN_.pdf</v>
      </c>
      <c r="AA3152" t="s">
        <v>13994</v>
      </c>
      <c r="AB3152" t="s">
        <v>17572</v>
      </c>
    </row>
    <row r="3153" spans="1:28" x14ac:dyDescent="0.25">
      <c r="A3153" t="s">
        <v>3157</v>
      </c>
      <c r="B3153">
        <v>0.98018197421672304</v>
      </c>
      <c r="C3153">
        <v>0.96662789177303898</v>
      </c>
      <c r="D3153">
        <v>0.85475448146965005</v>
      </c>
      <c r="E3153">
        <v>0.39308050494114999</v>
      </c>
      <c r="F3153">
        <v>0.198822881588474</v>
      </c>
      <c r="G3153">
        <v>0.142889106520208</v>
      </c>
      <c r="H3153">
        <v>8.2872917193602805E-2</v>
      </c>
      <c r="I3153">
        <v>8.0014268930311994E-2</v>
      </c>
      <c r="J3153">
        <v>6.71940739539761E-2</v>
      </c>
      <c r="K3153">
        <v>4.3863520054695702E-2</v>
      </c>
      <c r="L3153">
        <v>1211.5272515218501</v>
      </c>
      <c r="M3153">
        <v>24.792019493424601</v>
      </c>
      <c r="N3153">
        <v>49.190905441821599</v>
      </c>
      <c r="O3153">
        <v>48.553015672040701</v>
      </c>
      <c r="P3153">
        <v>-0.118059717141793</v>
      </c>
      <c r="Q3153">
        <v>7.5174077467571598E-2</v>
      </c>
      <c r="R3153">
        <v>0.99731635802335405</v>
      </c>
      <c r="S3153" t="s">
        <v>6782</v>
      </c>
      <c r="T3153" t="s">
        <v>7256</v>
      </c>
      <c r="U3153" t="s">
        <v>7256</v>
      </c>
      <c r="V3153" t="s">
        <v>7256</v>
      </c>
      <c r="W3153">
        <v>1</v>
      </c>
      <c r="X3153" t="s">
        <v>10409</v>
      </c>
      <c r="Y3153">
        <v>0.35687269581888259</v>
      </c>
      <c r="Z3153" t="str">
        <f>HYPERLINK("Melting_Curves/meltCurve_tr_C9JBY7_C9JBY7_HUMAN_.pdf", "Melting_Curves/meltCurve_tr_C9JBY7_C9JBY7_HUMAN_.pdf")</f>
        <v>Melting_Curves/meltCurve_tr_C9JBY7_C9JBY7_HUMAN_.pdf</v>
      </c>
      <c r="AA3153" t="s">
        <v>13995</v>
      </c>
      <c r="AB3153" t="s">
        <v>17573</v>
      </c>
    </row>
    <row r="3154" spans="1:28" x14ac:dyDescent="0.25">
      <c r="A3154" t="s">
        <v>3158</v>
      </c>
      <c r="B3154">
        <v>0.98018197421672304</v>
      </c>
      <c r="C3154">
        <v>0.94598245780680201</v>
      </c>
      <c r="D3154">
        <v>0.911727728607165</v>
      </c>
      <c r="E3154">
        <v>0.86512968517426903</v>
      </c>
      <c r="F3154">
        <v>0.44447405643434101</v>
      </c>
      <c r="G3154">
        <v>0.16828247643314101</v>
      </c>
      <c r="H3154">
        <v>0.118055368838326</v>
      </c>
      <c r="I3154">
        <v>6.8624402876006796E-2</v>
      </c>
      <c r="J3154">
        <v>0.54125498476036504</v>
      </c>
      <c r="K3154">
        <v>8.42282074386239E-2</v>
      </c>
      <c r="L3154">
        <v>2201.6653131490998</v>
      </c>
      <c r="M3154">
        <v>42.391731895932899</v>
      </c>
      <c r="N3154">
        <v>52.542590767666397</v>
      </c>
      <c r="O3154">
        <v>51.821021272726902</v>
      </c>
      <c r="P3154">
        <v>-0.16494706080962801</v>
      </c>
      <c r="Q3154">
        <v>0.193454889377661</v>
      </c>
      <c r="R3154">
        <v>0.87638654439407404</v>
      </c>
      <c r="S3154" t="s">
        <v>6783</v>
      </c>
      <c r="T3154" t="s">
        <v>7256</v>
      </c>
      <c r="U3154" t="s">
        <v>7256</v>
      </c>
      <c r="V3154" t="s">
        <v>7256</v>
      </c>
      <c r="W3154">
        <v>1</v>
      </c>
      <c r="X3154" t="s">
        <v>10410</v>
      </c>
      <c r="Y3154">
        <v>0.51693270843446559</v>
      </c>
      <c r="Z3154" t="str">
        <f>HYPERLINK("Melting_Curves/meltCurve_tr_C9JCD9_C9JCD9_HUMAN_.pdf", "Melting_Curves/meltCurve_tr_C9JCD9_C9JCD9_HUMAN_.pdf")</f>
        <v>Melting_Curves/meltCurve_tr_C9JCD9_C9JCD9_HUMAN_.pdf</v>
      </c>
      <c r="AA3154" t="s">
        <v>13996</v>
      </c>
      <c r="AB3154" t="s">
        <v>17574</v>
      </c>
    </row>
    <row r="3155" spans="1:28" x14ac:dyDescent="0.25">
      <c r="A3155" t="s">
        <v>3159</v>
      </c>
      <c r="B3155">
        <v>0.98018197421672304</v>
      </c>
      <c r="C3155">
        <v>0.77182593272649302</v>
      </c>
      <c r="D3155">
        <v>0.65611310537075895</v>
      </c>
      <c r="E3155">
        <v>0.63820547441417996</v>
      </c>
      <c r="F3155">
        <v>0.49961123136816998</v>
      </c>
      <c r="G3155">
        <v>0.27839259193187699</v>
      </c>
      <c r="H3155">
        <v>0.153908710649971</v>
      </c>
      <c r="I3155">
        <v>7.0578250797249206E-2</v>
      </c>
      <c r="J3155">
        <v>8.0145933525194293E-2</v>
      </c>
      <c r="K3155">
        <v>7.0290957461357106E-2</v>
      </c>
      <c r="L3155">
        <v>471.631881640676</v>
      </c>
      <c r="M3155">
        <v>9.2094761153161606</v>
      </c>
      <c r="N3155">
        <v>51.211573750268897</v>
      </c>
      <c r="O3155">
        <v>48.970528784497702</v>
      </c>
      <c r="P3155">
        <v>-4.7046698774024301E-2</v>
      </c>
      <c r="Q3155">
        <v>0</v>
      </c>
      <c r="R3155">
        <v>0.96459285308534404</v>
      </c>
      <c r="S3155" t="s">
        <v>6784</v>
      </c>
      <c r="T3155" t="s">
        <v>7256</v>
      </c>
      <c r="U3155" t="s">
        <v>7256</v>
      </c>
      <c r="V3155" t="s">
        <v>7256</v>
      </c>
      <c r="W3155">
        <v>22</v>
      </c>
      <c r="X3155" t="s">
        <v>10411</v>
      </c>
      <c r="Y3155">
        <v>0.41864874103778071</v>
      </c>
      <c r="Z3155" t="str">
        <f>HYPERLINK("Melting_Curves/meltCurve_tr_C9JDE9_C9JDE9_HUMAN_.pdf", "Melting_Curves/meltCurve_tr_C9JDE9_C9JDE9_HUMAN_.pdf")</f>
        <v>Melting_Curves/meltCurve_tr_C9JDE9_C9JDE9_HUMAN_.pdf</v>
      </c>
      <c r="AA3155" t="s">
        <v>11384</v>
      </c>
      <c r="AB3155" t="s">
        <v>14938</v>
      </c>
    </row>
    <row r="3156" spans="1:28" x14ac:dyDescent="0.25">
      <c r="A3156" t="s">
        <v>3160</v>
      </c>
      <c r="B3156">
        <v>0.98018197421672304</v>
      </c>
      <c r="C3156">
        <v>1.25373831278107</v>
      </c>
      <c r="D3156">
        <v>1.0762140358794801</v>
      </c>
      <c r="E3156">
        <v>0.71875451925149803</v>
      </c>
      <c r="F3156">
        <v>0.34628224554505999</v>
      </c>
      <c r="G3156">
        <v>0.13153660300666001</v>
      </c>
      <c r="H3156">
        <v>8.6055857677754005E-2</v>
      </c>
      <c r="I3156">
        <v>5.9522071460779702E-2</v>
      </c>
      <c r="J3156">
        <v>2.90057773633535E-2</v>
      </c>
      <c r="K3156">
        <v>0.10652197677023301</v>
      </c>
      <c r="L3156">
        <v>1681.5283311998101</v>
      </c>
      <c r="M3156">
        <v>32.661693239557898</v>
      </c>
      <c r="N3156">
        <v>51.736472224963897</v>
      </c>
      <c r="O3156">
        <v>51.291351403717997</v>
      </c>
      <c r="P3156">
        <v>-0.14743549596996799</v>
      </c>
      <c r="Q3156">
        <v>7.3883788889713295E-2</v>
      </c>
      <c r="R3156">
        <v>0.96190711406976503</v>
      </c>
      <c r="S3156" t="s">
        <v>6785</v>
      </c>
      <c r="T3156" t="s">
        <v>7256</v>
      </c>
      <c r="U3156" t="s">
        <v>7256</v>
      </c>
      <c r="V3156" t="s">
        <v>7256</v>
      </c>
      <c r="W3156">
        <v>2</v>
      </c>
      <c r="X3156" t="s">
        <v>10412</v>
      </c>
      <c r="Y3156">
        <v>0.43332791482668909</v>
      </c>
      <c r="Z3156" t="str">
        <f>HYPERLINK("Melting_Curves/meltCurve_tr_C9JEL3_C9JEL3_HUMAN_.pdf", "Melting_Curves/meltCurve_tr_C9JEL3_C9JEL3_HUMAN_.pdf")</f>
        <v>Melting_Curves/meltCurve_tr_C9JEL3_C9JEL3_HUMAN_.pdf</v>
      </c>
      <c r="AA3156" t="s">
        <v>13997</v>
      </c>
      <c r="AB3156" t="s">
        <v>17575</v>
      </c>
    </row>
    <row r="3157" spans="1:28" x14ac:dyDescent="0.25">
      <c r="A3157" t="s">
        <v>3161</v>
      </c>
      <c r="B3157">
        <v>0.98018197421672304</v>
      </c>
      <c r="C3157">
        <v>0.965293846933585</v>
      </c>
      <c r="D3157">
        <v>0.85541186532359703</v>
      </c>
      <c r="E3157">
        <v>0.76882941635830504</v>
      </c>
      <c r="F3157">
        <v>0.63290530931279998</v>
      </c>
      <c r="G3157">
        <v>0.21340143403673201</v>
      </c>
      <c r="H3157">
        <v>5.7238450151624598E-2</v>
      </c>
      <c r="I3157">
        <v>4.0741004857654799E-2</v>
      </c>
      <c r="J3157">
        <v>3.8087940181999402E-2</v>
      </c>
      <c r="K3157">
        <v>3.04488275998787E-2</v>
      </c>
      <c r="L3157">
        <v>983.91496412776905</v>
      </c>
      <c r="M3157">
        <v>18.344334422219301</v>
      </c>
      <c r="N3157">
        <v>53.6359048932921</v>
      </c>
      <c r="O3157">
        <v>53.010694493777102</v>
      </c>
      <c r="P3157">
        <v>-8.6516363495951099E-2</v>
      </c>
      <c r="Q3157">
        <v>0</v>
      </c>
      <c r="R3157">
        <v>0.98651225064194503</v>
      </c>
      <c r="S3157" t="s">
        <v>6786</v>
      </c>
      <c r="T3157" t="s">
        <v>7256</v>
      </c>
      <c r="U3157" t="s">
        <v>7256</v>
      </c>
      <c r="V3157" t="s">
        <v>7256</v>
      </c>
      <c r="W3157">
        <v>14</v>
      </c>
      <c r="X3157" t="s">
        <v>10413</v>
      </c>
      <c r="Y3157">
        <v>0.47021719682972191</v>
      </c>
      <c r="Z3157" t="str">
        <f>HYPERLINK("Melting_Curves/meltCurve_tr_C9JFE4_C9JFE4_HUMAN_.pdf", "Melting_Curves/meltCurve_tr_C9JFE4_C9JFE4_HUMAN_.pdf")</f>
        <v>Melting_Curves/meltCurve_tr_C9JFE4_C9JFE4_HUMAN_.pdf</v>
      </c>
      <c r="AA3157" t="s">
        <v>13998</v>
      </c>
      <c r="AB3157" t="s">
        <v>17576</v>
      </c>
    </row>
    <row r="3158" spans="1:28" x14ac:dyDescent="0.25">
      <c r="A3158" t="s">
        <v>3162</v>
      </c>
      <c r="B3158">
        <v>0.98018197421672304</v>
      </c>
      <c r="C3158">
        <v>0.89891128641707896</v>
      </c>
      <c r="D3158">
        <v>0.71507416596973306</v>
      </c>
      <c r="E3158">
        <v>0.37372796460837199</v>
      </c>
      <c r="F3158">
        <v>0.18983113944044999</v>
      </c>
      <c r="G3158">
        <v>0.114662673780264</v>
      </c>
      <c r="H3158">
        <v>7.1229730539683997E-2</v>
      </c>
      <c r="I3158">
        <v>6.7514300565275395E-2</v>
      </c>
      <c r="J3158">
        <v>5.7222193682403999E-2</v>
      </c>
      <c r="K3158">
        <v>4.7179871847984903E-2</v>
      </c>
      <c r="L3158">
        <v>871.11671125127305</v>
      </c>
      <c r="M3158">
        <v>18.106163870990901</v>
      </c>
      <c r="N3158">
        <v>48.401978864163702</v>
      </c>
      <c r="O3158">
        <v>47.536250065137203</v>
      </c>
      <c r="P3158">
        <v>-9.0326307877501302E-2</v>
      </c>
      <c r="Q3158">
        <v>5.1468440672405802E-2</v>
      </c>
      <c r="R3158">
        <v>0.99967080423518895</v>
      </c>
      <c r="S3158" t="s">
        <v>6787</v>
      </c>
      <c r="T3158" t="s">
        <v>7256</v>
      </c>
      <c r="U3158" t="s">
        <v>7256</v>
      </c>
      <c r="V3158" t="s">
        <v>7256</v>
      </c>
      <c r="W3158">
        <v>4</v>
      </c>
      <c r="X3158" t="s">
        <v>10414</v>
      </c>
      <c r="Y3158">
        <v>0.32450921527117071</v>
      </c>
      <c r="Z3158" t="str">
        <f>HYPERLINK("Melting_Curves/meltCurve_tr_C9JG87_C9JG87_HUMAN_.pdf", "Melting_Curves/meltCurve_tr_C9JG87_C9JG87_HUMAN_.pdf")</f>
        <v>Melting_Curves/meltCurve_tr_C9JG87_C9JG87_HUMAN_.pdf</v>
      </c>
      <c r="AA3158" t="s">
        <v>13999</v>
      </c>
      <c r="AB3158" t="s">
        <v>17577</v>
      </c>
    </row>
    <row r="3159" spans="1:28" x14ac:dyDescent="0.25">
      <c r="A3159" t="s">
        <v>3163</v>
      </c>
      <c r="B3159">
        <v>0.98018197421672304</v>
      </c>
      <c r="C3159">
        <v>0.99480829968666795</v>
      </c>
      <c r="D3159">
        <v>0.86193671780359804</v>
      </c>
      <c r="E3159">
        <v>0.78689203329058799</v>
      </c>
      <c r="F3159">
        <v>0.69871999480504798</v>
      </c>
      <c r="G3159">
        <v>0.49747505709519102</v>
      </c>
      <c r="H3159">
        <v>0.17488287626482499</v>
      </c>
      <c r="I3159">
        <v>0.10241779138528501</v>
      </c>
      <c r="J3159">
        <v>0.147321928389546</v>
      </c>
      <c r="K3159">
        <v>7.6271827277140103E-2</v>
      </c>
      <c r="L3159">
        <v>721.51249172475298</v>
      </c>
      <c r="M3159">
        <v>12.941257181398599</v>
      </c>
      <c r="N3159">
        <v>55.752893269714797</v>
      </c>
      <c r="O3159">
        <v>54.471977684975997</v>
      </c>
      <c r="P3159">
        <v>-5.9404783418419302E-2</v>
      </c>
      <c r="Q3159">
        <v>0</v>
      </c>
      <c r="R3159">
        <v>0.98151810517316695</v>
      </c>
      <c r="S3159" t="s">
        <v>6788</v>
      </c>
      <c r="T3159" t="s">
        <v>7256</v>
      </c>
      <c r="U3159" t="s">
        <v>7256</v>
      </c>
      <c r="V3159" t="s">
        <v>7256</v>
      </c>
      <c r="W3159">
        <v>4</v>
      </c>
      <c r="X3159" t="s">
        <v>10415</v>
      </c>
      <c r="Y3159">
        <v>0.54542295291005771</v>
      </c>
      <c r="Z3159" t="str">
        <f>HYPERLINK("Melting_Curves/meltCurve_tr_C9JG97_C9JG97_HUMAN_.pdf", "Melting_Curves/meltCurve_tr_C9JG97_C9JG97_HUMAN_.pdf")</f>
        <v>Melting_Curves/meltCurve_tr_C9JG97_C9JG97_HUMAN_.pdf</v>
      </c>
      <c r="AA3159" t="s">
        <v>14000</v>
      </c>
      <c r="AB3159" t="s">
        <v>17578</v>
      </c>
    </row>
    <row r="3160" spans="1:28" x14ac:dyDescent="0.25">
      <c r="A3160" t="s">
        <v>3164</v>
      </c>
      <c r="B3160">
        <v>0.98018197421672304</v>
      </c>
      <c r="C3160">
        <v>0.93060752644303502</v>
      </c>
      <c r="D3160">
        <v>0.76991341937109203</v>
      </c>
      <c r="E3160">
        <v>0.300441734931645</v>
      </c>
      <c r="F3160">
        <v>0.193072872489499</v>
      </c>
      <c r="G3160">
        <v>0.11151423942133599</v>
      </c>
      <c r="H3160">
        <v>7.1537338703009198E-2</v>
      </c>
      <c r="I3160">
        <v>4.4731311058601501E-2</v>
      </c>
      <c r="J3160">
        <v>5.5777428699609499E-2</v>
      </c>
      <c r="K3160">
        <v>4.04233361422143E-2</v>
      </c>
      <c r="L3160">
        <v>1078.84670733241</v>
      </c>
      <c r="M3160">
        <v>22.447265862752399</v>
      </c>
      <c r="N3160">
        <v>48.327103179664</v>
      </c>
      <c r="O3160">
        <v>47.684827115975501</v>
      </c>
      <c r="P3160">
        <v>-0.110855187241203</v>
      </c>
      <c r="Q3160">
        <v>5.8058731182835603E-2</v>
      </c>
      <c r="R3160">
        <v>0.99679743196159598</v>
      </c>
      <c r="S3160" t="s">
        <v>6789</v>
      </c>
      <c r="T3160" t="s">
        <v>7256</v>
      </c>
      <c r="U3160" t="s">
        <v>7256</v>
      </c>
      <c r="V3160" t="s">
        <v>7256</v>
      </c>
      <c r="W3160">
        <v>4</v>
      </c>
      <c r="X3160" t="s">
        <v>10416</v>
      </c>
      <c r="Y3160">
        <v>0.32163473019589889</v>
      </c>
      <c r="Z3160" t="str">
        <f>HYPERLINK("Melting_Curves/meltCurve_tr_C9JGB2_C9JGB2_HUMAN_.pdf", "Melting_Curves/meltCurve_tr_C9JGB2_C9JGB2_HUMAN_.pdf")</f>
        <v>Melting_Curves/meltCurve_tr_C9JGB2_C9JGB2_HUMAN_.pdf</v>
      </c>
      <c r="AA3160" t="s">
        <v>14001</v>
      </c>
      <c r="AB3160" t="s">
        <v>17579</v>
      </c>
    </row>
    <row r="3161" spans="1:28" x14ac:dyDescent="0.25">
      <c r="A3161" t="s">
        <v>3165</v>
      </c>
      <c r="B3161">
        <v>0.98018197421672304</v>
      </c>
      <c r="C3161">
        <v>0.85472288188815504</v>
      </c>
      <c r="D3161">
        <v>0.66614162038743896</v>
      </c>
      <c r="E3161">
        <v>0.439620801096061</v>
      </c>
      <c r="F3161">
        <v>0.30224473939146701</v>
      </c>
      <c r="G3161">
        <v>0.123525055169565</v>
      </c>
      <c r="H3161">
        <v>0.122415650725358</v>
      </c>
      <c r="I3161">
        <v>7.6217875104986899E-2</v>
      </c>
      <c r="J3161">
        <v>6.3842099314589396E-2</v>
      </c>
      <c r="K3161">
        <v>4.4613912857074702E-2</v>
      </c>
      <c r="L3161">
        <v>635.47573220951301</v>
      </c>
      <c r="M3161">
        <v>13.0702987431587</v>
      </c>
      <c r="N3161">
        <v>48.897602325302302</v>
      </c>
      <c r="O3161">
        <v>47.523932941018302</v>
      </c>
      <c r="P3161">
        <v>-6.6307826754403998E-2</v>
      </c>
      <c r="Q3161">
        <v>3.5779143971814302E-2</v>
      </c>
      <c r="R3161">
        <v>0.996261673558544</v>
      </c>
      <c r="S3161" t="s">
        <v>6790</v>
      </c>
      <c r="T3161" t="s">
        <v>7256</v>
      </c>
      <c r="U3161" t="s">
        <v>7256</v>
      </c>
      <c r="V3161" t="s">
        <v>7256</v>
      </c>
      <c r="W3161">
        <v>2</v>
      </c>
      <c r="X3161" t="s">
        <v>10417</v>
      </c>
      <c r="Y3161">
        <v>0.34403610301728271</v>
      </c>
      <c r="Z3161" t="str">
        <f>HYPERLINK("Melting_Curves/meltCurve_tr_C9JIS1_C9JIS1_HUMAN_.pdf", "Melting_Curves/meltCurve_tr_C9JIS1_C9JIS1_HUMAN_.pdf")</f>
        <v>Melting_Curves/meltCurve_tr_C9JIS1_C9JIS1_HUMAN_.pdf</v>
      </c>
      <c r="AA3161" t="s">
        <v>14002</v>
      </c>
      <c r="AB3161" t="s">
        <v>17580</v>
      </c>
    </row>
    <row r="3162" spans="1:28" x14ac:dyDescent="0.25">
      <c r="A3162" t="s">
        <v>3166</v>
      </c>
      <c r="B3162">
        <v>0.98018197421672304</v>
      </c>
      <c r="C3162">
        <v>0.90269926293311598</v>
      </c>
      <c r="D3162">
        <v>0.914983884274299</v>
      </c>
      <c r="E3162">
        <v>0.67604920703889304</v>
      </c>
      <c r="F3162">
        <v>0.59608394993913305</v>
      </c>
      <c r="G3162">
        <v>0.28364359899024599</v>
      </c>
      <c r="H3162">
        <v>0.17327288754877801</v>
      </c>
      <c r="I3162">
        <v>0.10276482722701701</v>
      </c>
      <c r="J3162">
        <v>0.118173748497812</v>
      </c>
      <c r="K3162">
        <v>0.117892816703268</v>
      </c>
      <c r="L3162">
        <v>728.22639436200097</v>
      </c>
      <c r="M3162">
        <v>13.7383809288197</v>
      </c>
      <c r="N3162">
        <v>53.451645397194397</v>
      </c>
      <c r="O3162">
        <v>51.921480954021398</v>
      </c>
      <c r="P3162">
        <v>-6.2584560500661704E-2</v>
      </c>
      <c r="Q3162">
        <v>5.4031107252466203E-2</v>
      </c>
      <c r="R3162">
        <v>0.98863835826857405</v>
      </c>
      <c r="S3162" t="s">
        <v>6791</v>
      </c>
      <c r="T3162" t="s">
        <v>7256</v>
      </c>
      <c r="U3162" t="s">
        <v>7256</v>
      </c>
      <c r="V3162" t="s">
        <v>7256</v>
      </c>
      <c r="W3162">
        <v>1</v>
      </c>
      <c r="X3162" t="s">
        <v>10418</v>
      </c>
      <c r="Y3162">
        <v>0.48704973282566733</v>
      </c>
      <c r="Z3162" t="str">
        <f>HYPERLINK("Melting_Curves/meltCurve_tr_C9JJ54_C9JJ54_HUMAN_.pdf", "Melting_Curves/meltCurve_tr_C9JJ54_C9JJ54_HUMAN_.pdf")</f>
        <v>Melting_Curves/meltCurve_tr_C9JJ54_C9JJ54_HUMAN_.pdf</v>
      </c>
      <c r="AA3162" t="s">
        <v>14003</v>
      </c>
      <c r="AB3162" t="s">
        <v>17581</v>
      </c>
    </row>
    <row r="3163" spans="1:28" x14ac:dyDescent="0.25">
      <c r="A3163" t="s">
        <v>3167</v>
      </c>
      <c r="B3163">
        <v>0.98018197421672304</v>
      </c>
      <c r="C3163">
        <v>1.0498636246159501</v>
      </c>
      <c r="D3163">
        <v>0.84784090826017799</v>
      </c>
      <c r="E3163">
        <v>0.72092264871147105</v>
      </c>
      <c r="F3163">
        <v>0.593553178697525</v>
      </c>
      <c r="G3163">
        <v>0.429312081554928</v>
      </c>
      <c r="H3163">
        <v>0.54505668189382295</v>
      </c>
      <c r="I3163">
        <v>0.60558267078455097</v>
      </c>
      <c r="J3163">
        <v>0.95948124762063902</v>
      </c>
      <c r="K3163">
        <v>0.92346719575302805</v>
      </c>
      <c r="L3163">
        <v>11503.826751561999</v>
      </c>
      <c r="M3163">
        <v>250</v>
      </c>
      <c r="O3163">
        <v>46.012362199268999</v>
      </c>
      <c r="P3163">
        <v>-0.43129408734194802</v>
      </c>
      <c r="Q3163">
        <v>0.68248224327858997</v>
      </c>
      <c r="R3163">
        <v>0.43149586152447</v>
      </c>
      <c r="S3163" t="s">
        <v>6792</v>
      </c>
      <c r="T3163" t="s">
        <v>7256</v>
      </c>
      <c r="U3163" t="s">
        <v>7256</v>
      </c>
      <c r="V3163" t="s">
        <v>7256</v>
      </c>
      <c r="W3163">
        <v>2</v>
      </c>
      <c r="X3163" t="s">
        <v>10419</v>
      </c>
      <c r="Y3163">
        <v>0.74617344434324484</v>
      </c>
      <c r="Z3163" t="str">
        <f>HYPERLINK("Melting_Curves/meltCurve_tr_C9JJV1_C9JJV1_HUMAN_.pdf", "Melting_Curves/meltCurve_tr_C9JJV1_C9JJV1_HUMAN_.pdf")</f>
        <v>Melting_Curves/meltCurve_tr_C9JJV1_C9JJV1_HUMAN_.pdf</v>
      </c>
      <c r="AA3163" t="s">
        <v>14004</v>
      </c>
      <c r="AB3163" t="s">
        <v>17582</v>
      </c>
    </row>
    <row r="3164" spans="1:28" x14ac:dyDescent="0.25">
      <c r="A3164" t="s">
        <v>3168</v>
      </c>
      <c r="B3164">
        <v>0.98018197421672304</v>
      </c>
      <c r="C3164">
        <v>0.87654980483589295</v>
      </c>
      <c r="D3164">
        <v>0.75892777416622303</v>
      </c>
      <c r="E3164">
        <v>0.24533906903257099</v>
      </c>
      <c r="F3164">
        <v>0.13617301524210801</v>
      </c>
      <c r="G3164">
        <v>7.10965894596991E-2</v>
      </c>
      <c r="H3164">
        <v>6.2399231010994503E-2</v>
      </c>
      <c r="I3164">
        <v>4.8924342570440503E-2</v>
      </c>
      <c r="J3164">
        <v>3.2955952254492001E-2</v>
      </c>
      <c r="K3164">
        <v>2.01791352034482E-2</v>
      </c>
      <c r="L3164">
        <v>1140.1489557449099</v>
      </c>
      <c r="M3164">
        <v>23.912023198478199</v>
      </c>
      <c r="N3164">
        <v>47.851965058339403</v>
      </c>
      <c r="O3164">
        <v>47.351271417282298</v>
      </c>
      <c r="P3164">
        <v>-0.12108084885696201</v>
      </c>
      <c r="Q3164">
        <v>4.0944405655741402E-2</v>
      </c>
      <c r="R3164">
        <v>0.99418694302068999</v>
      </c>
      <c r="S3164" t="s">
        <v>6793</v>
      </c>
      <c r="T3164" t="s">
        <v>7256</v>
      </c>
      <c r="U3164" t="s">
        <v>7256</v>
      </c>
      <c r="V3164" t="s">
        <v>7256</v>
      </c>
      <c r="W3164">
        <v>3</v>
      </c>
      <c r="X3164" t="s">
        <v>10420</v>
      </c>
      <c r="Y3164">
        <v>0.29583561338126102</v>
      </c>
      <c r="Z3164" t="str">
        <f>HYPERLINK("Melting_Curves/meltCurve_tr_C9JNE2_C9JNE2_HUMAN_.pdf", "Melting_Curves/meltCurve_tr_C9JNE2_C9JNE2_HUMAN_.pdf")</f>
        <v>Melting_Curves/meltCurve_tr_C9JNE2_C9JNE2_HUMAN_.pdf</v>
      </c>
      <c r="AA3164" t="s">
        <v>14005</v>
      </c>
      <c r="AB3164" t="s">
        <v>17583</v>
      </c>
    </row>
    <row r="3165" spans="1:28" x14ac:dyDescent="0.25">
      <c r="A3165" t="s">
        <v>3169</v>
      </c>
      <c r="B3165">
        <v>0.98018197421672304</v>
      </c>
      <c r="C3165">
        <v>0.76833034526802102</v>
      </c>
      <c r="D3165">
        <v>0.50783332433017703</v>
      </c>
      <c r="E3165">
        <v>0.25315160346522902</v>
      </c>
      <c r="F3165">
        <v>0.13057628506746399</v>
      </c>
      <c r="G3165">
        <v>8.7125011406400499E-2</v>
      </c>
      <c r="H3165">
        <v>4.8120427925342199E-2</v>
      </c>
      <c r="I3165">
        <v>4.2841402036810403E-2</v>
      </c>
      <c r="J3165">
        <v>3.6730460320904802E-2</v>
      </c>
      <c r="K3165">
        <v>2.4639046477300499E-2</v>
      </c>
      <c r="L3165">
        <v>778.54453665619599</v>
      </c>
      <c r="M3165">
        <v>16.904090878908601</v>
      </c>
      <c r="N3165">
        <v>46.257891876295098</v>
      </c>
      <c r="O3165">
        <v>45.426509190476899</v>
      </c>
      <c r="P3165">
        <v>-8.9736410107158701E-2</v>
      </c>
      <c r="Q3165">
        <v>3.5463245746143297E-2</v>
      </c>
      <c r="R3165">
        <v>0.99661571639358304</v>
      </c>
      <c r="S3165" t="s">
        <v>6794</v>
      </c>
      <c r="T3165" t="s">
        <v>7256</v>
      </c>
      <c r="U3165" t="s">
        <v>7256</v>
      </c>
      <c r="V3165" t="s">
        <v>7256</v>
      </c>
      <c r="W3165">
        <v>3</v>
      </c>
      <c r="X3165" t="s">
        <v>10421</v>
      </c>
      <c r="Y3165">
        <v>0.25186683706013668</v>
      </c>
      <c r="Z3165" t="str">
        <f>HYPERLINK("Melting_Curves/meltCurve_tr_C9JPM4_C9JPM4_HUMAN_.pdf", "Melting_Curves/meltCurve_tr_C9JPM4_C9JPM4_HUMAN_.pdf")</f>
        <v>Melting_Curves/meltCurve_tr_C9JPM4_C9JPM4_HUMAN_.pdf</v>
      </c>
      <c r="AA3165" t="s">
        <v>14006</v>
      </c>
      <c r="AB3165" t="s">
        <v>17584</v>
      </c>
    </row>
    <row r="3166" spans="1:28" x14ac:dyDescent="0.25">
      <c r="A3166" t="s">
        <v>3170</v>
      </c>
      <c r="B3166">
        <v>0.98018197421672304</v>
      </c>
      <c r="C3166">
        <v>1.0248393695412501</v>
      </c>
      <c r="D3166">
        <v>0.98864419966925599</v>
      </c>
      <c r="E3166">
        <v>0.86675856473457502</v>
      </c>
      <c r="F3166">
        <v>0.902831082218432</v>
      </c>
      <c r="G3166">
        <v>0.76683519369858799</v>
      </c>
      <c r="H3166">
        <v>0.59680521361962602</v>
      </c>
      <c r="I3166">
        <v>0.65661323820958295</v>
      </c>
      <c r="J3166">
        <v>0.68933620846895705</v>
      </c>
      <c r="K3166">
        <v>0.98207486856850401</v>
      </c>
      <c r="L3166">
        <v>1200.35289605753</v>
      </c>
      <c r="M3166">
        <v>23.155954459285901</v>
      </c>
      <c r="O3166">
        <v>51.4557968529327</v>
      </c>
      <c r="P3166">
        <v>-2.96847963179734E-2</v>
      </c>
      <c r="Q3166">
        <v>0.73614958548944998</v>
      </c>
      <c r="R3166">
        <v>0.54973725690032604</v>
      </c>
      <c r="S3166" t="s">
        <v>6795</v>
      </c>
      <c r="T3166" t="s">
        <v>7256</v>
      </c>
      <c r="U3166" t="s">
        <v>7256</v>
      </c>
      <c r="V3166" t="s">
        <v>7256</v>
      </c>
      <c r="W3166">
        <v>6</v>
      </c>
      <c r="X3166" t="s">
        <v>10422</v>
      </c>
      <c r="Y3166">
        <v>0.84304773148930201</v>
      </c>
      <c r="Z3166" t="str">
        <f>HYPERLINK("Melting_Curves/meltCurve_tr_C9JQ41_C9JQ41_HUMAN_.pdf", "Melting_Curves/meltCurve_tr_C9JQ41_C9JQ41_HUMAN_.pdf")</f>
        <v>Melting_Curves/meltCurve_tr_C9JQ41_C9JQ41_HUMAN_.pdf</v>
      </c>
      <c r="AA3166" t="s">
        <v>14007</v>
      </c>
      <c r="AB3166" t="s">
        <v>17585</v>
      </c>
    </row>
    <row r="3167" spans="1:28" x14ac:dyDescent="0.25">
      <c r="A3167" t="s">
        <v>3171</v>
      </c>
      <c r="B3167">
        <v>0.98018197421672304</v>
      </c>
      <c r="C3167">
        <v>0.92729154024750005</v>
      </c>
      <c r="D3167">
        <v>0.86646269875719995</v>
      </c>
      <c r="E3167">
        <v>0.66603179161664305</v>
      </c>
      <c r="F3167">
        <v>0.34378696903357697</v>
      </c>
      <c r="G3167">
        <v>0.17188750730324601</v>
      </c>
      <c r="H3167">
        <v>0.104450691493081</v>
      </c>
      <c r="I3167">
        <v>0.10225057879371099</v>
      </c>
      <c r="J3167">
        <v>8.3181166580328897E-2</v>
      </c>
      <c r="K3167">
        <v>8.0915577331217806E-2</v>
      </c>
      <c r="L3167">
        <v>963.06144058093003</v>
      </c>
      <c r="M3167">
        <v>18.898955128767</v>
      </c>
      <c r="N3167">
        <v>51.373513054236803</v>
      </c>
      <c r="O3167">
        <v>50.398189178015699</v>
      </c>
      <c r="P3167">
        <v>-8.7114123473769803E-2</v>
      </c>
      <c r="Q3167">
        <v>7.0802571226497704E-2</v>
      </c>
      <c r="R3167">
        <v>0.99508666595538398</v>
      </c>
      <c r="S3167" t="s">
        <v>6796</v>
      </c>
      <c r="T3167" t="s">
        <v>7256</v>
      </c>
      <c r="U3167" t="s">
        <v>7256</v>
      </c>
      <c r="V3167" t="s">
        <v>7256</v>
      </c>
      <c r="W3167">
        <v>2</v>
      </c>
      <c r="X3167" t="s">
        <v>10423</v>
      </c>
      <c r="Y3167">
        <v>0.42455271168331038</v>
      </c>
      <c r="Z3167" t="str">
        <f>HYPERLINK("Melting_Curves/meltCurve_tr_C9JQD4_C9JQD4_HUMAN_.pdf", "Melting_Curves/meltCurve_tr_C9JQD4_C9JQD4_HUMAN_.pdf")</f>
        <v>Melting_Curves/meltCurve_tr_C9JQD4_C9JQD4_HUMAN_.pdf</v>
      </c>
      <c r="AA3167" t="s">
        <v>14008</v>
      </c>
      <c r="AB3167" t="s">
        <v>17586</v>
      </c>
    </row>
    <row r="3168" spans="1:28" x14ac:dyDescent="0.25">
      <c r="A3168" t="s">
        <v>3172</v>
      </c>
      <c r="B3168">
        <v>0.98018197421672304</v>
      </c>
      <c r="C3168">
        <v>0.95506256573210502</v>
      </c>
      <c r="D3168">
        <v>0.83529946440121305</v>
      </c>
      <c r="E3168">
        <v>0.57447632274635296</v>
      </c>
      <c r="F3168">
        <v>0.18936062871636</v>
      </c>
      <c r="G3168">
        <v>9.8778207517240493E-2</v>
      </c>
      <c r="H3168">
        <v>4.6013055401260501E-2</v>
      </c>
      <c r="I3168">
        <v>3.79505098323413E-2</v>
      </c>
      <c r="J3168">
        <v>4.91304070969018E-2</v>
      </c>
      <c r="K3168">
        <v>2.90038920282941E-2</v>
      </c>
      <c r="L3168">
        <v>1102.0596688169701</v>
      </c>
      <c r="M3168">
        <v>22.035229872175702</v>
      </c>
      <c r="N3168">
        <v>50.151127769433998</v>
      </c>
      <c r="O3168">
        <v>49.607086399000302</v>
      </c>
      <c r="P3168">
        <v>-0.107793839491497</v>
      </c>
      <c r="Q3168">
        <v>2.9332623389379801E-2</v>
      </c>
      <c r="R3168">
        <v>0.99378709847327895</v>
      </c>
      <c r="S3168" t="s">
        <v>6797</v>
      </c>
      <c r="T3168" t="s">
        <v>7256</v>
      </c>
      <c r="U3168" t="s">
        <v>7256</v>
      </c>
      <c r="V3168" t="s">
        <v>7256</v>
      </c>
      <c r="W3168">
        <v>4</v>
      </c>
      <c r="X3168" t="s">
        <v>10424</v>
      </c>
      <c r="Y3168">
        <v>0.36449267107867711</v>
      </c>
      <c r="Z3168" t="str">
        <f>HYPERLINK("Melting_Curves/meltCurve_tr_C9JS27_C9JS27_HUMAN_.pdf", "Melting_Curves/meltCurve_tr_C9JS27_C9JS27_HUMAN_.pdf")</f>
        <v>Melting_Curves/meltCurve_tr_C9JS27_C9JS27_HUMAN_.pdf</v>
      </c>
      <c r="AA3168" t="s">
        <v>14009</v>
      </c>
      <c r="AB3168" t="s">
        <v>17587</v>
      </c>
    </row>
    <row r="3169" spans="1:28" x14ac:dyDescent="0.25">
      <c r="A3169" t="s">
        <v>3173</v>
      </c>
      <c r="B3169">
        <v>0.98018197421672304</v>
      </c>
      <c r="C3169">
        <v>0.86800408110745098</v>
      </c>
      <c r="D3169">
        <v>0.75222077949009303</v>
      </c>
      <c r="E3169">
        <v>0.54675513217948501</v>
      </c>
      <c r="F3169">
        <v>0.39615438790505297</v>
      </c>
      <c r="G3169">
        <v>0.275454061036634</v>
      </c>
      <c r="H3169">
        <v>0.152352638115439</v>
      </c>
      <c r="I3169">
        <v>9.3291916533311606E-2</v>
      </c>
      <c r="J3169">
        <v>9.3356596852620197E-2</v>
      </c>
      <c r="K3169">
        <v>0.100407624487392</v>
      </c>
      <c r="L3169">
        <v>558.58950045497204</v>
      </c>
      <c r="M3169">
        <v>11.0501463061754</v>
      </c>
      <c r="N3169">
        <v>50.894614988344301</v>
      </c>
      <c r="O3169">
        <v>48.979543309138201</v>
      </c>
      <c r="P3169">
        <v>-5.4389190137571201E-2</v>
      </c>
      <c r="Q3169">
        <v>3.6003783052815597E-2</v>
      </c>
      <c r="R3169">
        <v>0.99700943609277004</v>
      </c>
      <c r="S3169" t="s">
        <v>6798</v>
      </c>
      <c r="T3169" t="s">
        <v>7256</v>
      </c>
      <c r="U3169" t="s">
        <v>7256</v>
      </c>
      <c r="V3169" t="s">
        <v>7256</v>
      </c>
      <c r="W3169">
        <v>11</v>
      </c>
      <c r="X3169" t="s">
        <v>10425</v>
      </c>
      <c r="Y3169">
        <v>0.41142158270923951</v>
      </c>
      <c r="Z3169" t="str">
        <f>HYPERLINK("Melting_Curves/meltCurve_tr_C9JV49_C9JV49_HUMAN_.pdf", "Melting_Curves/meltCurve_tr_C9JV49_C9JV49_HUMAN_.pdf")</f>
        <v>Melting_Curves/meltCurve_tr_C9JV49_C9JV49_HUMAN_.pdf</v>
      </c>
      <c r="AA3169" t="s">
        <v>14010</v>
      </c>
      <c r="AB3169" t="s">
        <v>17588</v>
      </c>
    </row>
    <row r="3170" spans="1:28" x14ac:dyDescent="0.25">
      <c r="A3170" t="s">
        <v>3174</v>
      </c>
      <c r="B3170">
        <v>0.98018197421672304</v>
      </c>
      <c r="C3170">
        <v>0.85910664820188598</v>
      </c>
      <c r="D3170">
        <v>0.80910765944789198</v>
      </c>
      <c r="E3170">
        <v>0.69844128749759504</v>
      </c>
      <c r="F3170">
        <v>0.53969099914307905</v>
      </c>
      <c r="G3170">
        <v>0.27675173218108301</v>
      </c>
      <c r="H3170">
        <v>0.13096321907328001</v>
      </c>
      <c r="I3170">
        <v>0.13659058985342901</v>
      </c>
      <c r="J3170">
        <v>0.160437110108407</v>
      </c>
      <c r="K3170">
        <v>0.124211277343072</v>
      </c>
      <c r="L3170">
        <v>608.73070942574896</v>
      </c>
      <c r="M3170">
        <v>11.6292743417696</v>
      </c>
      <c r="N3170">
        <v>52.809621781487998</v>
      </c>
      <c r="O3170">
        <v>50.868716795652198</v>
      </c>
      <c r="P3170">
        <v>-5.4387163921798903E-2</v>
      </c>
      <c r="Q3170">
        <v>4.8658654180942201E-2</v>
      </c>
      <c r="R3170">
        <v>0.98098599770395301</v>
      </c>
      <c r="S3170" t="s">
        <v>6799</v>
      </c>
      <c r="T3170" t="s">
        <v>7256</v>
      </c>
      <c r="U3170" t="s">
        <v>7256</v>
      </c>
      <c r="V3170" t="s">
        <v>7256</v>
      </c>
      <c r="W3170">
        <v>9</v>
      </c>
      <c r="X3170" t="s">
        <v>10426</v>
      </c>
      <c r="Y3170">
        <v>0.46965960842804638</v>
      </c>
      <c r="Z3170" t="str">
        <f>HYPERLINK("Melting_Curves/meltCurve_tr_C9JVE2_C9JVE2_HUMAN_.pdf", "Melting_Curves/meltCurve_tr_C9JVE2_C9JVE2_HUMAN_.pdf")</f>
        <v>Melting_Curves/meltCurve_tr_C9JVE2_C9JVE2_HUMAN_.pdf</v>
      </c>
      <c r="AA3170" t="s">
        <v>13093</v>
      </c>
      <c r="AB3170" t="s">
        <v>17589</v>
      </c>
    </row>
    <row r="3171" spans="1:28" x14ac:dyDescent="0.25">
      <c r="A3171" t="s">
        <v>3175</v>
      </c>
      <c r="B3171">
        <v>0.98018197421672304</v>
      </c>
      <c r="C3171">
        <v>0.798413523258657</v>
      </c>
      <c r="D3171">
        <v>0.60230362077130295</v>
      </c>
      <c r="E3171">
        <v>0.38173448043983499</v>
      </c>
      <c r="F3171">
        <v>0.23747432755088399</v>
      </c>
      <c r="G3171">
        <v>0.12940611683981301</v>
      </c>
      <c r="H3171">
        <v>7.4944742196175904E-2</v>
      </c>
      <c r="I3171">
        <v>4.9098873006288499E-2</v>
      </c>
      <c r="J3171">
        <v>6.1672111261722097E-2</v>
      </c>
      <c r="K3171">
        <v>2.8630322323376499E-2</v>
      </c>
      <c r="L3171">
        <v>624.62201775282199</v>
      </c>
      <c r="M3171">
        <v>13.107510785209501</v>
      </c>
      <c r="N3171">
        <v>47.844164825376097</v>
      </c>
      <c r="O3171">
        <v>46.585489836841298</v>
      </c>
      <c r="P3171">
        <v>-6.8565239786483406E-2</v>
      </c>
      <c r="Q3171">
        <v>2.5414075530820701E-2</v>
      </c>
      <c r="R3171">
        <v>0.99591791826860698</v>
      </c>
      <c r="S3171" t="s">
        <v>6800</v>
      </c>
      <c r="T3171" t="s">
        <v>7256</v>
      </c>
      <c r="U3171" t="s">
        <v>7256</v>
      </c>
      <c r="V3171" t="s">
        <v>7256</v>
      </c>
      <c r="W3171">
        <v>6</v>
      </c>
      <c r="X3171" t="s">
        <v>10427</v>
      </c>
      <c r="Y3171">
        <v>0.307242644889554</v>
      </c>
      <c r="Z3171" t="str">
        <f>HYPERLINK("Melting_Curves/meltCurve_tr_C9JVN9_C9JVN9_HUMAN_.pdf", "Melting_Curves/meltCurve_tr_C9JVN9_C9JVN9_HUMAN_.pdf")</f>
        <v>Melting_Curves/meltCurve_tr_C9JVN9_C9JVN9_HUMAN_.pdf</v>
      </c>
      <c r="AA3171" t="s">
        <v>14011</v>
      </c>
      <c r="AB3171" t="s">
        <v>17590</v>
      </c>
    </row>
    <row r="3172" spans="1:28" x14ac:dyDescent="0.25">
      <c r="A3172" t="s">
        <v>3176</v>
      </c>
      <c r="B3172">
        <v>0.98018197421672304</v>
      </c>
      <c r="C3172">
        <v>0.838751024487988</v>
      </c>
      <c r="D3172">
        <v>0.37956677124410598</v>
      </c>
      <c r="E3172">
        <v>0.17359638524641199</v>
      </c>
      <c r="F3172">
        <v>0.104842399059806</v>
      </c>
      <c r="G3172">
        <v>8.0434611224097702E-2</v>
      </c>
      <c r="H3172">
        <v>5.6743810382668902E-2</v>
      </c>
      <c r="I3172">
        <v>4.1694758183208003E-2</v>
      </c>
      <c r="J3172">
        <v>5.4032611938610399E-2</v>
      </c>
      <c r="K3172">
        <v>3.4947241033677599E-2</v>
      </c>
      <c r="L3172">
        <v>1232.2759871938799</v>
      </c>
      <c r="M3172">
        <v>27.318237409382601</v>
      </c>
      <c r="N3172">
        <v>45.335011343935101</v>
      </c>
      <c r="O3172">
        <v>44.868544110285399</v>
      </c>
      <c r="P3172">
        <v>-0.14249034945022801</v>
      </c>
      <c r="Q3172">
        <v>6.3881903241846394E-2</v>
      </c>
      <c r="R3172">
        <v>0.99431754738573896</v>
      </c>
      <c r="S3172" t="s">
        <v>6801</v>
      </c>
      <c r="T3172" t="s">
        <v>7256</v>
      </c>
      <c r="U3172" t="s">
        <v>7256</v>
      </c>
      <c r="V3172" t="s">
        <v>7256</v>
      </c>
      <c r="W3172">
        <v>3</v>
      </c>
      <c r="X3172" t="s">
        <v>10428</v>
      </c>
      <c r="Y3172">
        <v>0.2307398420068329</v>
      </c>
      <c r="Z3172" t="str">
        <f>HYPERLINK("Melting_Curves/meltCurve_tr_C9JW69_C9JW69_HUMAN_.pdf", "Melting_Curves/meltCurve_tr_C9JW69_C9JW69_HUMAN_.pdf")</f>
        <v>Melting_Curves/meltCurve_tr_C9JW69_C9JW69_HUMAN_.pdf</v>
      </c>
      <c r="AA3172" t="s">
        <v>14012</v>
      </c>
      <c r="AB3172" t="s">
        <v>17591</v>
      </c>
    </row>
    <row r="3173" spans="1:28" x14ac:dyDescent="0.25">
      <c r="A3173" t="s">
        <v>3177</v>
      </c>
      <c r="B3173">
        <v>0.98018197421672304</v>
      </c>
      <c r="C3173">
        <v>0.74234070201181201</v>
      </c>
      <c r="D3173">
        <v>0.87777075726223097</v>
      </c>
      <c r="E3173">
        <v>0.68719260461195897</v>
      </c>
      <c r="F3173">
        <v>0.55771042686780203</v>
      </c>
      <c r="G3173">
        <v>0.207865997261658</v>
      </c>
      <c r="H3173">
        <v>0.11044794646395401</v>
      </c>
      <c r="I3173">
        <v>5.2550466213315002E-2</v>
      </c>
      <c r="J3173">
        <v>4.4992235793025498E-2</v>
      </c>
      <c r="K3173">
        <v>0</v>
      </c>
      <c r="L3173">
        <v>706.64845248890595</v>
      </c>
      <c r="M3173">
        <v>13.440255924260001</v>
      </c>
      <c r="N3173">
        <v>52.577024857177904</v>
      </c>
      <c r="O3173">
        <v>51.453992790096599</v>
      </c>
      <c r="P3173">
        <v>-6.5312431295923096E-2</v>
      </c>
      <c r="Q3173">
        <v>0</v>
      </c>
      <c r="R3173">
        <v>0.95575260448397004</v>
      </c>
      <c r="S3173" t="s">
        <v>6802</v>
      </c>
      <c r="T3173" t="s">
        <v>7256</v>
      </c>
      <c r="U3173" t="s">
        <v>7256</v>
      </c>
      <c r="V3173" t="s">
        <v>7256</v>
      </c>
      <c r="W3173">
        <v>16</v>
      </c>
      <c r="X3173" t="s">
        <v>10429</v>
      </c>
      <c r="Y3173">
        <v>0.4447251078115243</v>
      </c>
      <c r="Z3173" t="str">
        <f>HYPERLINK("Melting_Curves/meltCurve_tr_C9JWG0_C9JWG0_HUMAN_.pdf", "Melting_Curves/meltCurve_tr_C9JWG0_C9JWG0_HUMAN_.pdf")</f>
        <v>Melting_Curves/meltCurve_tr_C9JWG0_C9JWG0_HUMAN_.pdf</v>
      </c>
      <c r="AA3173" t="s">
        <v>12510</v>
      </c>
      <c r="AB3173" t="s">
        <v>17592</v>
      </c>
    </row>
    <row r="3174" spans="1:28" x14ac:dyDescent="0.25">
      <c r="A3174" t="s">
        <v>3178</v>
      </c>
      <c r="B3174">
        <v>0.98018197421672304</v>
      </c>
      <c r="C3174">
        <v>0.93869247875034401</v>
      </c>
      <c r="D3174">
        <v>0.88011003703531598</v>
      </c>
      <c r="E3174">
        <v>0.48758908710278298</v>
      </c>
      <c r="F3174">
        <v>0.42915261003569499</v>
      </c>
      <c r="G3174">
        <v>0.24878404839946699</v>
      </c>
      <c r="H3174">
        <v>0.16951884451362001</v>
      </c>
      <c r="I3174">
        <v>0.198643202067248</v>
      </c>
      <c r="J3174">
        <v>0.245827261508726</v>
      </c>
      <c r="K3174">
        <v>0.37192171990575401</v>
      </c>
      <c r="L3174">
        <v>1090.21830933725</v>
      </c>
      <c r="M3174">
        <v>22.301596333888</v>
      </c>
      <c r="N3174">
        <v>50.413026136038198</v>
      </c>
      <c r="O3174">
        <v>48.497263121238298</v>
      </c>
      <c r="P3174">
        <v>-8.6725107205809601E-2</v>
      </c>
      <c r="Q3174">
        <v>0.24564323729241799</v>
      </c>
      <c r="R3174">
        <v>0.96182781603962098</v>
      </c>
      <c r="S3174" t="s">
        <v>6803</v>
      </c>
      <c r="T3174" t="s">
        <v>7256</v>
      </c>
      <c r="U3174" t="s">
        <v>7256</v>
      </c>
      <c r="V3174" t="s">
        <v>7256</v>
      </c>
      <c r="W3174">
        <v>1</v>
      </c>
      <c r="X3174" t="s">
        <v>10430</v>
      </c>
      <c r="Y3174">
        <v>0.47752181215380057</v>
      </c>
      <c r="Z3174" t="str">
        <f>HYPERLINK("Melting_Curves/meltCurve_tr_C9JWU7_C9JWU7_HUMAN_.pdf", "Melting_Curves/meltCurve_tr_C9JWU7_C9JWU7_HUMAN_.pdf")</f>
        <v>Melting_Curves/meltCurve_tr_C9JWU7_C9JWU7_HUMAN_.pdf</v>
      </c>
      <c r="AA3174" t="s">
        <v>14013</v>
      </c>
      <c r="AB3174" t="s">
        <v>17593</v>
      </c>
    </row>
    <row r="3175" spans="1:28" x14ac:dyDescent="0.25">
      <c r="A3175" t="s">
        <v>3179</v>
      </c>
      <c r="B3175">
        <v>0.98018197421672304</v>
      </c>
      <c r="C3175">
        <v>0.99377815594724395</v>
      </c>
      <c r="D3175">
        <v>0.81069631500192096</v>
      </c>
      <c r="E3175">
        <v>0.53280939240228697</v>
      </c>
      <c r="F3175">
        <v>0.27708083883293599</v>
      </c>
      <c r="G3175">
        <v>0.217596224449848</v>
      </c>
      <c r="H3175">
        <v>0.142078624877198</v>
      </c>
      <c r="I3175">
        <v>0.12776905546470901</v>
      </c>
      <c r="J3175">
        <v>0.14592125897866401</v>
      </c>
      <c r="K3175">
        <v>0.13723233240618901</v>
      </c>
      <c r="L3175">
        <v>989.63275367418998</v>
      </c>
      <c r="M3175">
        <v>20.058500157544401</v>
      </c>
      <c r="N3175">
        <v>50.112470351461901</v>
      </c>
      <c r="O3175">
        <v>48.8548014073735</v>
      </c>
      <c r="P3175">
        <v>-8.8956375200114998E-2</v>
      </c>
      <c r="Q3175">
        <v>0.133373648711228</v>
      </c>
      <c r="R3175">
        <v>0.99609045724552803</v>
      </c>
      <c r="S3175" t="s">
        <v>6804</v>
      </c>
      <c r="T3175" t="s">
        <v>7256</v>
      </c>
      <c r="U3175" t="s">
        <v>7256</v>
      </c>
      <c r="V3175" t="s">
        <v>7256</v>
      </c>
      <c r="W3175">
        <v>1</v>
      </c>
      <c r="X3175" t="s">
        <v>10431</v>
      </c>
      <c r="Y3175">
        <v>0.41514176310631068</v>
      </c>
      <c r="Z3175" t="str">
        <f>HYPERLINK("Melting_Curves/meltCurve_tr_C9JXB8_C9JXB8_HUMAN_.pdf", "Melting_Curves/meltCurve_tr_C9JXB8_C9JXB8_HUMAN_.pdf")</f>
        <v>Melting_Curves/meltCurve_tr_C9JXB8_C9JXB8_HUMAN_.pdf</v>
      </c>
      <c r="AA3175" t="s">
        <v>14014</v>
      </c>
      <c r="AB3175" t="s">
        <v>17594</v>
      </c>
    </row>
    <row r="3176" spans="1:28" x14ac:dyDescent="0.25">
      <c r="A3176" t="s">
        <v>3180</v>
      </c>
      <c r="B3176">
        <v>0.98018197421672304</v>
      </c>
      <c r="C3176">
        <v>0.55528104812564805</v>
      </c>
      <c r="D3176">
        <v>0.66004084605097402</v>
      </c>
      <c r="E3176">
        <v>0.61604569512401297</v>
      </c>
      <c r="F3176">
        <v>0.53097749355570201</v>
      </c>
      <c r="G3176">
        <v>0.39908182833147199</v>
      </c>
      <c r="H3176">
        <v>0.31906053646578703</v>
      </c>
      <c r="I3176">
        <v>0.243504066002524</v>
      </c>
      <c r="J3176">
        <v>0.39212671763546603</v>
      </c>
      <c r="K3176">
        <v>0.47727188979127</v>
      </c>
      <c r="L3176">
        <v>413.76491257320902</v>
      </c>
      <c r="M3176">
        <v>9.1533827979381108</v>
      </c>
      <c r="N3176">
        <v>51.437775068134201</v>
      </c>
      <c r="O3176">
        <v>43.2027911702789</v>
      </c>
      <c r="P3176">
        <v>-3.5241022800278202E-2</v>
      </c>
      <c r="Q3176">
        <v>0.33512054691339899</v>
      </c>
      <c r="R3176">
        <v>0.73299933769035097</v>
      </c>
      <c r="S3176" t="s">
        <v>6805</v>
      </c>
      <c r="T3176" t="s">
        <v>7256</v>
      </c>
      <c r="U3176" t="s">
        <v>7256</v>
      </c>
      <c r="V3176" t="s">
        <v>7256</v>
      </c>
      <c r="W3176">
        <v>3</v>
      </c>
      <c r="X3176" t="s">
        <v>10432</v>
      </c>
      <c r="Y3176">
        <v>0.50183478368205003</v>
      </c>
      <c r="Z3176" t="str">
        <f>HYPERLINK("Melting_Curves/meltCurve_tr_C9JXK0_C9JXK0_HUMAN_.pdf", "Melting_Curves/meltCurve_tr_C9JXK0_C9JXK0_HUMAN_.pdf")</f>
        <v>Melting_Curves/meltCurve_tr_C9JXK0_C9JXK0_HUMAN_.pdf</v>
      </c>
      <c r="AA3176" t="s">
        <v>14015</v>
      </c>
      <c r="AB3176" t="s">
        <v>17595</v>
      </c>
    </row>
    <row r="3177" spans="1:28" x14ac:dyDescent="0.25">
      <c r="A3177" t="s">
        <v>3181</v>
      </c>
      <c r="B3177">
        <v>0.98018197421672304</v>
      </c>
      <c r="C3177">
        <v>1.0644993345523599</v>
      </c>
      <c r="D3177">
        <v>0.87997434654288498</v>
      </c>
      <c r="E3177">
        <v>0.74795041401028906</v>
      </c>
      <c r="F3177">
        <v>0.72900650742003203</v>
      </c>
      <c r="G3177">
        <v>0.49064461902037199</v>
      </c>
      <c r="H3177">
        <v>0.37864909031787303</v>
      </c>
      <c r="I3177">
        <v>0.38517593301173098</v>
      </c>
      <c r="J3177">
        <v>0.52856796385034899</v>
      </c>
      <c r="K3177">
        <v>0.64488914479685899</v>
      </c>
      <c r="L3177">
        <v>989.56079928396696</v>
      </c>
      <c r="M3177">
        <v>19.513574018024499</v>
      </c>
      <c r="N3177">
        <v>60.615499101792601</v>
      </c>
      <c r="O3177">
        <v>50.187838367500298</v>
      </c>
      <c r="P3177">
        <v>-5.0607452473744298E-2</v>
      </c>
      <c r="Q3177">
        <v>0.47938034892734699</v>
      </c>
      <c r="R3177">
        <v>0.85722979989737402</v>
      </c>
      <c r="S3177" t="s">
        <v>6806</v>
      </c>
      <c r="T3177" t="s">
        <v>7256</v>
      </c>
      <c r="U3177" t="s">
        <v>7256</v>
      </c>
      <c r="V3177" t="s">
        <v>7256</v>
      </c>
      <c r="W3177">
        <v>7</v>
      </c>
      <c r="X3177" t="s">
        <v>10433</v>
      </c>
      <c r="Y3177">
        <v>0.6728422332390589</v>
      </c>
      <c r="Z3177" t="str">
        <f>HYPERLINK("Melting_Curves/meltCurve_tr_C9JXK9_C9JXK9_HUMAN_.pdf", "Melting_Curves/meltCurve_tr_C9JXK9_C9JXK9_HUMAN_.pdf")</f>
        <v>Melting_Curves/meltCurve_tr_C9JXK9_C9JXK9_HUMAN_.pdf</v>
      </c>
      <c r="AA3177" t="s">
        <v>13015</v>
      </c>
      <c r="AB3177" t="s">
        <v>17596</v>
      </c>
    </row>
    <row r="3178" spans="1:28" x14ac:dyDescent="0.25">
      <c r="A3178" t="s">
        <v>3182</v>
      </c>
      <c r="B3178">
        <v>0.98018197421672304</v>
      </c>
      <c r="C3178">
        <v>0.76240621302140399</v>
      </c>
      <c r="D3178">
        <v>0.70728564614725198</v>
      </c>
      <c r="E3178">
        <v>0.81348481763476199</v>
      </c>
      <c r="F3178">
        <v>0.78309812196652695</v>
      </c>
      <c r="G3178">
        <v>0.61742679428217795</v>
      </c>
      <c r="H3178">
        <v>0.49300288618551102</v>
      </c>
      <c r="I3178">
        <v>0.37768425113106902</v>
      </c>
      <c r="J3178">
        <v>0.28233790933976399</v>
      </c>
      <c r="K3178">
        <v>0.13308817466674799</v>
      </c>
      <c r="L3178">
        <v>385.70015657863001</v>
      </c>
      <c r="M3178">
        <v>6.5432733506148297</v>
      </c>
      <c r="N3178">
        <v>58.946064431978698</v>
      </c>
      <c r="O3178">
        <v>54.1672633247832</v>
      </c>
      <c r="P3178">
        <v>-3.0271002863484699E-2</v>
      </c>
      <c r="Q3178">
        <v>0</v>
      </c>
      <c r="R3178">
        <v>0.86336199484323295</v>
      </c>
      <c r="S3178" t="s">
        <v>6807</v>
      </c>
      <c r="T3178" t="s">
        <v>7256</v>
      </c>
      <c r="U3178" t="s">
        <v>7256</v>
      </c>
      <c r="V3178" t="s">
        <v>7256</v>
      </c>
      <c r="W3178">
        <v>16</v>
      </c>
      <c r="X3178" t="s">
        <v>10434</v>
      </c>
      <c r="Y3178">
        <v>0.61626400110808199</v>
      </c>
      <c r="Z3178" t="str">
        <f>HYPERLINK("Melting_Curves/meltCurve_tr_C9JYZ0_C9JYZ0_HUMAN_.pdf", "Melting_Curves/meltCurve_tr_C9JYZ0_C9JYZ0_HUMAN_.pdf")</f>
        <v>Melting_Curves/meltCurve_tr_C9JYZ0_C9JYZ0_HUMAN_.pdf</v>
      </c>
      <c r="AA3178" t="s">
        <v>12211</v>
      </c>
      <c r="AB3178" t="s">
        <v>17597</v>
      </c>
    </row>
    <row r="3179" spans="1:28" x14ac:dyDescent="0.25">
      <c r="A3179" t="s">
        <v>3183</v>
      </c>
      <c r="B3179">
        <v>0.98018197421672304</v>
      </c>
      <c r="C3179">
        <v>1.0472822934541901</v>
      </c>
      <c r="D3179">
        <v>0.94027582186071101</v>
      </c>
      <c r="E3179">
        <v>0.78974098978084595</v>
      </c>
      <c r="F3179">
        <v>0.57516461738852698</v>
      </c>
      <c r="G3179">
        <v>0.46280960565639001</v>
      </c>
      <c r="H3179">
        <v>0.21910345097554901</v>
      </c>
      <c r="I3179">
        <v>0.110460123739354</v>
      </c>
      <c r="J3179">
        <v>4.13474271870631E-2</v>
      </c>
      <c r="K3179">
        <v>2.85149788140974E-2</v>
      </c>
      <c r="L3179">
        <v>753.22633976099701</v>
      </c>
      <c r="M3179">
        <v>13.674395057457</v>
      </c>
      <c r="N3179">
        <v>55.082957058524002</v>
      </c>
      <c r="O3179">
        <v>53.9450166316051</v>
      </c>
      <c r="P3179">
        <v>-6.3381103830121993E-2</v>
      </c>
      <c r="Q3179">
        <v>0</v>
      </c>
      <c r="R3179">
        <v>0.98894931463045899</v>
      </c>
      <c r="S3179" t="s">
        <v>6808</v>
      </c>
      <c r="T3179" t="s">
        <v>7256</v>
      </c>
      <c r="U3179" t="s">
        <v>7256</v>
      </c>
      <c r="V3179" t="s">
        <v>7256</v>
      </c>
      <c r="W3179">
        <v>3</v>
      </c>
      <c r="X3179" t="s">
        <v>10435</v>
      </c>
      <c r="Y3179">
        <v>0.52373156090201467</v>
      </c>
      <c r="Z3179" t="str">
        <f>HYPERLINK("Melting_Curves/meltCurve_tr_C9JZP6_C9JZP6_HUMAN_.pdf", "Melting_Curves/meltCurve_tr_C9JZP6_C9JZP6_HUMAN_.pdf")</f>
        <v>Melting_Curves/meltCurve_tr_C9JZP6_C9JZP6_HUMAN_.pdf</v>
      </c>
      <c r="AA3179" t="s">
        <v>14016</v>
      </c>
      <c r="AB3179" t="s">
        <v>17598</v>
      </c>
    </row>
    <row r="3180" spans="1:28" x14ac:dyDescent="0.25">
      <c r="A3180" t="s">
        <v>3184</v>
      </c>
      <c r="B3180">
        <v>0.98018197421672304</v>
      </c>
      <c r="C3180">
        <v>0.98406743800357099</v>
      </c>
      <c r="D3180">
        <v>0.894121272410213</v>
      </c>
      <c r="E3180">
        <v>0.70294796841406304</v>
      </c>
      <c r="F3180">
        <v>0.65824573208367698</v>
      </c>
      <c r="G3180">
        <v>0.496901871898071</v>
      </c>
      <c r="H3180">
        <v>0.30204488960145698</v>
      </c>
      <c r="I3180">
        <v>0.151539333952736</v>
      </c>
      <c r="J3180">
        <v>0.11377668444599399</v>
      </c>
      <c r="K3180">
        <v>8.9245732321847598E-2</v>
      </c>
      <c r="L3180">
        <v>597.31405082526703</v>
      </c>
      <c r="M3180">
        <v>10.725228193267</v>
      </c>
      <c r="N3180">
        <v>55.692432837293602</v>
      </c>
      <c r="O3180">
        <v>53.861060819507102</v>
      </c>
      <c r="P3180">
        <v>-4.9800433290752698E-2</v>
      </c>
      <c r="Q3180">
        <v>0</v>
      </c>
      <c r="R3180">
        <v>0.98869450901522005</v>
      </c>
      <c r="S3180" t="s">
        <v>6809</v>
      </c>
      <c r="T3180" t="s">
        <v>7256</v>
      </c>
      <c r="U3180" t="s">
        <v>7256</v>
      </c>
      <c r="V3180" t="s">
        <v>7256</v>
      </c>
      <c r="W3180">
        <v>5</v>
      </c>
      <c r="X3180" t="s">
        <v>10436</v>
      </c>
      <c r="Y3180">
        <v>0.54538845876261077</v>
      </c>
      <c r="Z3180" t="str">
        <f>HYPERLINK("Melting_Curves/meltCurve_tr_C9JZY6_C9JZY6_HUMAN_.pdf", "Melting_Curves/meltCurve_tr_C9JZY6_C9JZY6_HUMAN_.pdf")</f>
        <v>Melting_Curves/meltCurve_tr_C9JZY6_C9JZY6_HUMAN_.pdf</v>
      </c>
      <c r="AA3180" t="s">
        <v>14017</v>
      </c>
      <c r="AB3180" t="s">
        <v>17599</v>
      </c>
    </row>
    <row r="3181" spans="1:28" x14ac:dyDescent="0.25">
      <c r="A3181" t="s">
        <v>3185</v>
      </c>
      <c r="B3181">
        <v>0.98018197421672304</v>
      </c>
      <c r="C3181">
        <v>0.95335603496903099</v>
      </c>
      <c r="D3181">
        <v>0.875542120751021</v>
      </c>
      <c r="E3181">
        <v>0.42564058147046402</v>
      </c>
      <c r="F3181">
        <v>0.19944270668556699</v>
      </c>
      <c r="G3181">
        <v>0.10429261622333701</v>
      </c>
      <c r="H3181">
        <v>7.1773063481552699E-2</v>
      </c>
      <c r="I3181">
        <v>5.4924552216262197E-2</v>
      </c>
      <c r="J3181">
        <v>6.9451638247727293E-2</v>
      </c>
      <c r="K3181">
        <v>8.6874183740146896E-2</v>
      </c>
      <c r="L3181">
        <v>1259.5606552638801</v>
      </c>
      <c r="M3181">
        <v>25.6365035876909</v>
      </c>
      <c r="N3181">
        <v>49.4239770235706</v>
      </c>
      <c r="O3181">
        <v>48.835506863719303</v>
      </c>
      <c r="P3181">
        <v>-0.12200475186660199</v>
      </c>
      <c r="Q3181">
        <v>7.0373794186604902E-2</v>
      </c>
      <c r="R3181">
        <v>0.998709644248859</v>
      </c>
      <c r="S3181" t="s">
        <v>6810</v>
      </c>
      <c r="T3181" t="s">
        <v>7256</v>
      </c>
      <c r="U3181" t="s">
        <v>7256</v>
      </c>
      <c r="V3181" t="s">
        <v>7256</v>
      </c>
      <c r="W3181">
        <v>4</v>
      </c>
      <c r="X3181" t="s">
        <v>10437</v>
      </c>
      <c r="Y3181">
        <v>0.36116771815635468</v>
      </c>
      <c r="Z3181" t="str">
        <f>HYPERLINK("Melting_Curves/meltCurve_tr_D3DR31_D3DR31_HUMAN_.pdf", "Melting_Curves/meltCurve_tr_D3DR31_D3DR31_HUMAN_.pdf")</f>
        <v>Melting_Curves/meltCurve_tr_D3DR31_D3DR31_HUMAN_.pdf</v>
      </c>
      <c r="AA3181" t="s">
        <v>14018</v>
      </c>
      <c r="AB3181" t="s">
        <v>17600</v>
      </c>
    </row>
    <row r="3182" spans="1:28" x14ac:dyDescent="0.25">
      <c r="A3182" t="s">
        <v>3186</v>
      </c>
      <c r="B3182">
        <v>0.98018197421672304</v>
      </c>
      <c r="C3182">
        <v>1.58678902522516</v>
      </c>
      <c r="D3182">
        <v>1.4860930314228999</v>
      </c>
      <c r="E3182">
        <v>1.33092510012113</v>
      </c>
      <c r="F3182">
        <v>1.1812195501088201</v>
      </c>
      <c r="G3182">
        <v>1.0002113244649899</v>
      </c>
      <c r="H3182">
        <v>0.74004817364612496</v>
      </c>
      <c r="I3182">
        <v>0.79382481810007799</v>
      </c>
      <c r="J3182">
        <v>1.0905969698640801</v>
      </c>
      <c r="K3182">
        <v>1.32821368432788</v>
      </c>
      <c r="L3182">
        <v>1.0000000000000001E-5</v>
      </c>
      <c r="M3182">
        <v>1.0000000000000001E-5</v>
      </c>
      <c r="Q3182">
        <v>1.3036192375665601</v>
      </c>
      <c r="R3182">
        <v>-8.1424567088817007E-9</v>
      </c>
      <c r="S3182" t="s">
        <v>6811</v>
      </c>
      <c r="T3182" t="s">
        <v>7256</v>
      </c>
      <c r="U3182" t="s">
        <v>7256</v>
      </c>
      <c r="V3182" t="s">
        <v>7256</v>
      </c>
      <c r="W3182">
        <v>3</v>
      </c>
      <c r="X3182" t="s">
        <v>10438</v>
      </c>
      <c r="Y3182">
        <v>1.151810363672197</v>
      </c>
      <c r="Z3182" t="str">
        <f>HYPERLINK("Melting_Curves/meltCurve_tr_D3YHP0_D3YHP0_HUMAN_.pdf", "Melting_Curves/meltCurve_tr_D3YHP0_D3YHP0_HUMAN_.pdf")</f>
        <v>Melting_Curves/meltCurve_tr_D3YHP0_D3YHP0_HUMAN_.pdf</v>
      </c>
      <c r="AA3182" t="s">
        <v>14019</v>
      </c>
      <c r="AB3182" t="s">
        <v>17601</v>
      </c>
    </row>
    <row r="3183" spans="1:28" x14ac:dyDescent="0.25">
      <c r="A3183" t="s">
        <v>3187</v>
      </c>
      <c r="B3183">
        <v>0.98018197421672304</v>
      </c>
      <c r="C3183">
        <v>0.81745467873715005</v>
      </c>
      <c r="D3183">
        <v>0.82201493913662704</v>
      </c>
      <c r="E3183">
        <v>0.76798745782318301</v>
      </c>
      <c r="F3183">
        <v>0.54831215524169796</v>
      </c>
      <c r="G3183">
        <v>0.40719395089972799</v>
      </c>
      <c r="H3183">
        <v>0.29771531803637502</v>
      </c>
      <c r="I3183">
        <v>0.28924406923727902</v>
      </c>
      <c r="J3183">
        <v>0.196646555044829</v>
      </c>
      <c r="K3183">
        <v>0.34736287420852702</v>
      </c>
      <c r="L3183">
        <v>531.64923328491795</v>
      </c>
      <c r="M3183">
        <v>10.228401970918</v>
      </c>
      <c r="N3183">
        <v>54.567564329288501</v>
      </c>
      <c r="O3183">
        <v>50.108438264788198</v>
      </c>
      <c r="P3183">
        <v>-4.1236941049067097E-2</v>
      </c>
      <c r="Q3183">
        <v>0.192288952577996</v>
      </c>
      <c r="R3183">
        <v>0.94876553733866897</v>
      </c>
      <c r="S3183" t="s">
        <v>6812</v>
      </c>
      <c r="T3183" t="s">
        <v>7256</v>
      </c>
      <c r="U3183" t="s">
        <v>7256</v>
      </c>
      <c r="V3183" t="s">
        <v>7256</v>
      </c>
      <c r="W3183">
        <v>1</v>
      </c>
      <c r="X3183" t="s">
        <v>10439</v>
      </c>
      <c r="Y3183">
        <v>0.54475303080743054</v>
      </c>
      <c r="Z3183" t="str">
        <f>HYPERLINK("Melting_Curves/meltCurve_tr_D3YTE0_D3YTE0_HUMAN_.pdf", "Melting_Curves/meltCurve_tr_D3YTE0_D3YTE0_HUMAN_.pdf")</f>
        <v>Melting_Curves/meltCurve_tr_D3YTE0_D3YTE0_HUMAN_.pdf</v>
      </c>
      <c r="AA3183" t="s">
        <v>14020</v>
      </c>
      <c r="AB3183" t="s">
        <v>17602</v>
      </c>
    </row>
    <row r="3184" spans="1:28" x14ac:dyDescent="0.25">
      <c r="A3184" t="s">
        <v>3188</v>
      </c>
      <c r="B3184">
        <v>0.98018197421672304</v>
      </c>
      <c r="C3184">
        <v>0.89692162857746205</v>
      </c>
      <c r="D3184">
        <v>0.84041820225889896</v>
      </c>
      <c r="E3184">
        <v>0.79493736087359002</v>
      </c>
      <c r="F3184">
        <v>0.59688726357879796</v>
      </c>
      <c r="G3184">
        <v>0.39791456012889498</v>
      </c>
      <c r="H3184">
        <v>0.34882463485091297</v>
      </c>
      <c r="I3184">
        <v>0.18176295679405199</v>
      </c>
      <c r="J3184">
        <v>0.135648528113822</v>
      </c>
      <c r="K3184">
        <v>7.4370471095945204E-2</v>
      </c>
      <c r="L3184">
        <v>548.16464483141306</v>
      </c>
      <c r="M3184">
        <v>9.9194569924205993</v>
      </c>
      <c r="N3184">
        <v>55.261557681023703</v>
      </c>
      <c r="O3184">
        <v>53.156294082528802</v>
      </c>
      <c r="P3184">
        <v>-4.6675719381469499E-2</v>
      </c>
      <c r="Q3184">
        <v>0</v>
      </c>
      <c r="R3184">
        <v>0.98628787409839003</v>
      </c>
      <c r="S3184" t="s">
        <v>6813</v>
      </c>
      <c r="T3184" t="s">
        <v>7256</v>
      </c>
      <c r="U3184" t="s">
        <v>7256</v>
      </c>
      <c r="V3184" t="s">
        <v>7256</v>
      </c>
      <c r="W3184">
        <v>2</v>
      </c>
      <c r="X3184" t="s">
        <v>10440</v>
      </c>
      <c r="Y3184">
        <v>0.53344539812925507</v>
      </c>
      <c r="Z3184" t="str">
        <f>HYPERLINK("Melting_Curves/meltCurve_tr_D6R905_D6R905_HUMAN_.pdf", "Melting_Curves/meltCurve_tr_D6R905_D6R905_HUMAN_.pdf")</f>
        <v>Melting_Curves/meltCurve_tr_D6R905_D6R905_HUMAN_.pdf</v>
      </c>
      <c r="AA3184" t="s">
        <v>14021</v>
      </c>
      <c r="AB3184" t="s">
        <v>17603</v>
      </c>
    </row>
    <row r="3185" spans="1:28" x14ac:dyDescent="0.25">
      <c r="A3185" t="s">
        <v>3189</v>
      </c>
      <c r="B3185">
        <v>0.98018197421672304</v>
      </c>
      <c r="C3185">
        <v>1.04043724595269</v>
      </c>
      <c r="D3185">
        <v>0.82214160343922305</v>
      </c>
      <c r="E3185">
        <v>0.728720273047886</v>
      </c>
      <c r="F3185">
        <v>0.473782305719053</v>
      </c>
      <c r="G3185">
        <v>0.27429596400760797</v>
      </c>
      <c r="H3185">
        <v>0.20066459026747099</v>
      </c>
      <c r="I3185">
        <v>0.19207700740752301</v>
      </c>
      <c r="J3185">
        <v>0.27967291490221702</v>
      </c>
      <c r="K3185">
        <v>0.22376537649668299</v>
      </c>
      <c r="L3185">
        <v>974.123540843976</v>
      </c>
      <c r="M3185">
        <v>19.0734362698587</v>
      </c>
      <c r="N3185">
        <v>52.530652624360897</v>
      </c>
      <c r="O3185">
        <v>50.520794410388199</v>
      </c>
      <c r="P3185">
        <v>-7.4985544713249405E-2</v>
      </c>
      <c r="Q3185">
        <v>0.205558908299147</v>
      </c>
      <c r="R3185">
        <v>0.97865023257573502</v>
      </c>
      <c r="S3185" t="s">
        <v>6814</v>
      </c>
      <c r="T3185" t="s">
        <v>7256</v>
      </c>
      <c r="U3185" t="s">
        <v>7256</v>
      </c>
      <c r="V3185" t="s">
        <v>7256</v>
      </c>
      <c r="W3185">
        <v>1</v>
      </c>
      <c r="X3185" t="s">
        <v>10441</v>
      </c>
      <c r="Y3185">
        <v>0.51080596868906847</v>
      </c>
      <c r="Z3185" t="str">
        <f>HYPERLINK("Melting_Curves/meltCurve_tr_D6R9C7_D6R9C7_HUMAN_.pdf", "Melting_Curves/meltCurve_tr_D6R9C7_D6R9C7_HUMAN_.pdf")</f>
        <v>Melting_Curves/meltCurve_tr_D6R9C7_D6R9C7_HUMAN_.pdf</v>
      </c>
      <c r="AA3185" t="s">
        <v>14022</v>
      </c>
      <c r="AB3185" t="s">
        <v>17604</v>
      </c>
    </row>
    <row r="3186" spans="1:28" x14ac:dyDescent="0.25">
      <c r="A3186" t="s">
        <v>3190</v>
      </c>
      <c r="B3186">
        <v>0.98018197421672304</v>
      </c>
      <c r="C3186">
        <v>0.97734640180829901</v>
      </c>
      <c r="D3186">
        <v>0.92205947298859003</v>
      </c>
      <c r="E3186">
        <v>0.79206154103565496</v>
      </c>
      <c r="F3186">
        <v>0.70529971308429296</v>
      </c>
      <c r="G3186">
        <v>0.52985617359646098</v>
      </c>
      <c r="H3186">
        <v>0.43646199341729502</v>
      </c>
      <c r="I3186">
        <v>0.44349068120408902</v>
      </c>
      <c r="J3186">
        <v>0.490974606532876</v>
      </c>
      <c r="K3186">
        <v>0.60757882200866797</v>
      </c>
      <c r="L3186">
        <v>991.56308199458499</v>
      </c>
      <c r="M3186">
        <v>19.381432525896301</v>
      </c>
      <c r="N3186">
        <v>63.091323374575602</v>
      </c>
      <c r="O3186">
        <v>50.625157010284497</v>
      </c>
      <c r="P3186">
        <v>-4.9082198602887199E-2</v>
      </c>
      <c r="Q3186">
        <v>0.48719942260364002</v>
      </c>
      <c r="R3186">
        <v>0.94046745604633897</v>
      </c>
      <c r="S3186" t="s">
        <v>6815</v>
      </c>
      <c r="T3186" t="s">
        <v>7256</v>
      </c>
      <c r="U3186" t="s">
        <v>7256</v>
      </c>
      <c r="V3186" t="s">
        <v>7256</v>
      </c>
      <c r="W3186">
        <v>4</v>
      </c>
      <c r="X3186" t="s">
        <v>10442</v>
      </c>
      <c r="Y3186">
        <v>0.6855104875408442</v>
      </c>
      <c r="Z3186" t="str">
        <f>HYPERLINK("Melting_Curves/meltCurve_tr_D6R9P3_D6R9P3_HUMAN_.pdf", "Melting_Curves/meltCurve_tr_D6R9P3_D6R9P3_HUMAN_.pdf")</f>
        <v>Melting_Curves/meltCurve_tr_D6R9P3_D6R9P3_HUMAN_.pdf</v>
      </c>
      <c r="AA3186" t="s">
        <v>14023</v>
      </c>
      <c r="AB3186" t="s">
        <v>17605</v>
      </c>
    </row>
    <row r="3187" spans="1:28" x14ac:dyDescent="0.25">
      <c r="A3187" t="s">
        <v>3191</v>
      </c>
      <c r="B3187">
        <v>0.98018197421672304</v>
      </c>
      <c r="C3187">
        <v>1.00118116238501</v>
      </c>
      <c r="D3187">
        <v>0.94098648065718704</v>
      </c>
      <c r="E3187">
        <v>0.80123225150630994</v>
      </c>
      <c r="F3187">
        <v>0.59604118712235798</v>
      </c>
      <c r="G3187">
        <v>0.19744216557800201</v>
      </c>
      <c r="H3187">
        <v>8.9047732793766002E-2</v>
      </c>
      <c r="I3187">
        <v>5.2380198319037098E-2</v>
      </c>
      <c r="J3187">
        <v>4.7881150286507301E-2</v>
      </c>
      <c r="K3187">
        <v>3.6910333911772703E-2</v>
      </c>
      <c r="L3187">
        <v>1160.2876189134699</v>
      </c>
      <c r="M3187">
        <v>21.70087462008</v>
      </c>
      <c r="N3187">
        <v>53.602749641382601</v>
      </c>
      <c r="O3187">
        <v>53.019502246010703</v>
      </c>
      <c r="P3187">
        <v>-9.9597902836158506E-2</v>
      </c>
      <c r="Q3187">
        <v>2.6673925531744299E-2</v>
      </c>
      <c r="R3187">
        <v>0.99745563805801296</v>
      </c>
      <c r="S3187" t="s">
        <v>6816</v>
      </c>
      <c r="T3187" t="s">
        <v>7256</v>
      </c>
      <c r="U3187" t="s">
        <v>7256</v>
      </c>
      <c r="V3187" t="s">
        <v>7256</v>
      </c>
      <c r="W3187">
        <v>21</v>
      </c>
      <c r="X3187" t="s">
        <v>10443</v>
      </c>
      <c r="Y3187">
        <v>0.47520542118623488</v>
      </c>
      <c r="Z3187" t="str">
        <f>HYPERLINK("Melting_Curves/meltCurve_tr_D6RB81_D6RB81_HUMAN_.pdf", "Melting_Curves/meltCurve_tr_D6RB81_D6RB81_HUMAN_.pdf")</f>
        <v>Melting_Curves/meltCurve_tr_D6RB81_D6RB81_HUMAN_.pdf</v>
      </c>
      <c r="AA3187" t="s">
        <v>14024</v>
      </c>
      <c r="AB3187" t="s">
        <v>17606</v>
      </c>
    </row>
    <row r="3188" spans="1:28" x14ac:dyDescent="0.25">
      <c r="A3188" t="s">
        <v>3192</v>
      </c>
      <c r="B3188">
        <v>0.98018197421672304</v>
      </c>
      <c r="C3188">
        <v>0.97382698265849899</v>
      </c>
      <c r="D3188">
        <v>0.85156876028884898</v>
      </c>
      <c r="E3188">
        <v>0.697079585582699</v>
      </c>
      <c r="F3188">
        <v>0.71537944715278101</v>
      </c>
      <c r="G3188">
        <v>0.54587424120446904</v>
      </c>
      <c r="H3188">
        <v>0.44381449565740599</v>
      </c>
      <c r="I3188">
        <v>0.51115954581633805</v>
      </c>
      <c r="J3188">
        <v>0.56981546773167302</v>
      </c>
      <c r="K3188">
        <v>0.83330176579676596</v>
      </c>
      <c r="L3188">
        <v>948.12481425257602</v>
      </c>
      <c r="M3188">
        <v>19.876735109701801</v>
      </c>
      <c r="O3188">
        <v>47.225286249734403</v>
      </c>
      <c r="P3188">
        <v>-4.33348121322015E-2</v>
      </c>
      <c r="Q3188">
        <v>0.58817569968822203</v>
      </c>
      <c r="R3188">
        <v>0.70493552879854204</v>
      </c>
      <c r="S3188" t="s">
        <v>6817</v>
      </c>
      <c r="T3188" t="s">
        <v>7256</v>
      </c>
      <c r="U3188" t="s">
        <v>7256</v>
      </c>
      <c r="V3188" t="s">
        <v>7256</v>
      </c>
      <c r="W3188">
        <v>5</v>
      </c>
      <c r="X3188" t="s">
        <v>10444</v>
      </c>
      <c r="Y3188">
        <v>0.6998523345196157</v>
      </c>
      <c r="Z3188" t="str">
        <f>HYPERLINK("Melting_Curves/meltCurve_tr_D6RBN5_D6RBN5_HUMAN_.pdf", "Melting_Curves/meltCurve_tr_D6RBN5_D6RBN5_HUMAN_.pdf")</f>
        <v>Melting_Curves/meltCurve_tr_D6RBN5_D6RBN5_HUMAN_.pdf</v>
      </c>
      <c r="AA3188" t="s">
        <v>14025</v>
      </c>
      <c r="AB3188" t="s">
        <v>17607</v>
      </c>
    </row>
    <row r="3189" spans="1:28" x14ac:dyDescent="0.25">
      <c r="A3189" t="s">
        <v>3193</v>
      </c>
      <c r="B3189">
        <v>0.98018197421672304</v>
      </c>
      <c r="C3189">
        <v>0.738103704599122</v>
      </c>
      <c r="D3189">
        <v>0.61795075416383005</v>
      </c>
      <c r="E3189">
        <v>0.33900486219633702</v>
      </c>
      <c r="F3189">
        <v>0.15969459581145701</v>
      </c>
      <c r="G3189">
        <v>0.134175416774964</v>
      </c>
      <c r="H3189">
        <v>2.3078877910115599E-2</v>
      </c>
      <c r="I3189">
        <v>5.5312549819489701E-2</v>
      </c>
      <c r="J3189">
        <v>0</v>
      </c>
      <c r="K3189">
        <v>0</v>
      </c>
      <c r="L3189">
        <v>633.18631454574097</v>
      </c>
      <c r="M3189">
        <v>13.3804496263872</v>
      </c>
      <c r="N3189">
        <v>47.321754595139197</v>
      </c>
      <c r="O3189">
        <v>46.302252248303297</v>
      </c>
      <c r="P3189">
        <v>-7.2256542674937793E-2</v>
      </c>
      <c r="Q3189">
        <v>0</v>
      </c>
      <c r="R3189">
        <v>0.98891549923148003</v>
      </c>
      <c r="S3189" t="s">
        <v>6818</v>
      </c>
      <c r="T3189" t="s">
        <v>7256</v>
      </c>
      <c r="U3189" t="s">
        <v>7256</v>
      </c>
      <c r="V3189" t="s">
        <v>7256</v>
      </c>
      <c r="W3189">
        <v>4</v>
      </c>
      <c r="X3189" t="s">
        <v>10445</v>
      </c>
      <c r="Y3189">
        <v>0.27749660136865101</v>
      </c>
      <c r="Z3189" t="str">
        <f>HYPERLINK("Melting_Curves/meltCurve_tr_D6RBS9_D6RBS9_HUMAN_.pdf", "Melting_Curves/meltCurve_tr_D6RBS9_D6RBS9_HUMAN_.pdf")</f>
        <v>Melting_Curves/meltCurve_tr_D6RBS9_D6RBS9_HUMAN_.pdf</v>
      </c>
      <c r="AA3189" t="s">
        <v>14026</v>
      </c>
      <c r="AB3189" t="s">
        <v>17608</v>
      </c>
    </row>
    <row r="3190" spans="1:28" x14ac:dyDescent="0.25">
      <c r="A3190" t="s">
        <v>3194</v>
      </c>
      <c r="B3190">
        <v>0.98018197421672304</v>
      </c>
      <c r="C3190">
        <v>0.92205409207474998</v>
      </c>
      <c r="D3190">
        <v>0.99211459057407303</v>
      </c>
      <c r="E3190">
        <v>0.82589153128181503</v>
      </c>
      <c r="F3190">
        <v>0.82273861190415498</v>
      </c>
      <c r="G3190">
        <v>0.60150000687841199</v>
      </c>
      <c r="H3190">
        <v>0.50890315315830903</v>
      </c>
      <c r="I3190">
        <v>0.58966042100543103</v>
      </c>
      <c r="J3190">
        <v>0.84608319596129</v>
      </c>
      <c r="K3190">
        <v>0.90367938214571897</v>
      </c>
      <c r="L3190">
        <v>1413.6816591253601</v>
      </c>
      <c r="M3190">
        <v>28.243968609417699</v>
      </c>
      <c r="O3190">
        <v>49.803614087199001</v>
      </c>
      <c r="P3190">
        <v>-4.2808145122766102E-2</v>
      </c>
      <c r="Q3190">
        <v>0.698061875917385</v>
      </c>
      <c r="R3190">
        <v>0.49047224392898497</v>
      </c>
      <c r="S3190" t="s">
        <v>6819</v>
      </c>
      <c r="T3190" t="s">
        <v>7256</v>
      </c>
      <c r="U3190" t="s">
        <v>7256</v>
      </c>
      <c r="V3190" t="s">
        <v>7256</v>
      </c>
      <c r="W3190">
        <v>1</v>
      </c>
      <c r="X3190" t="s">
        <v>10446</v>
      </c>
      <c r="Y3190">
        <v>0.80134796946046716</v>
      </c>
      <c r="Z3190" t="str">
        <f>HYPERLINK("Melting_Curves/meltCurve_tr_D6RBV0_D6RBV0_HUMAN_.pdf", "Melting_Curves/meltCurve_tr_D6RBV0_D6RBV0_HUMAN_.pdf")</f>
        <v>Melting_Curves/meltCurve_tr_D6RBV0_D6RBV0_HUMAN_.pdf</v>
      </c>
      <c r="AA3190" t="s">
        <v>14027</v>
      </c>
      <c r="AB3190" t="s">
        <v>17609</v>
      </c>
    </row>
    <row r="3191" spans="1:28" x14ac:dyDescent="0.25">
      <c r="A3191" t="s">
        <v>3195</v>
      </c>
      <c r="B3191">
        <v>0.98018197421672304</v>
      </c>
      <c r="C3191">
        <v>0.94997178032835405</v>
      </c>
      <c r="D3191">
        <v>0.71730770193652005</v>
      </c>
      <c r="E3191">
        <v>0.31783372681468303</v>
      </c>
      <c r="F3191">
        <v>0.175095816632059</v>
      </c>
      <c r="G3191">
        <v>9.60041031358113E-2</v>
      </c>
      <c r="H3191">
        <v>6.3929236905879094E-2</v>
      </c>
      <c r="I3191">
        <v>4.74685404349404E-2</v>
      </c>
      <c r="J3191">
        <v>5.3510458562050903E-2</v>
      </c>
      <c r="K3191">
        <v>3.5062603394034997E-2</v>
      </c>
      <c r="L3191">
        <v>1017.93518692909</v>
      </c>
      <c r="M3191">
        <v>21.239691393374301</v>
      </c>
      <c r="N3191">
        <v>48.166819732885102</v>
      </c>
      <c r="O3191">
        <v>47.507327518818698</v>
      </c>
      <c r="P3191">
        <v>-0.106144689619321</v>
      </c>
      <c r="Q3191">
        <v>5.0359240198412002E-2</v>
      </c>
      <c r="R3191">
        <v>0.99890583202370098</v>
      </c>
      <c r="S3191" t="s">
        <v>6820</v>
      </c>
      <c r="T3191" t="s">
        <v>7256</v>
      </c>
      <c r="U3191" t="s">
        <v>7256</v>
      </c>
      <c r="V3191" t="s">
        <v>7256</v>
      </c>
      <c r="W3191">
        <v>8</v>
      </c>
      <c r="X3191" t="s">
        <v>10447</v>
      </c>
      <c r="Y3191">
        <v>0.31314731654177769</v>
      </c>
      <c r="Z3191" t="str">
        <f>HYPERLINK("Melting_Curves/meltCurve_tr_D6RCD0_D6RCD0_HUMAN_.pdf", "Melting_Curves/meltCurve_tr_D6RCD0_D6RCD0_HUMAN_.pdf")</f>
        <v>Melting_Curves/meltCurve_tr_D6RCD0_D6RCD0_HUMAN_.pdf</v>
      </c>
      <c r="AA3191" t="s">
        <v>14028</v>
      </c>
      <c r="AB3191" t="s">
        <v>17610</v>
      </c>
    </row>
    <row r="3192" spans="1:28" x14ac:dyDescent="0.25">
      <c r="A3192" t="s">
        <v>3196</v>
      </c>
      <c r="B3192">
        <v>0.98018197421672304</v>
      </c>
      <c r="C3192">
        <v>0.81241820883650395</v>
      </c>
      <c r="D3192">
        <v>0.714077770136888</v>
      </c>
      <c r="E3192">
        <v>0.28835692834031201</v>
      </c>
      <c r="F3192">
        <v>0.112559089365593</v>
      </c>
      <c r="G3192">
        <v>6.5691386313132594E-2</v>
      </c>
      <c r="H3192">
        <v>5.3978556869600097E-2</v>
      </c>
      <c r="I3192">
        <v>4.4143218783831401E-2</v>
      </c>
      <c r="J3192">
        <v>5.62274566125067E-2</v>
      </c>
      <c r="K3192">
        <v>3.9405611592590699E-2</v>
      </c>
      <c r="L3192">
        <v>922.10315644276704</v>
      </c>
      <c r="M3192">
        <v>19.439551486326501</v>
      </c>
      <c r="N3192">
        <v>47.613025719561698</v>
      </c>
      <c r="O3192">
        <v>46.940965422942398</v>
      </c>
      <c r="P3192">
        <v>-9.98944993285448E-2</v>
      </c>
      <c r="Q3192">
        <v>3.5168153324620401E-2</v>
      </c>
      <c r="R3192">
        <v>0.99138862313776399</v>
      </c>
      <c r="S3192" t="s">
        <v>6821</v>
      </c>
      <c r="T3192" t="s">
        <v>7256</v>
      </c>
      <c r="U3192" t="s">
        <v>7256</v>
      </c>
      <c r="V3192" t="s">
        <v>7256</v>
      </c>
      <c r="W3192">
        <v>2</v>
      </c>
      <c r="X3192" t="s">
        <v>10448</v>
      </c>
      <c r="Y3192">
        <v>0.28906010971775148</v>
      </c>
      <c r="Z3192" t="str">
        <f>HYPERLINK("Melting_Curves/meltCurve_tr_D6RD47_D6RD47_HUMAN_.pdf", "Melting_Curves/meltCurve_tr_D6RD47_D6RD47_HUMAN_.pdf")</f>
        <v>Melting_Curves/meltCurve_tr_D6RD47_D6RD47_HUMAN_.pdf</v>
      </c>
      <c r="AA3192" t="s">
        <v>14029</v>
      </c>
      <c r="AB3192" t="s">
        <v>17611</v>
      </c>
    </row>
    <row r="3193" spans="1:28" x14ac:dyDescent="0.25">
      <c r="A3193" t="s">
        <v>3197</v>
      </c>
      <c r="B3193">
        <v>0.98018197421672304</v>
      </c>
      <c r="C3193">
        <v>0.78756600172570801</v>
      </c>
      <c r="D3193">
        <v>0.73137518334098495</v>
      </c>
      <c r="E3193">
        <v>0.67989537569161196</v>
      </c>
      <c r="F3193">
        <v>0</v>
      </c>
      <c r="G3193">
        <v>0.349047050857553</v>
      </c>
      <c r="H3193">
        <v>0.33095088454073401</v>
      </c>
      <c r="I3193">
        <v>0.29282610170004503</v>
      </c>
      <c r="J3193">
        <v>0.101774909518475</v>
      </c>
      <c r="K3193">
        <v>4.5087799434199098E-2</v>
      </c>
      <c r="L3193">
        <v>650.95190851410496</v>
      </c>
      <c r="M3193">
        <v>13.4836575111394</v>
      </c>
      <c r="N3193">
        <v>49.584101897265498</v>
      </c>
      <c r="O3193">
        <v>47.252327454454402</v>
      </c>
      <c r="P3193">
        <v>-6.0678475595503503E-2</v>
      </c>
      <c r="Q3193">
        <v>0.14956018822369299</v>
      </c>
      <c r="R3193">
        <v>0.78493398720970498</v>
      </c>
      <c r="S3193" t="s">
        <v>6822</v>
      </c>
      <c r="T3193" t="s">
        <v>7256</v>
      </c>
      <c r="U3193" t="s">
        <v>7256</v>
      </c>
      <c r="V3193" t="s">
        <v>7256</v>
      </c>
      <c r="W3193">
        <v>10</v>
      </c>
      <c r="X3193" t="s">
        <v>10449</v>
      </c>
      <c r="Y3193">
        <v>0.41068604986809309</v>
      </c>
      <c r="Z3193" t="str">
        <f>HYPERLINK("Melting_Curves/meltCurve_tr_D6RD67_D6RD67_HUMAN_.pdf", "Melting_Curves/meltCurve_tr_D6RD67_D6RD67_HUMAN_.pdf")</f>
        <v>Melting_Curves/meltCurve_tr_D6RD67_D6RD67_HUMAN_.pdf</v>
      </c>
      <c r="AA3193" t="s">
        <v>13450</v>
      </c>
      <c r="AB3193" t="s">
        <v>17612</v>
      </c>
    </row>
    <row r="3194" spans="1:28" x14ac:dyDescent="0.25">
      <c r="A3194" t="s">
        <v>3198</v>
      </c>
      <c r="B3194">
        <v>0.98018197421672304</v>
      </c>
      <c r="C3194">
        <v>0.80679435154087098</v>
      </c>
      <c r="D3194">
        <v>0.91001475084067995</v>
      </c>
      <c r="E3194">
        <v>0.82870488321327096</v>
      </c>
      <c r="F3194">
        <v>0.872196125968145</v>
      </c>
      <c r="G3194">
        <v>0.82350496004559104</v>
      </c>
      <c r="H3194">
        <v>0.72880294168657</v>
      </c>
      <c r="I3194">
        <v>0.72961581928531105</v>
      </c>
      <c r="J3194">
        <v>0.90124302674297696</v>
      </c>
      <c r="K3194">
        <v>0.53309738466564605</v>
      </c>
      <c r="L3194">
        <v>172.09546209963401</v>
      </c>
      <c r="M3194">
        <v>1.65421876614873</v>
      </c>
      <c r="O3194">
        <v>54.597742360111098</v>
      </c>
      <c r="P3194">
        <v>-8.6223894559712896E-3</v>
      </c>
      <c r="Q3194">
        <v>0</v>
      </c>
      <c r="R3194">
        <v>0.44588712281671899</v>
      </c>
      <c r="S3194" t="s">
        <v>6823</v>
      </c>
      <c r="T3194" t="s">
        <v>7256</v>
      </c>
      <c r="U3194" t="s">
        <v>7256</v>
      </c>
      <c r="V3194" t="s">
        <v>7256</v>
      </c>
      <c r="W3194">
        <v>3</v>
      </c>
      <c r="X3194" t="s">
        <v>10450</v>
      </c>
      <c r="Y3194">
        <v>0.81358084928967245</v>
      </c>
      <c r="Z3194" t="str">
        <f>HYPERLINK("Melting_Curves/meltCurve_tr_D6RDG3_D6RDG3_HUMAN_.pdf", "Melting_Curves/meltCurve_tr_D6RDG3_D6RDG3_HUMAN_.pdf")</f>
        <v>Melting_Curves/meltCurve_tr_D6RDG3_D6RDG3_HUMAN_.pdf</v>
      </c>
      <c r="AA3194" t="s">
        <v>11554</v>
      </c>
      <c r="AB3194" t="s">
        <v>17613</v>
      </c>
    </row>
    <row r="3195" spans="1:28" x14ac:dyDescent="0.25">
      <c r="A3195" t="s">
        <v>3199</v>
      </c>
      <c r="B3195">
        <v>0.98018197421672304</v>
      </c>
      <c r="C3195">
        <v>0.97284328065304504</v>
      </c>
      <c r="D3195">
        <v>0.86983510767107097</v>
      </c>
      <c r="E3195">
        <v>0.73591109059244397</v>
      </c>
      <c r="F3195">
        <v>0.56583312911990102</v>
      </c>
      <c r="G3195">
        <v>0.32343106340310701</v>
      </c>
      <c r="H3195">
        <v>0.27135696527109299</v>
      </c>
      <c r="I3195">
        <v>0.15208792155072001</v>
      </c>
      <c r="J3195">
        <v>0.31504173752665598</v>
      </c>
      <c r="K3195">
        <v>7.0313448026227798E-2</v>
      </c>
      <c r="L3195">
        <v>712.38353670439699</v>
      </c>
      <c r="M3195">
        <v>13.5023880056387</v>
      </c>
      <c r="N3195">
        <v>53.9495462016394</v>
      </c>
      <c r="O3195">
        <v>51.6428837917951</v>
      </c>
      <c r="P3195">
        <v>-5.6956532999301701E-2</v>
      </c>
      <c r="Q3195">
        <v>0.128761107520944</v>
      </c>
      <c r="R3195">
        <v>0.96891257961520505</v>
      </c>
      <c r="S3195" t="s">
        <v>6824</v>
      </c>
      <c r="T3195" t="s">
        <v>7256</v>
      </c>
      <c r="U3195" t="s">
        <v>7256</v>
      </c>
      <c r="V3195" t="s">
        <v>7256</v>
      </c>
      <c r="W3195">
        <v>13</v>
      </c>
      <c r="X3195" t="s">
        <v>10451</v>
      </c>
      <c r="Y3195">
        <v>0.52117670105277702</v>
      </c>
      <c r="Z3195" t="str">
        <f>HYPERLINK("Melting_Curves/meltCurve_tr_D6RGI3_D6RGI3_HUMAN_.pdf", "Melting_Curves/meltCurve_tr_D6RGI3_D6RGI3_HUMAN_.pdf")</f>
        <v>Melting_Curves/meltCurve_tr_D6RGI3_D6RGI3_HUMAN_.pdf</v>
      </c>
      <c r="AA3195" t="s">
        <v>14030</v>
      </c>
      <c r="AB3195" t="s">
        <v>17614</v>
      </c>
    </row>
    <row r="3196" spans="1:28" x14ac:dyDescent="0.25">
      <c r="A3196" t="s">
        <v>3200</v>
      </c>
      <c r="B3196">
        <v>0.98018197421672304</v>
      </c>
      <c r="C3196">
        <v>0.99063978564188004</v>
      </c>
      <c r="D3196">
        <v>0.92633255935199099</v>
      </c>
      <c r="E3196">
        <v>0.83390172287042097</v>
      </c>
      <c r="F3196">
        <v>0.80339595264761998</v>
      </c>
      <c r="G3196">
        <v>0.63187583653071699</v>
      </c>
      <c r="H3196">
        <v>0.43309706762963501</v>
      </c>
      <c r="I3196">
        <v>0.45522171490378299</v>
      </c>
      <c r="J3196">
        <v>0.364753586108649</v>
      </c>
      <c r="K3196">
        <v>0.66372361970335703</v>
      </c>
      <c r="L3196">
        <v>943.44909189422799</v>
      </c>
      <c r="M3196">
        <v>17.671495551060801</v>
      </c>
      <c r="N3196">
        <v>62.9584448534317</v>
      </c>
      <c r="O3196">
        <v>52.718579003773897</v>
      </c>
      <c r="P3196">
        <v>-4.4757901075217502E-2</v>
      </c>
      <c r="Q3196">
        <v>0.46593129253684801</v>
      </c>
      <c r="R3196">
        <v>0.86517573625176003</v>
      </c>
      <c r="S3196" t="s">
        <v>6825</v>
      </c>
      <c r="T3196" t="s">
        <v>7256</v>
      </c>
      <c r="U3196" t="s">
        <v>7256</v>
      </c>
      <c r="V3196" t="s">
        <v>7256</v>
      </c>
      <c r="W3196">
        <v>4</v>
      </c>
      <c r="X3196" t="s">
        <v>10452</v>
      </c>
      <c r="Y3196">
        <v>0.71319785544639613</v>
      </c>
      <c r="Z3196" t="str">
        <f>HYPERLINK("Melting_Curves/meltCurve_tr_D6RHI9_D6RHI9_HUMAN_.pdf", "Melting_Curves/meltCurve_tr_D6RHI9_D6RHI9_HUMAN_.pdf")</f>
        <v>Melting_Curves/meltCurve_tr_D6RHI9_D6RHI9_HUMAN_.pdf</v>
      </c>
      <c r="AA3196" t="s">
        <v>14031</v>
      </c>
      <c r="AB3196" t="s">
        <v>17615</v>
      </c>
    </row>
    <row r="3197" spans="1:28" x14ac:dyDescent="0.25">
      <c r="A3197" t="s">
        <v>3201</v>
      </c>
      <c r="B3197">
        <v>0.98018197421672304</v>
      </c>
      <c r="C3197">
        <v>0.87519287422770098</v>
      </c>
      <c r="D3197">
        <v>0.60391662281390301</v>
      </c>
      <c r="E3197">
        <v>0.28029740054431401</v>
      </c>
      <c r="F3197">
        <v>0.17140902474248099</v>
      </c>
      <c r="G3197">
        <v>0.107042822950054</v>
      </c>
      <c r="H3197">
        <v>6.8409104710506805E-2</v>
      </c>
      <c r="I3197">
        <v>5.6792056529770998E-2</v>
      </c>
      <c r="J3197">
        <v>5.9219113212434699E-2</v>
      </c>
      <c r="K3197">
        <v>4.6426200168298799E-2</v>
      </c>
      <c r="L3197">
        <v>879.22614943037399</v>
      </c>
      <c r="M3197">
        <v>18.731900971766201</v>
      </c>
      <c r="N3197">
        <v>47.245064811417997</v>
      </c>
      <c r="O3197">
        <v>46.4122424174397</v>
      </c>
      <c r="P3197">
        <v>-9.5109477806539805E-2</v>
      </c>
      <c r="Q3197">
        <v>5.7424435873218702E-2</v>
      </c>
      <c r="R3197">
        <v>0.99886261052159298</v>
      </c>
      <c r="S3197" t="s">
        <v>6826</v>
      </c>
      <c r="T3197" t="s">
        <v>7256</v>
      </c>
      <c r="U3197" t="s">
        <v>7256</v>
      </c>
      <c r="V3197" t="s">
        <v>7256</v>
      </c>
      <c r="W3197">
        <v>24</v>
      </c>
      <c r="X3197" t="s">
        <v>10453</v>
      </c>
      <c r="Y3197">
        <v>0.29137753870857869</v>
      </c>
      <c r="Z3197" t="str">
        <f>HYPERLINK("Melting_Curves/meltCurve_tr_E2QRD0_E2QRD0_HUMAN_.pdf", "Melting_Curves/meltCurve_tr_E2QRD0_E2QRD0_HUMAN_.pdf")</f>
        <v>Melting_Curves/meltCurve_tr_E2QRD0_E2QRD0_HUMAN_.pdf</v>
      </c>
      <c r="AA3197" t="s">
        <v>14032</v>
      </c>
      <c r="AB3197" t="s">
        <v>17616</v>
      </c>
    </row>
    <row r="3198" spans="1:28" x14ac:dyDescent="0.25">
      <c r="A3198" t="s">
        <v>3202</v>
      </c>
      <c r="B3198">
        <v>0.98018197421672304</v>
      </c>
      <c r="C3198">
        <v>0.98803774548120904</v>
      </c>
      <c r="D3198">
        <v>0.981073422843178</v>
      </c>
      <c r="E3198">
        <v>0.77881201600268901</v>
      </c>
      <c r="F3198">
        <v>0.69319757754964395</v>
      </c>
      <c r="G3198">
        <v>0.47470576826939198</v>
      </c>
      <c r="H3198">
        <v>0.35941460845587397</v>
      </c>
      <c r="I3198">
        <v>0.29694070743460499</v>
      </c>
      <c r="J3198">
        <v>0.27270785439630002</v>
      </c>
      <c r="K3198">
        <v>0.31481204828091303</v>
      </c>
      <c r="L3198">
        <v>841.11301938133101</v>
      </c>
      <c r="M3198">
        <v>15.680968194319099</v>
      </c>
      <c r="N3198">
        <v>56.3177939209126</v>
      </c>
      <c r="O3198">
        <v>52.789480272660398</v>
      </c>
      <c r="P3198">
        <v>-5.4747918761339297E-2</v>
      </c>
      <c r="Q3198">
        <v>0.262834062689773</v>
      </c>
      <c r="R3198">
        <v>0.99301783652366105</v>
      </c>
      <c r="S3198" t="s">
        <v>6827</v>
      </c>
      <c r="T3198" t="s">
        <v>7256</v>
      </c>
      <c r="U3198" t="s">
        <v>7256</v>
      </c>
      <c r="V3198" t="s">
        <v>7256</v>
      </c>
      <c r="W3198">
        <v>5</v>
      </c>
      <c r="X3198" t="s">
        <v>10454</v>
      </c>
      <c r="Y3198">
        <v>0.61250405482940795</v>
      </c>
      <c r="Z3198" t="str">
        <f>HYPERLINK("Melting_Curves/meltCurve_tr_E2QRD5_E2QRD5_HUMAN_.pdf", "Melting_Curves/meltCurve_tr_E2QRD5_E2QRD5_HUMAN_.pdf")</f>
        <v>Melting_Curves/meltCurve_tr_E2QRD5_E2QRD5_HUMAN_.pdf</v>
      </c>
      <c r="AA3198" t="s">
        <v>14033</v>
      </c>
      <c r="AB3198" t="s">
        <v>17617</v>
      </c>
    </row>
    <row r="3199" spans="1:28" x14ac:dyDescent="0.25">
      <c r="A3199" t="s">
        <v>3203</v>
      </c>
      <c r="B3199">
        <v>0.98018197421672304</v>
      </c>
      <c r="C3199">
        <v>1.04911395227744</v>
      </c>
      <c r="D3199">
        <v>0.82512303671105003</v>
      </c>
      <c r="E3199">
        <v>0.58955287475538698</v>
      </c>
      <c r="F3199">
        <v>0.42593445232975902</v>
      </c>
      <c r="G3199">
        <v>0.278060662016682</v>
      </c>
      <c r="H3199">
        <v>0.20725940426547701</v>
      </c>
      <c r="I3199">
        <v>0.22212394337000399</v>
      </c>
      <c r="J3199">
        <v>0.25597399179417402</v>
      </c>
      <c r="K3199">
        <v>0.260626922866949</v>
      </c>
      <c r="L3199">
        <v>980.482661897036</v>
      </c>
      <c r="M3199">
        <v>19.744785459084799</v>
      </c>
      <c r="N3199">
        <v>51.255851124954603</v>
      </c>
      <c r="O3199">
        <v>49.156836858515703</v>
      </c>
      <c r="P3199">
        <v>-7.7339829208926597E-2</v>
      </c>
      <c r="Q3199">
        <v>0.229841797769617</v>
      </c>
      <c r="R3199">
        <v>0.987129566557302</v>
      </c>
      <c r="S3199" t="s">
        <v>6828</v>
      </c>
      <c r="T3199" t="s">
        <v>7256</v>
      </c>
      <c r="U3199" t="s">
        <v>7256</v>
      </c>
      <c r="V3199" t="s">
        <v>7256</v>
      </c>
      <c r="W3199">
        <v>1</v>
      </c>
      <c r="X3199" t="s">
        <v>10455</v>
      </c>
      <c r="Y3199">
        <v>0.48879034532957749</v>
      </c>
      <c r="Z3199" t="str">
        <f>HYPERLINK("Melting_Curves/meltCurve_tr_E5RFZ8_E5RFZ8_HUMAN_.pdf", "Melting_Curves/meltCurve_tr_E5RFZ8_E5RFZ8_HUMAN_.pdf")</f>
        <v>Melting_Curves/meltCurve_tr_E5RFZ8_E5RFZ8_HUMAN_.pdf</v>
      </c>
      <c r="AA3199" t="s">
        <v>14034</v>
      </c>
      <c r="AB3199" t="s">
        <v>17618</v>
      </c>
    </row>
    <row r="3200" spans="1:28" x14ac:dyDescent="0.25">
      <c r="A3200" t="s">
        <v>3204</v>
      </c>
      <c r="B3200">
        <v>0.98018197421672304</v>
      </c>
      <c r="C3200">
        <v>0.93790982657192401</v>
      </c>
      <c r="D3200">
        <v>0.95158561717590595</v>
      </c>
      <c r="E3200">
        <v>0.84606092062550797</v>
      </c>
      <c r="F3200">
        <v>0.75516664465294903</v>
      </c>
      <c r="G3200">
        <v>0.62724471761857403</v>
      </c>
      <c r="H3200">
        <v>0.53973254964522999</v>
      </c>
      <c r="I3200">
        <v>0.59189352670423701</v>
      </c>
      <c r="J3200">
        <v>0.67815981553839899</v>
      </c>
      <c r="K3200">
        <v>0.74533446447608098</v>
      </c>
      <c r="L3200">
        <v>1188.21079575832</v>
      </c>
      <c r="M3200">
        <v>23.478796607208899</v>
      </c>
      <c r="O3200">
        <v>50.244983963286003</v>
      </c>
      <c r="P3200">
        <v>-4.2760404052503802E-2</v>
      </c>
      <c r="Q3200">
        <v>0.63397463884264704</v>
      </c>
      <c r="R3200">
        <v>0.85850321439257304</v>
      </c>
      <c r="S3200" t="s">
        <v>6829</v>
      </c>
      <c r="T3200" t="s">
        <v>7256</v>
      </c>
      <c r="U3200" t="s">
        <v>7256</v>
      </c>
      <c r="V3200" t="s">
        <v>7256</v>
      </c>
      <c r="W3200">
        <v>3</v>
      </c>
      <c r="X3200" t="s">
        <v>10456</v>
      </c>
      <c r="Y3200">
        <v>0.76712648305066433</v>
      </c>
      <c r="Z3200" t="str">
        <f>HYPERLINK("Melting_Curves/meltCurve_tr_E5RGX5_E5RGX5_HUMAN_.pdf", "Melting_Curves/meltCurve_tr_E5RGX5_E5RGX5_HUMAN_.pdf")</f>
        <v>Melting_Curves/meltCurve_tr_E5RGX5_E5RGX5_HUMAN_.pdf</v>
      </c>
      <c r="AA3200" t="s">
        <v>14035</v>
      </c>
      <c r="AB3200" t="s">
        <v>15073</v>
      </c>
    </row>
    <row r="3201" spans="1:28" x14ac:dyDescent="0.25">
      <c r="A3201" t="s">
        <v>3205</v>
      </c>
      <c r="B3201">
        <v>0.98018197421672304</v>
      </c>
      <c r="C3201">
        <v>0.938231810556171</v>
      </c>
      <c r="D3201">
        <v>0.81059444448902995</v>
      </c>
      <c r="E3201">
        <v>0.47670883222569699</v>
      </c>
      <c r="F3201">
        <v>0.280358255347543</v>
      </c>
      <c r="G3201">
        <v>9.6670603824233203E-2</v>
      </c>
      <c r="H3201">
        <v>7.3659406690993995E-2</v>
      </c>
      <c r="I3201">
        <v>6.7146778189104403E-2</v>
      </c>
      <c r="J3201">
        <v>8.6811726758711502E-2</v>
      </c>
      <c r="K3201">
        <v>0</v>
      </c>
      <c r="L3201">
        <v>884.37009929617898</v>
      </c>
      <c r="M3201">
        <v>17.843258020427299</v>
      </c>
      <c r="N3201">
        <v>49.777041632659497</v>
      </c>
      <c r="O3201">
        <v>48.9533059481723</v>
      </c>
      <c r="P3201">
        <v>-8.7767288731708401E-2</v>
      </c>
      <c r="Q3201">
        <v>3.68845155032664E-2</v>
      </c>
      <c r="R3201">
        <v>0.99668939987534</v>
      </c>
      <c r="S3201" t="s">
        <v>6830</v>
      </c>
      <c r="T3201" t="s">
        <v>7256</v>
      </c>
      <c r="U3201" t="s">
        <v>7256</v>
      </c>
      <c r="V3201" t="s">
        <v>7256</v>
      </c>
      <c r="W3201">
        <v>1</v>
      </c>
      <c r="X3201" t="s">
        <v>10457</v>
      </c>
      <c r="Y3201">
        <v>0.36070954239544789</v>
      </c>
      <c r="Z3201" t="str">
        <f>HYPERLINK("Melting_Curves/meltCurve_tr_E5RHF4_E5RHF4_HUMAN_.pdf", "Melting_Curves/meltCurve_tr_E5RHF4_E5RHF4_HUMAN_.pdf")</f>
        <v>Melting_Curves/meltCurve_tr_E5RHF4_E5RHF4_HUMAN_.pdf</v>
      </c>
      <c r="AA3201" t="s">
        <v>14036</v>
      </c>
      <c r="AB3201" t="s">
        <v>17619</v>
      </c>
    </row>
    <row r="3202" spans="1:28" x14ac:dyDescent="0.25">
      <c r="A3202" t="s">
        <v>3206</v>
      </c>
      <c r="B3202">
        <v>0.98018197421672304</v>
      </c>
      <c r="C3202">
        <v>0.92899449209781304</v>
      </c>
      <c r="D3202">
        <v>0.91111748141147697</v>
      </c>
      <c r="E3202">
        <v>0.77653317261152499</v>
      </c>
      <c r="F3202">
        <v>0.55082790849278496</v>
      </c>
      <c r="G3202">
        <v>0.19702959656047001</v>
      </c>
      <c r="H3202">
        <v>8.5548041710713105E-2</v>
      </c>
      <c r="I3202">
        <v>6.5364170207827199E-2</v>
      </c>
      <c r="J3202">
        <v>7.3574645568696806E-2</v>
      </c>
      <c r="K3202">
        <v>5.5511904082880502E-2</v>
      </c>
      <c r="L3202">
        <v>1053.69318647505</v>
      </c>
      <c r="M3202">
        <v>19.884233155701299</v>
      </c>
      <c r="N3202">
        <v>53.2014208744068</v>
      </c>
      <c r="O3202">
        <v>52.4641559588608</v>
      </c>
      <c r="P3202">
        <v>-9.1177545611988597E-2</v>
      </c>
      <c r="Q3202">
        <v>3.7751430511620901E-2</v>
      </c>
      <c r="R3202">
        <v>0.99386560522908596</v>
      </c>
      <c r="S3202" t="s">
        <v>6831</v>
      </c>
      <c r="T3202" t="s">
        <v>7256</v>
      </c>
      <c r="U3202" t="s">
        <v>7256</v>
      </c>
      <c r="V3202" t="s">
        <v>7256</v>
      </c>
      <c r="W3202">
        <v>4</v>
      </c>
      <c r="X3202" t="s">
        <v>10458</v>
      </c>
      <c r="Y3202">
        <v>0.4678169078486123</v>
      </c>
      <c r="Z3202" t="str">
        <f>HYPERLINK("Melting_Curves/meltCurve_tr_E5RHG8_E5RHG8_HUMAN_.pdf", "Melting_Curves/meltCurve_tr_E5RHG8_E5RHG8_HUMAN_.pdf")</f>
        <v>Melting_Curves/meltCurve_tr_E5RHG8_E5RHG8_HUMAN_.pdf</v>
      </c>
      <c r="AA3202" t="s">
        <v>14037</v>
      </c>
      <c r="AB3202" t="s">
        <v>17620</v>
      </c>
    </row>
    <row r="3203" spans="1:28" x14ac:dyDescent="0.25">
      <c r="A3203" t="s">
        <v>3207</v>
      </c>
      <c r="B3203">
        <v>0.98018197421672304</v>
      </c>
      <c r="C3203">
        <v>0.78066298298649495</v>
      </c>
      <c r="D3203">
        <v>0.82877254368690101</v>
      </c>
      <c r="E3203">
        <v>0.90958167257376898</v>
      </c>
      <c r="F3203">
        <v>0.90256092991352599</v>
      </c>
      <c r="G3203">
        <v>0.86695747620852903</v>
      </c>
      <c r="H3203">
        <v>0.73424526671115897</v>
      </c>
      <c r="I3203">
        <v>0.73714880260770999</v>
      </c>
      <c r="J3203">
        <v>0.67690576289950599</v>
      </c>
      <c r="K3203">
        <v>0.34960506049621498</v>
      </c>
      <c r="L3203">
        <v>430.14813800419802</v>
      </c>
      <c r="M3203">
        <v>6.0735062283236596</v>
      </c>
      <c r="O3203">
        <v>64.2950449177998</v>
      </c>
      <c r="P3203">
        <v>-2.3688992755183099E-2</v>
      </c>
      <c r="Q3203">
        <v>0</v>
      </c>
      <c r="R3203">
        <v>0.62659012743175502</v>
      </c>
      <c r="S3203" t="s">
        <v>6832</v>
      </c>
      <c r="T3203" t="s">
        <v>7256</v>
      </c>
      <c r="U3203" t="s">
        <v>7256</v>
      </c>
      <c r="V3203" t="s">
        <v>7256</v>
      </c>
      <c r="W3203">
        <v>1</v>
      </c>
      <c r="X3203" t="s">
        <v>10459</v>
      </c>
      <c r="Y3203">
        <v>0.81545998199943903</v>
      </c>
      <c r="Z3203" t="str">
        <f>HYPERLINK("Melting_Curves/meltCurve_tr_E5RHG9_E5RHG9_HUMAN_.pdf", "Melting_Curves/meltCurve_tr_E5RHG9_E5RHG9_HUMAN_.pdf")</f>
        <v>Melting_Curves/meltCurve_tr_E5RHG9_E5RHG9_HUMAN_.pdf</v>
      </c>
      <c r="AA3203" t="s">
        <v>14038</v>
      </c>
      <c r="AB3203" t="s">
        <v>17621</v>
      </c>
    </row>
    <row r="3204" spans="1:28" x14ac:dyDescent="0.25">
      <c r="A3204" t="s">
        <v>3208</v>
      </c>
      <c r="B3204">
        <v>0.98018197421672304</v>
      </c>
      <c r="C3204">
        <v>0.91983897697221695</v>
      </c>
      <c r="D3204">
        <v>0.94854690894695304</v>
      </c>
      <c r="E3204">
        <v>0.81048989827447604</v>
      </c>
      <c r="F3204">
        <v>0.74937303049120296</v>
      </c>
      <c r="G3204">
        <v>0.47185325963191699</v>
      </c>
      <c r="H3204">
        <v>0.44465886438893498</v>
      </c>
      <c r="I3204">
        <v>0.52841492556259295</v>
      </c>
      <c r="J3204">
        <v>0.80728093230158204</v>
      </c>
      <c r="K3204">
        <v>0.88403883072795397</v>
      </c>
      <c r="L3204">
        <v>1457.3093801581799</v>
      </c>
      <c r="M3204">
        <v>29.223216271500601</v>
      </c>
      <c r="O3204">
        <v>49.636418771918301</v>
      </c>
      <c r="P3204">
        <v>-5.3659586666132401E-2</v>
      </c>
      <c r="Q3204">
        <v>0.63543349223811196</v>
      </c>
      <c r="R3204">
        <v>0.50770520670411501</v>
      </c>
      <c r="S3204" t="s">
        <v>6833</v>
      </c>
      <c r="T3204" t="s">
        <v>7256</v>
      </c>
      <c r="U3204" t="s">
        <v>7256</v>
      </c>
      <c r="V3204" t="s">
        <v>7256</v>
      </c>
      <c r="W3204">
        <v>2</v>
      </c>
      <c r="X3204" t="s">
        <v>10460</v>
      </c>
      <c r="Y3204">
        <v>0.75772705328635959</v>
      </c>
      <c r="Z3204" t="str">
        <f>HYPERLINK("Melting_Curves/meltCurve_tr_E5RIG5_E5RIG5_HUMAN_.pdf", "Melting_Curves/meltCurve_tr_E5RIG5_E5RIG5_HUMAN_.pdf")</f>
        <v>Melting_Curves/meltCurve_tr_E5RIG5_E5RIG5_HUMAN_.pdf</v>
      </c>
      <c r="AA3204" t="s">
        <v>14039</v>
      </c>
      <c r="AB3204" t="s">
        <v>17622</v>
      </c>
    </row>
    <row r="3205" spans="1:28" x14ac:dyDescent="0.25">
      <c r="A3205" t="s">
        <v>3209</v>
      </c>
      <c r="B3205">
        <v>0.98018197421672304</v>
      </c>
      <c r="C3205">
        <v>0.9791161353758</v>
      </c>
      <c r="D3205">
        <v>0.88845275530131995</v>
      </c>
      <c r="E3205">
        <v>0.61408733956333905</v>
      </c>
      <c r="F3205">
        <v>0.45510146683583302</v>
      </c>
      <c r="G3205">
        <v>0.266368469994132</v>
      </c>
      <c r="H3205">
        <v>0.10946586408803401</v>
      </c>
      <c r="I3205">
        <v>7.5471161294136696E-2</v>
      </c>
      <c r="J3205">
        <v>7.9379654263636301E-2</v>
      </c>
      <c r="K3205">
        <v>6.1332108482360002E-2</v>
      </c>
      <c r="L3205">
        <v>760.932289512225</v>
      </c>
      <c r="M3205">
        <v>14.6653541085253</v>
      </c>
      <c r="N3205">
        <v>52.141646869952403</v>
      </c>
      <c r="O3205">
        <v>50.950271149812501</v>
      </c>
      <c r="P3205">
        <v>-6.9474271870774207E-2</v>
      </c>
      <c r="Q3205">
        <v>3.4638401096229898E-2</v>
      </c>
      <c r="R3205">
        <v>0.99726898025997202</v>
      </c>
      <c r="S3205" t="s">
        <v>6834</v>
      </c>
      <c r="T3205" t="s">
        <v>7256</v>
      </c>
      <c r="U3205" t="s">
        <v>7256</v>
      </c>
      <c r="V3205" t="s">
        <v>7256</v>
      </c>
      <c r="W3205">
        <v>8</v>
      </c>
      <c r="X3205" t="s">
        <v>10461</v>
      </c>
      <c r="Y3205">
        <v>0.43955603605038929</v>
      </c>
      <c r="Z3205" t="str">
        <f>HYPERLINK("Melting_Curves/meltCurve_tr_E5RJ68_E5RJ68_HUMAN_.pdf", "Melting_Curves/meltCurve_tr_E5RJ68_E5RJ68_HUMAN_.pdf")</f>
        <v>Melting_Curves/meltCurve_tr_E5RJ68_E5RJ68_HUMAN_.pdf</v>
      </c>
      <c r="AA3205" t="s">
        <v>14040</v>
      </c>
      <c r="AB3205" t="s">
        <v>17623</v>
      </c>
    </row>
    <row r="3206" spans="1:28" x14ac:dyDescent="0.25">
      <c r="A3206" t="s">
        <v>3210</v>
      </c>
      <c r="B3206">
        <v>0.98018197421672304</v>
      </c>
      <c r="C3206">
        <v>0.839639607488748</v>
      </c>
      <c r="D3206">
        <v>0.763150934189471</v>
      </c>
      <c r="E3206">
        <v>0.50665269313762795</v>
      </c>
      <c r="F3206">
        <v>0.23012488460887801</v>
      </c>
      <c r="G3206">
        <v>0.101575517712858</v>
      </c>
      <c r="H3206">
        <v>5.33729774754663E-2</v>
      </c>
      <c r="I3206">
        <v>3.15338783598672E-2</v>
      </c>
      <c r="J3206">
        <v>1.50949871713033E-2</v>
      </c>
      <c r="K3206">
        <v>1.2634667339150999E-2</v>
      </c>
      <c r="L3206">
        <v>738.33008022017498</v>
      </c>
      <c r="M3206">
        <v>14.942938107722201</v>
      </c>
      <c r="N3206">
        <v>49.409966297205102</v>
      </c>
      <c r="O3206">
        <v>48.550394750130202</v>
      </c>
      <c r="P3206">
        <v>-7.6953391268837906E-2</v>
      </c>
      <c r="Q3206">
        <v>0</v>
      </c>
      <c r="R3206">
        <v>0.99327567783168103</v>
      </c>
      <c r="S3206" t="s">
        <v>6835</v>
      </c>
      <c r="T3206" t="s">
        <v>7256</v>
      </c>
      <c r="U3206" t="s">
        <v>7256</v>
      </c>
      <c r="V3206" t="s">
        <v>7256</v>
      </c>
      <c r="W3206">
        <v>10</v>
      </c>
      <c r="X3206" t="s">
        <v>10462</v>
      </c>
      <c r="Y3206">
        <v>0.3381562259562193</v>
      </c>
      <c r="Z3206" t="str">
        <f>HYPERLINK("Melting_Curves/meltCurve_tr_E5RJD2_E5RJD2_HUMAN_.pdf", "Melting_Curves/meltCurve_tr_E5RJD2_E5RJD2_HUMAN_.pdf")</f>
        <v>Melting_Curves/meltCurve_tr_E5RJD2_E5RJD2_HUMAN_.pdf</v>
      </c>
      <c r="AA3206" t="s">
        <v>13971</v>
      </c>
      <c r="AB3206" t="s">
        <v>17624</v>
      </c>
    </row>
    <row r="3207" spans="1:28" x14ac:dyDescent="0.25">
      <c r="A3207" t="s">
        <v>3211</v>
      </c>
      <c r="B3207">
        <v>0.98018197421672304</v>
      </c>
      <c r="C3207">
        <v>0.97159491206998405</v>
      </c>
      <c r="D3207">
        <v>0.90428897104803796</v>
      </c>
      <c r="E3207">
        <v>0.79050640501249803</v>
      </c>
      <c r="F3207">
        <v>0.73020445590730698</v>
      </c>
      <c r="G3207">
        <v>0.58271501364937595</v>
      </c>
      <c r="H3207">
        <v>0.48408786002676102</v>
      </c>
      <c r="I3207">
        <v>0.487523960481068</v>
      </c>
      <c r="J3207">
        <v>0.56033638674239605</v>
      </c>
      <c r="K3207">
        <v>0.56307625196881905</v>
      </c>
      <c r="L3207">
        <v>789.87809430181699</v>
      </c>
      <c r="M3207">
        <v>15.4616999426947</v>
      </c>
      <c r="O3207">
        <v>50.254437405132997</v>
      </c>
      <c r="P3207">
        <v>-3.7753368913261601E-2</v>
      </c>
      <c r="Q3207">
        <v>0.509212018343705</v>
      </c>
      <c r="R3207">
        <v>0.965907857242293</v>
      </c>
      <c r="S3207" t="s">
        <v>6836</v>
      </c>
      <c r="T3207" t="s">
        <v>7256</v>
      </c>
      <c r="U3207" t="s">
        <v>7256</v>
      </c>
      <c r="V3207" t="s">
        <v>7256</v>
      </c>
      <c r="W3207">
        <v>12</v>
      </c>
      <c r="X3207" t="s">
        <v>10463</v>
      </c>
      <c r="Y3207">
        <v>0.70133095723659222</v>
      </c>
      <c r="Z3207" t="str">
        <f>HYPERLINK("Melting_Curves/meltCurve_tr_E5RJR5_E5RJR5_HUMAN_.pdf", "Melting_Curves/meltCurve_tr_E5RJR5_E5RJR5_HUMAN_.pdf")</f>
        <v>Melting_Curves/meltCurve_tr_E5RJR5_E5RJR5_HUMAN_.pdf</v>
      </c>
      <c r="AA3207" t="s">
        <v>14041</v>
      </c>
      <c r="AB3207" t="s">
        <v>17625</v>
      </c>
    </row>
    <row r="3208" spans="1:28" x14ac:dyDescent="0.25">
      <c r="A3208" t="s">
        <v>3212</v>
      </c>
      <c r="B3208">
        <v>0.98018197421672304</v>
      </c>
      <c r="C3208">
        <v>1.01173164416443</v>
      </c>
      <c r="D3208">
        <v>0.95051067913930398</v>
      </c>
      <c r="E3208">
        <v>0.87430580524899404</v>
      </c>
      <c r="F3208">
        <v>0.88310820860977601</v>
      </c>
      <c r="G3208">
        <v>0.71863600275139405</v>
      </c>
      <c r="H3208">
        <v>0.59891230692992004</v>
      </c>
      <c r="I3208">
        <v>0.64166304315131895</v>
      </c>
      <c r="J3208">
        <v>0.78407820533251205</v>
      </c>
      <c r="K3208">
        <v>1.0175367385426799</v>
      </c>
      <c r="L3208">
        <v>1211.2521196104699</v>
      </c>
      <c r="M3208">
        <v>24.003147235671801</v>
      </c>
      <c r="O3208">
        <v>50.115882503940398</v>
      </c>
      <c r="P3208">
        <v>-2.90480584669334E-2</v>
      </c>
      <c r="Q3208">
        <v>0.75740747159758903</v>
      </c>
      <c r="R3208">
        <v>0.443477011856454</v>
      </c>
      <c r="S3208" t="s">
        <v>6837</v>
      </c>
      <c r="T3208" t="s">
        <v>7256</v>
      </c>
      <c r="U3208" t="s">
        <v>7256</v>
      </c>
      <c r="V3208" t="s">
        <v>7256</v>
      </c>
      <c r="W3208">
        <v>16</v>
      </c>
      <c r="X3208" t="s">
        <v>10464</v>
      </c>
      <c r="Y3208">
        <v>0.84437150003331063</v>
      </c>
      <c r="Z3208" t="str">
        <f>HYPERLINK("Melting_Curves/meltCurve_tr_E5RJU9_E5RJU9_HUMAN_.pdf", "Melting_Curves/meltCurve_tr_E5RJU9_E5RJU9_HUMAN_.pdf")</f>
        <v>Melting_Curves/meltCurve_tr_E5RJU9_E5RJU9_HUMAN_.pdf</v>
      </c>
      <c r="AA3208" t="s">
        <v>14042</v>
      </c>
      <c r="AB3208" t="s">
        <v>17626</v>
      </c>
    </row>
    <row r="3209" spans="1:28" x14ac:dyDescent="0.25">
      <c r="A3209" t="s">
        <v>3213</v>
      </c>
      <c r="B3209">
        <v>0.98018197421672304</v>
      </c>
      <c r="C3209">
        <v>0.94766954648075596</v>
      </c>
      <c r="D3209">
        <v>0.96286546899466796</v>
      </c>
      <c r="E3209">
        <v>0.81297017384580395</v>
      </c>
      <c r="F3209">
        <v>0.68315390430550005</v>
      </c>
      <c r="G3209">
        <v>0.42737210617319499</v>
      </c>
      <c r="H3209">
        <v>0.33931600272755102</v>
      </c>
      <c r="I3209">
        <v>0.241725119677245</v>
      </c>
      <c r="J3209">
        <v>0.168907772094012</v>
      </c>
      <c r="K3209">
        <v>0.11264080896902499</v>
      </c>
      <c r="L3209">
        <v>662.73370318043999</v>
      </c>
      <c r="M3209">
        <v>11.8590017584664</v>
      </c>
      <c r="N3209">
        <v>56.409275858179903</v>
      </c>
      <c r="O3209">
        <v>54.366423040519997</v>
      </c>
      <c r="P3209">
        <v>-5.1697348866768897E-2</v>
      </c>
      <c r="Q3209">
        <v>5.2233602348672997E-2</v>
      </c>
      <c r="R3209">
        <v>0.99494697209057004</v>
      </c>
      <c r="S3209" t="s">
        <v>6838</v>
      </c>
      <c r="T3209" t="s">
        <v>7256</v>
      </c>
      <c r="U3209" t="s">
        <v>7256</v>
      </c>
      <c r="V3209" t="s">
        <v>7256</v>
      </c>
      <c r="W3209">
        <v>1</v>
      </c>
      <c r="X3209" t="s">
        <v>10465</v>
      </c>
      <c r="Y3209">
        <v>0.57383304974268734</v>
      </c>
      <c r="Z3209" t="str">
        <f>HYPERLINK("Melting_Curves/meltCurve_tr_E5RK00_E5RK00_HUMAN_.pdf", "Melting_Curves/meltCurve_tr_E5RK00_E5RK00_HUMAN_.pdf")</f>
        <v>Melting_Curves/meltCurve_tr_E5RK00_E5RK00_HUMAN_.pdf</v>
      </c>
      <c r="AA3209" t="s">
        <v>14043</v>
      </c>
      <c r="AB3209" t="s">
        <v>17627</v>
      </c>
    </row>
    <row r="3210" spans="1:28" x14ac:dyDescent="0.25">
      <c r="A3210" t="s">
        <v>3214</v>
      </c>
      <c r="B3210">
        <v>0.98018197421672304</v>
      </c>
      <c r="C3210">
        <v>0.970085749461568</v>
      </c>
      <c r="D3210">
        <v>0.90127656700014602</v>
      </c>
      <c r="E3210">
        <v>0.78466795950957902</v>
      </c>
      <c r="F3210">
        <v>0.62883616153186095</v>
      </c>
      <c r="G3210">
        <v>0.259783633109401</v>
      </c>
      <c r="H3210">
        <v>0.112684535819082</v>
      </c>
      <c r="I3210">
        <v>8.6630252686230105E-2</v>
      </c>
      <c r="J3210">
        <v>8.2158996099853498E-2</v>
      </c>
      <c r="K3210">
        <v>5.1153836831172798E-2</v>
      </c>
      <c r="L3210">
        <v>955.24373444705896</v>
      </c>
      <c r="M3210">
        <v>17.765860595344499</v>
      </c>
      <c r="N3210">
        <v>53.966480530900299</v>
      </c>
      <c r="O3210">
        <v>53.101125552896903</v>
      </c>
      <c r="P3210">
        <v>-8.1007164814464197E-2</v>
      </c>
      <c r="Q3210">
        <v>3.1547314744736203E-2</v>
      </c>
      <c r="R3210">
        <v>0.99430638014758499</v>
      </c>
      <c r="S3210" t="s">
        <v>6839</v>
      </c>
      <c r="T3210" t="s">
        <v>7256</v>
      </c>
      <c r="U3210" t="s">
        <v>7256</v>
      </c>
      <c r="V3210" t="s">
        <v>7256</v>
      </c>
      <c r="W3210">
        <v>7</v>
      </c>
      <c r="X3210" t="s">
        <v>10466</v>
      </c>
      <c r="Y3210">
        <v>0.49191963709219511</v>
      </c>
      <c r="Z3210" t="str">
        <f>HYPERLINK("Melting_Curves/meltCurve_tr_E7EM64_E7EM64_HUMAN_.pdf", "Melting_Curves/meltCurve_tr_E7EM64_E7EM64_HUMAN_.pdf")</f>
        <v>Melting_Curves/meltCurve_tr_E7EM64_E7EM64_HUMAN_.pdf</v>
      </c>
      <c r="AA3210" t="s">
        <v>14044</v>
      </c>
      <c r="AB3210" t="s">
        <v>17628</v>
      </c>
    </row>
    <row r="3211" spans="1:28" x14ac:dyDescent="0.25">
      <c r="A3211" t="s">
        <v>3215</v>
      </c>
      <c r="B3211">
        <v>0.98018197421672304</v>
      </c>
      <c r="C3211">
        <v>0.99259540695857695</v>
      </c>
      <c r="D3211">
        <v>0.85287674285189896</v>
      </c>
      <c r="E3211">
        <v>0.68798153279674601</v>
      </c>
      <c r="F3211">
        <v>0.40090860051060401</v>
      </c>
      <c r="G3211">
        <v>0.19915269719071199</v>
      </c>
      <c r="H3211">
        <v>0.11965292747499801</v>
      </c>
      <c r="I3211">
        <v>9.1038188906985298E-2</v>
      </c>
      <c r="J3211">
        <v>0.104922360690128</v>
      </c>
      <c r="K3211">
        <v>9.2812571496029103E-2</v>
      </c>
      <c r="L3211">
        <v>934.14841918192099</v>
      </c>
      <c r="M3211">
        <v>18.182471605177199</v>
      </c>
      <c r="N3211">
        <v>51.851866189365701</v>
      </c>
      <c r="O3211">
        <v>50.766958548052401</v>
      </c>
      <c r="P3211">
        <v>-8.2666556370838501E-2</v>
      </c>
      <c r="Q3211">
        <v>7.6796432574638293E-2</v>
      </c>
      <c r="R3211">
        <v>0.996355079565857</v>
      </c>
      <c r="S3211" t="s">
        <v>6840</v>
      </c>
      <c r="T3211" t="s">
        <v>7256</v>
      </c>
      <c r="U3211" t="s">
        <v>7256</v>
      </c>
      <c r="V3211" t="s">
        <v>7256</v>
      </c>
      <c r="W3211">
        <v>6</v>
      </c>
      <c r="X3211" t="s">
        <v>10467</v>
      </c>
      <c r="Y3211">
        <v>0.44209706888075662</v>
      </c>
      <c r="Z3211" t="str">
        <f>HYPERLINK("Melting_Curves/meltCurve_tr_E7EMM2_E7EMM2_HUMAN_.pdf", "Melting_Curves/meltCurve_tr_E7EMM2_E7EMM2_HUMAN_.pdf")</f>
        <v>Melting_Curves/meltCurve_tr_E7EMM2_E7EMM2_HUMAN_.pdf</v>
      </c>
      <c r="AA3211" t="s">
        <v>14045</v>
      </c>
      <c r="AB3211" t="s">
        <v>17629</v>
      </c>
    </row>
    <row r="3212" spans="1:28" x14ac:dyDescent="0.25">
      <c r="A3212" t="s">
        <v>3216</v>
      </c>
      <c r="B3212">
        <v>0.98018197421672304</v>
      </c>
      <c r="C3212">
        <v>0.84517383211045005</v>
      </c>
      <c r="D3212">
        <v>0.86870462921789204</v>
      </c>
      <c r="E3212">
        <v>0.70682500111662105</v>
      </c>
      <c r="F3212">
        <v>0.60870306947466402</v>
      </c>
      <c r="G3212">
        <v>0.39046125814119997</v>
      </c>
      <c r="H3212">
        <v>0.35257105562067198</v>
      </c>
      <c r="I3212">
        <v>0.35562528598846599</v>
      </c>
      <c r="J3212">
        <v>0.33342052485725798</v>
      </c>
      <c r="K3212">
        <v>0.43182762197076602</v>
      </c>
      <c r="L3212">
        <v>645.75251980189501</v>
      </c>
      <c r="M3212">
        <v>12.805100782132101</v>
      </c>
      <c r="N3212">
        <v>55.004957037026799</v>
      </c>
      <c r="O3212">
        <v>49.246912986625802</v>
      </c>
      <c r="P3212">
        <v>-4.3712646213464101E-2</v>
      </c>
      <c r="Q3212">
        <v>0.32767131617673001</v>
      </c>
      <c r="R3212">
        <v>0.954723729930535</v>
      </c>
      <c r="S3212" t="s">
        <v>6841</v>
      </c>
      <c r="T3212" t="s">
        <v>7256</v>
      </c>
      <c r="U3212" t="s">
        <v>7256</v>
      </c>
      <c r="V3212" t="s">
        <v>7256</v>
      </c>
      <c r="W3212">
        <v>10</v>
      </c>
      <c r="X3212" t="s">
        <v>10468</v>
      </c>
      <c r="Y3212">
        <v>0.58193327430264374</v>
      </c>
      <c r="Z3212" t="str">
        <f>HYPERLINK("Melting_Curves/meltCurve_tr_E7EMM4_E7EMM4_HUMAN_.pdf", "Melting_Curves/meltCurve_tr_E7EMM4_E7EMM4_HUMAN_.pdf")</f>
        <v>Melting_Curves/meltCurve_tr_E7EMM4_E7EMM4_HUMAN_.pdf</v>
      </c>
      <c r="AA3212" t="s">
        <v>14046</v>
      </c>
      <c r="AB3212" t="s">
        <v>17630</v>
      </c>
    </row>
    <row r="3213" spans="1:28" x14ac:dyDescent="0.25">
      <c r="A3213" t="s">
        <v>3217</v>
      </c>
      <c r="B3213">
        <v>0.98018197421672304</v>
      </c>
      <c r="C3213">
        <v>1.0026357748846599</v>
      </c>
      <c r="D3213">
        <v>0.91499100343061401</v>
      </c>
      <c r="E3213">
        <v>0.717346619698915</v>
      </c>
      <c r="F3213">
        <v>0.54653257414729906</v>
      </c>
      <c r="G3213">
        <v>0.42915806012707203</v>
      </c>
      <c r="H3213">
        <v>0.34352506399138799</v>
      </c>
      <c r="I3213">
        <v>0.32435817843233999</v>
      </c>
      <c r="J3213">
        <v>0.40291056376687301</v>
      </c>
      <c r="K3213">
        <v>0.37282583503744099</v>
      </c>
      <c r="L3213">
        <v>1018.08534537408</v>
      </c>
      <c r="M3213">
        <v>20.108067847322999</v>
      </c>
      <c r="N3213">
        <v>53.957220789025797</v>
      </c>
      <c r="O3213">
        <v>50.137915130437399</v>
      </c>
      <c r="P3213">
        <v>-6.4645857612826804E-2</v>
      </c>
      <c r="Q3213">
        <v>0.35526271906564399</v>
      </c>
      <c r="R3213">
        <v>0.99170924914666003</v>
      </c>
      <c r="S3213" t="s">
        <v>6842</v>
      </c>
      <c r="T3213" t="s">
        <v>7256</v>
      </c>
      <c r="U3213" t="s">
        <v>7256</v>
      </c>
      <c r="V3213" t="s">
        <v>7256</v>
      </c>
      <c r="W3213">
        <v>1</v>
      </c>
      <c r="X3213" t="s">
        <v>10469</v>
      </c>
      <c r="Y3213">
        <v>0.59259624884414686</v>
      </c>
      <c r="Z3213" t="str">
        <f>HYPERLINK("Melting_Curves/meltCurve_tr_E7EMN2_E7EMN2_HUMAN_.pdf", "Melting_Curves/meltCurve_tr_E7EMN2_E7EMN2_HUMAN_.pdf")</f>
        <v>Melting_Curves/meltCurve_tr_E7EMN2_E7EMN2_HUMAN_.pdf</v>
      </c>
      <c r="AA3213" t="s">
        <v>14047</v>
      </c>
      <c r="AB3213" t="s">
        <v>17631</v>
      </c>
    </row>
    <row r="3214" spans="1:28" x14ac:dyDescent="0.25">
      <c r="A3214" t="s">
        <v>3218</v>
      </c>
      <c r="B3214">
        <v>0.98018197421672304</v>
      </c>
      <c r="C3214">
        <v>0.904367793916934</v>
      </c>
      <c r="D3214">
        <v>0.91232533874096899</v>
      </c>
      <c r="E3214">
        <v>0.69324441107214796</v>
      </c>
      <c r="F3214">
        <v>0.54703410424819499</v>
      </c>
      <c r="G3214">
        <v>0.46438567023771898</v>
      </c>
      <c r="H3214">
        <v>0.43971420442283699</v>
      </c>
      <c r="I3214">
        <v>0.35594423946585702</v>
      </c>
      <c r="J3214">
        <v>0.32377902972296901</v>
      </c>
      <c r="K3214">
        <v>0.409799704808473</v>
      </c>
      <c r="L3214">
        <v>736.78626457909002</v>
      </c>
      <c r="M3214">
        <v>14.623764181716</v>
      </c>
      <c r="N3214">
        <v>55.0709256827896</v>
      </c>
      <c r="O3214">
        <v>49.468773564090803</v>
      </c>
      <c r="P3214">
        <v>-4.7598325873159403E-2</v>
      </c>
      <c r="Q3214">
        <v>0.35601562390936098</v>
      </c>
      <c r="R3214">
        <v>0.98059052730126095</v>
      </c>
      <c r="S3214" t="s">
        <v>6843</v>
      </c>
      <c r="T3214" t="s">
        <v>7256</v>
      </c>
      <c r="U3214" t="s">
        <v>7256</v>
      </c>
      <c r="V3214" t="s">
        <v>7256</v>
      </c>
      <c r="W3214">
        <v>6</v>
      </c>
      <c r="X3214" t="s">
        <v>10470</v>
      </c>
      <c r="Y3214">
        <v>0.59474098706657375</v>
      </c>
      <c r="Z3214" t="str">
        <f>HYPERLINK("Melting_Curves/meltCurve_tr_E7EMZ9_E7EMZ9_HUMAN_.pdf", "Melting_Curves/meltCurve_tr_E7EMZ9_E7EMZ9_HUMAN_.pdf")</f>
        <v>Melting_Curves/meltCurve_tr_E7EMZ9_E7EMZ9_HUMAN_.pdf</v>
      </c>
      <c r="AA3214" t="s">
        <v>14048</v>
      </c>
      <c r="AB3214" t="s">
        <v>17632</v>
      </c>
    </row>
    <row r="3215" spans="1:28" x14ac:dyDescent="0.25">
      <c r="A3215" t="s">
        <v>3219</v>
      </c>
      <c r="B3215">
        <v>0.98018197421672304</v>
      </c>
      <c r="C3215">
        <v>1.06168483558323</v>
      </c>
      <c r="D3215">
        <v>0.92214173937106103</v>
      </c>
      <c r="E3215">
        <v>0.54267497226579797</v>
      </c>
      <c r="F3215">
        <v>0.23251279120166399</v>
      </c>
      <c r="G3215">
        <v>0.12981148033032899</v>
      </c>
      <c r="H3215">
        <v>0.10205665816404499</v>
      </c>
      <c r="I3215">
        <v>8.9975234915262006E-2</v>
      </c>
      <c r="J3215">
        <v>9.5954846448492295E-2</v>
      </c>
      <c r="K3215">
        <v>9.6849086147177604E-2</v>
      </c>
      <c r="L3215">
        <v>1482.5582772099799</v>
      </c>
      <c r="M3215">
        <v>29.683703490683101</v>
      </c>
      <c r="N3215">
        <v>50.310021503543297</v>
      </c>
      <c r="O3215">
        <v>49.7201594001166</v>
      </c>
      <c r="P3215">
        <v>-0.134801483001221</v>
      </c>
      <c r="Q3215">
        <v>9.6837016423510197E-2</v>
      </c>
      <c r="R3215">
        <v>0.99646842228997801</v>
      </c>
      <c r="S3215" t="s">
        <v>6844</v>
      </c>
      <c r="T3215" t="s">
        <v>7256</v>
      </c>
      <c r="U3215" t="s">
        <v>7256</v>
      </c>
      <c r="V3215" t="s">
        <v>7256</v>
      </c>
      <c r="W3215">
        <v>4</v>
      </c>
      <c r="X3215" t="s">
        <v>10471</v>
      </c>
      <c r="Y3215">
        <v>0.40194366408291871</v>
      </c>
      <c r="Z3215" t="str">
        <f>HYPERLINK("Melting_Curves/meltCurve_tr_E7ENN3_E7ENN3_HUMAN_.pdf", "Melting_Curves/meltCurve_tr_E7ENN3_E7ENN3_HUMAN_.pdf")</f>
        <v>Melting_Curves/meltCurve_tr_E7ENN3_E7ENN3_HUMAN_.pdf</v>
      </c>
      <c r="AA3215" t="s">
        <v>14049</v>
      </c>
      <c r="AB3215" t="s">
        <v>17633</v>
      </c>
    </row>
    <row r="3216" spans="1:28" x14ac:dyDescent="0.25">
      <c r="A3216" t="s">
        <v>3220</v>
      </c>
      <c r="B3216">
        <v>0.98018197421672304</v>
      </c>
      <c r="C3216">
        <v>0.91485533317687695</v>
      </c>
      <c r="D3216">
        <v>0.84033179411554704</v>
      </c>
      <c r="E3216">
        <v>0.62099085215852101</v>
      </c>
      <c r="F3216">
        <v>0.17540847634328099</v>
      </c>
      <c r="G3216">
        <v>7.8847463860804004E-2</v>
      </c>
      <c r="H3216">
        <v>4.7639760569312802E-2</v>
      </c>
      <c r="I3216">
        <v>3.7055990730597101E-2</v>
      </c>
      <c r="J3216">
        <v>4.5659835451525001E-2</v>
      </c>
      <c r="K3216">
        <v>3.42383661266768E-2</v>
      </c>
      <c r="L3216">
        <v>1204.7694353945799</v>
      </c>
      <c r="M3216">
        <v>23.9716125297393</v>
      </c>
      <c r="N3216">
        <v>50.379376999921099</v>
      </c>
      <c r="O3216">
        <v>49.9123190707638</v>
      </c>
      <c r="P3216">
        <v>-0.11670610006545901</v>
      </c>
      <c r="Q3216">
        <v>2.8020084678084999E-2</v>
      </c>
      <c r="R3216">
        <v>0.98639545045459798</v>
      </c>
      <c r="S3216" t="s">
        <v>6845</v>
      </c>
      <c r="T3216" t="s">
        <v>7256</v>
      </c>
      <c r="U3216" t="s">
        <v>7256</v>
      </c>
      <c r="V3216" t="s">
        <v>7256</v>
      </c>
      <c r="W3216">
        <v>18</v>
      </c>
      <c r="X3216" t="s">
        <v>10472</v>
      </c>
      <c r="Y3216">
        <v>0.36985006732484021</v>
      </c>
      <c r="Z3216" t="str">
        <f>HYPERLINK("Melting_Curves/meltCurve_tr_E7EP00_E7EP00_HUMAN_.pdf", "Melting_Curves/meltCurve_tr_E7EP00_E7EP00_HUMAN_.pdf")</f>
        <v>Melting_Curves/meltCurve_tr_E7EP00_E7EP00_HUMAN_.pdf</v>
      </c>
      <c r="AA3216" t="s">
        <v>14050</v>
      </c>
      <c r="AB3216" t="s">
        <v>17634</v>
      </c>
    </row>
    <row r="3217" spans="1:28" x14ac:dyDescent="0.25">
      <c r="A3217" t="s">
        <v>3221</v>
      </c>
      <c r="B3217">
        <v>0.98018197421672304</v>
      </c>
      <c r="C3217">
        <v>0.92578071047140897</v>
      </c>
      <c r="D3217">
        <v>0.85300815008943498</v>
      </c>
      <c r="E3217">
        <v>0.68918731111403098</v>
      </c>
      <c r="F3217">
        <v>0.51990888194226204</v>
      </c>
      <c r="G3217">
        <v>0.27585600646243102</v>
      </c>
      <c r="H3217">
        <v>0.192232477602404</v>
      </c>
      <c r="I3217">
        <v>0.174242937759159</v>
      </c>
      <c r="J3217">
        <v>0.19540594176166501</v>
      </c>
      <c r="K3217">
        <v>0.20491970625946199</v>
      </c>
      <c r="L3217">
        <v>776.60893666681602</v>
      </c>
      <c r="M3217">
        <v>15.082549389266701</v>
      </c>
      <c r="N3217">
        <v>52.753955641950299</v>
      </c>
      <c r="O3217">
        <v>50.610835542549097</v>
      </c>
      <c r="P3217">
        <v>-6.3215394003342404E-2</v>
      </c>
      <c r="Q3217">
        <v>0.15158439009664201</v>
      </c>
      <c r="R3217">
        <v>0.99194243170937402</v>
      </c>
      <c r="S3217" t="s">
        <v>6846</v>
      </c>
      <c r="T3217" t="s">
        <v>7256</v>
      </c>
      <c r="U3217" t="s">
        <v>7256</v>
      </c>
      <c r="V3217" t="s">
        <v>7256</v>
      </c>
      <c r="W3217">
        <v>6</v>
      </c>
      <c r="X3217" t="s">
        <v>10473</v>
      </c>
      <c r="Y3217">
        <v>0.49567159004019029</v>
      </c>
      <c r="Z3217" t="str">
        <f>HYPERLINK("Melting_Curves/meltCurve_tr_E7EPD0_E7EPD0_HUMAN_.pdf", "Melting_Curves/meltCurve_tr_E7EPD0_E7EPD0_HUMAN_.pdf")</f>
        <v>Melting_Curves/meltCurve_tr_E7EPD0_E7EPD0_HUMAN_.pdf</v>
      </c>
      <c r="AA3217" t="s">
        <v>14051</v>
      </c>
      <c r="AB3217" t="s">
        <v>17635</v>
      </c>
    </row>
    <row r="3218" spans="1:28" x14ac:dyDescent="0.25">
      <c r="A3218" t="s">
        <v>3222</v>
      </c>
      <c r="B3218">
        <v>0.98018197421672304</v>
      </c>
      <c r="C3218">
        <v>0.90823047633021003</v>
      </c>
      <c r="D3218">
        <v>0.59255174733928595</v>
      </c>
      <c r="E3218">
        <v>0.22490540233023701</v>
      </c>
      <c r="F3218">
        <v>0.124367546386185</v>
      </c>
      <c r="G3218">
        <v>8.1017341794909895E-2</v>
      </c>
      <c r="H3218">
        <v>5.9538623832164801E-2</v>
      </c>
      <c r="I3218">
        <v>5.43424397375354E-2</v>
      </c>
      <c r="J3218">
        <v>5.8807753640676502E-2</v>
      </c>
      <c r="K3218">
        <v>5.7630567999847497E-2</v>
      </c>
      <c r="L3218">
        <v>1089.3155594070399</v>
      </c>
      <c r="M3218">
        <v>23.361737301849001</v>
      </c>
      <c r="N3218">
        <v>46.886016941921</v>
      </c>
      <c r="O3218">
        <v>46.290580544648101</v>
      </c>
      <c r="P3218">
        <v>-0.11856587225738</v>
      </c>
      <c r="Q3218">
        <v>6.0277974987173299E-2</v>
      </c>
      <c r="R3218">
        <v>0.99941998823014599</v>
      </c>
      <c r="S3218" t="s">
        <v>6847</v>
      </c>
      <c r="T3218" t="s">
        <v>7256</v>
      </c>
      <c r="U3218" t="s">
        <v>7256</v>
      </c>
      <c r="V3218" t="s">
        <v>7256</v>
      </c>
      <c r="W3218">
        <v>11</v>
      </c>
      <c r="X3218" t="s">
        <v>10474</v>
      </c>
      <c r="Y3218">
        <v>0.27775978604465462</v>
      </c>
      <c r="Z3218" t="str">
        <f>HYPERLINK("Melting_Curves/meltCurve_tr_E7EPL4_E7EPL4_HUMAN_.pdf", "Melting_Curves/meltCurve_tr_E7EPL4_E7EPL4_HUMAN_.pdf")</f>
        <v>Melting_Curves/meltCurve_tr_E7EPL4_E7EPL4_HUMAN_.pdf</v>
      </c>
      <c r="AA3218" t="s">
        <v>14052</v>
      </c>
      <c r="AB3218" t="s">
        <v>17636</v>
      </c>
    </row>
    <row r="3219" spans="1:28" x14ac:dyDescent="0.25">
      <c r="A3219" t="s">
        <v>3223</v>
      </c>
      <c r="B3219">
        <v>0.98018197421672304</v>
      </c>
      <c r="C3219">
        <v>0.85665400892509103</v>
      </c>
      <c r="D3219">
        <v>0.797833681973801</v>
      </c>
      <c r="E3219">
        <v>0.462356412984473</v>
      </c>
      <c r="F3219">
        <v>0.31023800511012201</v>
      </c>
      <c r="G3219">
        <v>0.195218629786543</v>
      </c>
      <c r="H3219">
        <v>0.27289786858583398</v>
      </c>
      <c r="I3219">
        <v>0.28980384634567202</v>
      </c>
      <c r="J3219">
        <v>0.46141373711389899</v>
      </c>
      <c r="K3219">
        <v>0.442441251251532</v>
      </c>
      <c r="L3219">
        <v>1203.99082442344</v>
      </c>
      <c r="M3219">
        <v>25.578975513032901</v>
      </c>
      <c r="N3219">
        <v>49.078682622890298</v>
      </c>
      <c r="O3219">
        <v>46.784665968298803</v>
      </c>
      <c r="P3219">
        <v>-9.2327772696544505E-2</v>
      </c>
      <c r="Q3219">
        <v>0.324527652800217</v>
      </c>
      <c r="R3219">
        <v>0.89926663917633398</v>
      </c>
      <c r="S3219" t="s">
        <v>6848</v>
      </c>
      <c r="T3219" t="s">
        <v>7256</v>
      </c>
      <c r="U3219" t="s">
        <v>7256</v>
      </c>
      <c r="V3219" t="s">
        <v>7256</v>
      </c>
      <c r="W3219">
        <v>1</v>
      </c>
      <c r="X3219" t="s">
        <v>10475</v>
      </c>
      <c r="Y3219">
        <v>0.4894312413334852</v>
      </c>
      <c r="Z3219" t="str">
        <f>HYPERLINK("Melting_Curves/meltCurve_tr_E7EQA9_E7EQA9_HUMAN_.pdf", "Melting_Curves/meltCurve_tr_E7EQA9_E7EQA9_HUMAN_.pdf")</f>
        <v>Melting_Curves/meltCurve_tr_E7EQA9_E7EQA9_HUMAN_.pdf</v>
      </c>
      <c r="AA3219" t="s">
        <v>14053</v>
      </c>
      <c r="AB3219" t="s">
        <v>17637</v>
      </c>
    </row>
    <row r="3220" spans="1:28" x14ac:dyDescent="0.25">
      <c r="A3220" t="s">
        <v>3224</v>
      </c>
      <c r="B3220">
        <v>0.98018197421672304</v>
      </c>
      <c r="C3220">
        <v>0.89939626894561298</v>
      </c>
      <c r="D3220">
        <v>0.75053095482023402</v>
      </c>
      <c r="E3220">
        <v>0.45144265014721002</v>
      </c>
      <c r="F3220">
        <v>0.221807160401568</v>
      </c>
      <c r="G3220">
        <v>0.140408836485786</v>
      </c>
      <c r="H3220">
        <v>7.6310358047374599E-2</v>
      </c>
      <c r="I3220">
        <v>6.5505449164553697E-2</v>
      </c>
      <c r="J3220">
        <v>6.8761113632437601E-2</v>
      </c>
      <c r="K3220">
        <v>4.4469794113829599E-2</v>
      </c>
      <c r="L3220">
        <v>813.536737045005</v>
      </c>
      <c r="M3220">
        <v>16.6568207346759</v>
      </c>
      <c r="N3220">
        <v>49.131557851086299</v>
      </c>
      <c r="O3220">
        <v>48.153378635565304</v>
      </c>
      <c r="P3220">
        <v>-8.2427975151107197E-2</v>
      </c>
      <c r="Q3220">
        <v>4.6896206636800497E-2</v>
      </c>
      <c r="R3220">
        <v>0.99859951299968597</v>
      </c>
      <c r="S3220" t="s">
        <v>6849</v>
      </c>
      <c r="T3220" t="s">
        <v>7256</v>
      </c>
      <c r="U3220" t="s">
        <v>7256</v>
      </c>
      <c r="V3220" t="s">
        <v>7256</v>
      </c>
      <c r="W3220">
        <v>11</v>
      </c>
      <c r="X3220" t="s">
        <v>10476</v>
      </c>
      <c r="Y3220">
        <v>0.34710080669603988</v>
      </c>
      <c r="Z3220" t="str">
        <f>HYPERLINK("Melting_Curves/meltCurve_tr_E7EQI7_E7EQI7_HUMAN_.pdf", "Melting_Curves/meltCurve_tr_E7EQI7_E7EQI7_HUMAN_.pdf")</f>
        <v>Melting_Curves/meltCurve_tr_E7EQI7_E7EQI7_HUMAN_.pdf</v>
      </c>
      <c r="AA3220" t="s">
        <v>14054</v>
      </c>
      <c r="AB3220" t="s">
        <v>17638</v>
      </c>
    </row>
    <row r="3221" spans="1:28" x14ac:dyDescent="0.25">
      <c r="A3221" t="s">
        <v>3225</v>
      </c>
      <c r="B3221">
        <v>0.98018197421672304</v>
      </c>
      <c r="C3221">
        <v>0.99661945425877096</v>
      </c>
      <c r="D3221">
        <v>0.94876780521241</v>
      </c>
      <c r="E3221">
        <v>0.83299890475584404</v>
      </c>
      <c r="F3221">
        <v>0.76615888531736898</v>
      </c>
      <c r="G3221">
        <v>0.59412501537977702</v>
      </c>
      <c r="H3221">
        <v>0.52423300436490705</v>
      </c>
      <c r="I3221">
        <v>0.55387124172790503</v>
      </c>
      <c r="J3221">
        <v>0.57281629537977197</v>
      </c>
      <c r="K3221">
        <v>0.72301007401018302</v>
      </c>
      <c r="L3221">
        <v>1153.80647567294</v>
      </c>
      <c r="M3221">
        <v>22.524673933327101</v>
      </c>
      <c r="O3221">
        <v>50.8254999561114</v>
      </c>
      <c r="P3221">
        <v>-4.5635143565360997E-2</v>
      </c>
      <c r="Q3221">
        <v>0.58811717692089804</v>
      </c>
      <c r="R3221">
        <v>0.90334364353452701</v>
      </c>
      <c r="S3221" t="s">
        <v>6850</v>
      </c>
      <c r="T3221" t="s">
        <v>7256</v>
      </c>
      <c r="U3221" t="s">
        <v>7256</v>
      </c>
      <c r="V3221" t="s">
        <v>7256</v>
      </c>
      <c r="W3221">
        <v>11</v>
      </c>
      <c r="X3221" t="s">
        <v>10477</v>
      </c>
      <c r="Y3221">
        <v>0.7467836067137722</v>
      </c>
      <c r="Z3221" t="str">
        <f>HYPERLINK("Melting_Curves/meltCurve_tr_E7EQT4_E7EQT4_HUMAN_.pdf", "Melting_Curves/meltCurve_tr_E7EQT4_E7EQT4_HUMAN_.pdf")</f>
        <v>Melting_Curves/meltCurve_tr_E7EQT4_E7EQT4_HUMAN_.pdf</v>
      </c>
      <c r="AA3221" t="s">
        <v>14055</v>
      </c>
      <c r="AB3221" t="s">
        <v>17639</v>
      </c>
    </row>
    <row r="3222" spans="1:28" x14ac:dyDescent="0.25">
      <c r="A3222" t="s">
        <v>3226</v>
      </c>
      <c r="B3222">
        <v>0.98018197421672304</v>
      </c>
      <c r="C3222">
        <v>0.898119816704531</v>
      </c>
      <c r="D3222">
        <v>0.82864590060389998</v>
      </c>
      <c r="E3222">
        <v>0.73005715516175396</v>
      </c>
      <c r="F3222">
        <v>0.54052917762495201</v>
      </c>
      <c r="G3222">
        <v>0.27948607632752998</v>
      </c>
      <c r="H3222">
        <v>0.16860683835207099</v>
      </c>
      <c r="I3222">
        <v>0.11279579561283699</v>
      </c>
      <c r="J3222">
        <v>0.115293305930094</v>
      </c>
      <c r="K3222">
        <v>0.12958609248907499</v>
      </c>
      <c r="L3222">
        <v>672.40208658372399</v>
      </c>
      <c r="M3222">
        <v>12.7490574550728</v>
      </c>
      <c r="N3222">
        <v>53.168551092853498</v>
      </c>
      <c r="O3222">
        <v>51.494218260954597</v>
      </c>
      <c r="P3222">
        <v>-5.88933582778495E-2</v>
      </c>
      <c r="Q3222">
        <v>4.8685880087070199E-2</v>
      </c>
      <c r="R3222">
        <v>0.98936442768808097</v>
      </c>
      <c r="S3222" t="s">
        <v>6851</v>
      </c>
      <c r="T3222" t="s">
        <v>7256</v>
      </c>
      <c r="U3222" t="s">
        <v>7256</v>
      </c>
      <c r="V3222" t="s">
        <v>7256</v>
      </c>
      <c r="W3222">
        <v>3</v>
      </c>
      <c r="X3222" t="s">
        <v>10478</v>
      </c>
      <c r="Y3222">
        <v>0.47841156587730799</v>
      </c>
      <c r="Z3222" t="str">
        <f>HYPERLINK("Melting_Curves/meltCurve_tr_E7ER68_E7ER68_HUMAN_.pdf", "Melting_Curves/meltCurve_tr_E7ER68_E7ER68_HUMAN_.pdf")</f>
        <v>Melting_Curves/meltCurve_tr_E7ER68_E7ER68_HUMAN_.pdf</v>
      </c>
      <c r="AA3222" t="s">
        <v>14056</v>
      </c>
      <c r="AB3222" t="s">
        <v>17640</v>
      </c>
    </row>
    <row r="3223" spans="1:28" x14ac:dyDescent="0.25">
      <c r="A3223" t="s">
        <v>3227</v>
      </c>
      <c r="B3223">
        <v>0.98018197421672304</v>
      </c>
      <c r="C3223">
        <v>0.97412015092308002</v>
      </c>
      <c r="D3223">
        <v>0.89381323386631495</v>
      </c>
      <c r="E3223">
        <v>0.82098235319337898</v>
      </c>
      <c r="F3223">
        <v>0.66390662233381104</v>
      </c>
      <c r="G3223">
        <v>0.48340292062224399</v>
      </c>
      <c r="H3223">
        <v>0.36043434785728501</v>
      </c>
      <c r="I3223">
        <v>0.32857294768853001</v>
      </c>
      <c r="J3223">
        <v>0.29030756466313401</v>
      </c>
      <c r="K3223">
        <v>0.31027270450024802</v>
      </c>
      <c r="L3223">
        <v>734.83759062615798</v>
      </c>
      <c r="M3223">
        <v>13.7072079511067</v>
      </c>
      <c r="N3223">
        <v>56.601964616097199</v>
      </c>
      <c r="O3223">
        <v>52.507173052938498</v>
      </c>
      <c r="P3223">
        <v>-4.8448409639009399E-2</v>
      </c>
      <c r="Q3223">
        <v>0.25775591920498497</v>
      </c>
      <c r="R3223">
        <v>0.99597727055596996</v>
      </c>
      <c r="S3223" t="s">
        <v>6852</v>
      </c>
      <c r="T3223" t="s">
        <v>7256</v>
      </c>
      <c r="U3223" t="s">
        <v>7256</v>
      </c>
      <c r="V3223" t="s">
        <v>7256</v>
      </c>
      <c r="W3223">
        <v>15</v>
      </c>
      <c r="X3223" t="s">
        <v>10479</v>
      </c>
      <c r="Y3223">
        <v>0.61185296344978801</v>
      </c>
      <c r="Z3223" t="str">
        <f>HYPERLINK("Melting_Curves/meltCurve_tr_E7ERJ0_E7ERJ0_HUMAN_.pdf", "Melting_Curves/meltCurve_tr_E7ERJ0_E7ERJ0_HUMAN_.pdf")</f>
        <v>Melting_Curves/meltCurve_tr_E7ERJ0_E7ERJ0_HUMAN_.pdf</v>
      </c>
      <c r="AA3223" t="s">
        <v>14057</v>
      </c>
      <c r="AB3223" t="s">
        <v>17641</v>
      </c>
    </row>
    <row r="3224" spans="1:28" x14ac:dyDescent="0.25">
      <c r="A3224" t="s">
        <v>3228</v>
      </c>
      <c r="B3224">
        <v>0.98018197421672304</v>
      </c>
      <c r="C3224">
        <v>0.94107061326029895</v>
      </c>
      <c r="D3224">
        <v>0.96281704523837697</v>
      </c>
      <c r="E3224">
        <v>0.83498960285653101</v>
      </c>
      <c r="F3224">
        <v>0.86862828200657605</v>
      </c>
      <c r="G3224">
        <v>0.75857397004575899</v>
      </c>
      <c r="H3224">
        <v>0.58815666180077597</v>
      </c>
      <c r="I3224">
        <v>0.66323684661917903</v>
      </c>
      <c r="J3224">
        <v>0.49835410812467201</v>
      </c>
      <c r="K3224">
        <v>0.60285651100454496</v>
      </c>
      <c r="L3224">
        <v>517.18269340662596</v>
      </c>
      <c r="M3224">
        <v>9.1021263552904195</v>
      </c>
      <c r="O3224">
        <v>54.278801855144302</v>
      </c>
      <c r="P3224">
        <v>-2.2268452638788901E-2</v>
      </c>
      <c r="Q3224">
        <v>0.46919464699706498</v>
      </c>
      <c r="R3224">
        <v>0.91560320133071704</v>
      </c>
      <c r="S3224" t="s">
        <v>6853</v>
      </c>
      <c r="T3224" t="s">
        <v>7256</v>
      </c>
      <c r="U3224" t="s">
        <v>7256</v>
      </c>
      <c r="V3224" t="s">
        <v>7256</v>
      </c>
      <c r="W3224">
        <v>10</v>
      </c>
      <c r="X3224" t="s">
        <v>10480</v>
      </c>
      <c r="Y3224">
        <v>0.77514105819301693</v>
      </c>
      <c r="Z3224" t="str">
        <f>HYPERLINK("Melting_Curves/meltCurve_tr_E7ES08_E7ES08_HUMAN_.pdf", "Melting_Curves/meltCurve_tr_E7ES08_E7ES08_HUMAN_.pdf")</f>
        <v>Melting_Curves/meltCurve_tr_E7ES08_E7ES08_HUMAN_.pdf</v>
      </c>
      <c r="AA3224" t="s">
        <v>14058</v>
      </c>
      <c r="AB3224" t="s">
        <v>17642</v>
      </c>
    </row>
    <row r="3225" spans="1:28" x14ac:dyDescent="0.25">
      <c r="A3225" t="s">
        <v>3229</v>
      </c>
      <c r="B3225">
        <v>0.98018197421672304</v>
      </c>
      <c r="C3225">
        <v>0.92122824786058499</v>
      </c>
      <c r="D3225">
        <v>0.85344712228957698</v>
      </c>
      <c r="E3225">
        <v>0.72306786090121</v>
      </c>
      <c r="F3225">
        <v>0.390751602843872</v>
      </c>
      <c r="G3225">
        <v>0.209103034863206</v>
      </c>
      <c r="H3225">
        <v>0.127783520138264</v>
      </c>
      <c r="I3225">
        <v>0.116601557682619</v>
      </c>
      <c r="J3225">
        <v>0.122445962056802</v>
      </c>
      <c r="K3225">
        <v>0.118280271194249</v>
      </c>
      <c r="L3225">
        <v>939.24224965993506</v>
      </c>
      <c r="M3225">
        <v>18.292597087888399</v>
      </c>
      <c r="N3225">
        <v>51.947852145923697</v>
      </c>
      <c r="O3225">
        <v>50.743659996048699</v>
      </c>
      <c r="P3225">
        <v>-8.1514107132048694E-2</v>
      </c>
      <c r="Q3225">
        <v>9.5561419027540395E-2</v>
      </c>
      <c r="R3225">
        <v>0.99030886363282999</v>
      </c>
      <c r="S3225" t="s">
        <v>6854</v>
      </c>
      <c r="T3225" t="s">
        <v>7256</v>
      </c>
      <c r="U3225" t="s">
        <v>7256</v>
      </c>
      <c r="V3225" t="s">
        <v>7256</v>
      </c>
      <c r="W3225">
        <v>4</v>
      </c>
      <c r="X3225" t="s">
        <v>10481</v>
      </c>
      <c r="Y3225">
        <v>0.45235311522192961</v>
      </c>
      <c r="Z3225" t="str">
        <f>HYPERLINK("Melting_Curves/meltCurve_tr_E7ET15_E7ET15_HUMAN_.pdf", "Melting_Curves/meltCurve_tr_E7ET15_E7ET15_HUMAN_.pdf")</f>
        <v>Melting_Curves/meltCurve_tr_E7ET15_E7ET15_HUMAN_.pdf</v>
      </c>
      <c r="AA3225" t="s">
        <v>14059</v>
      </c>
      <c r="AB3225" t="s">
        <v>17643</v>
      </c>
    </row>
    <row r="3226" spans="1:28" x14ac:dyDescent="0.25">
      <c r="A3226" t="s">
        <v>3230</v>
      </c>
      <c r="B3226">
        <v>0.98018197421672304</v>
      </c>
      <c r="C3226">
        <v>0.96298127539637601</v>
      </c>
      <c r="D3226">
        <v>0.88695413970608705</v>
      </c>
      <c r="E3226">
        <v>0.82401453906921596</v>
      </c>
      <c r="F3226">
        <v>0.71826208631376898</v>
      </c>
      <c r="G3226">
        <v>0.46506852836677498</v>
      </c>
      <c r="H3226">
        <v>0.51075325283786499</v>
      </c>
      <c r="I3226">
        <v>0.47960791879075099</v>
      </c>
      <c r="J3226">
        <v>0.83390061570401497</v>
      </c>
      <c r="K3226">
        <v>0.69043958983053699</v>
      </c>
      <c r="L3226">
        <v>1144.2236580486001</v>
      </c>
      <c r="M3226">
        <v>23.044576214401001</v>
      </c>
      <c r="O3226">
        <v>49.283257251658</v>
      </c>
      <c r="P3226">
        <v>-4.6615004380745E-2</v>
      </c>
      <c r="Q3226">
        <v>0.60124299005057202</v>
      </c>
      <c r="R3226">
        <v>0.65659549684207996</v>
      </c>
      <c r="S3226" t="s">
        <v>6855</v>
      </c>
      <c r="T3226" t="s">
        <v>7256</v>
      </c>
      <c r="U3226" t="s">
        <v>7256</v>
      </c>
      <c r="V3226" t="s">
        <v>7256</v>
      </c>
      <c r="W3226">
        <v>12</v>
      </c>
      <c r="X3226" t="s">
        <v>10482</v>
      </c>
      <c r="Y3226">
        <v>0.73373263832559465</v>
      </c>
      <c r="Z3226" t="str">
        <f>HYPERLINK("Melting_Curves/meltCurve_tr_E7ETA6_E7ETA6_HUMAN_.pdf", "Melting_Curves/meltCurve_tr_E7ETA6_E7ETA6_HUMAN_.pdf")</f>
        <v>Melting_Curves/meltCurve_tr_E7ETA6_E7ETA6_HUMAN_.pdf</v>
      </c>
      <c r="AA3226" t="s">
        <v>14060</v>
      </c>
      <c r="AB3226" t="s">
        <v>17644</v>
      </c>
    </row>
    <row r="3227" spans="1:28" x14ac:dyDescent="0.25">
      <c r="A3227" t="s">
        <v>3231</v>
      </c>
      <c r="B3227">
        <v>0.98018197421672304</v>
      </c>
      <c r="C3227">
        <v>1.02469789992421</v>
      </c>
      <c r="D3227">
        <v>0.92365085706085703</v>
      </c>
      <c r="E3227">
        <v>0.80523735036925803</v>
      </c>
      <c r="F3227">
        <v>0.65985670638370797</v>
      </c>
      <c r="G3227">
        <v>0.21112800809517501</v>
      </c>
      <c r="H3227">
        <v>0.115960672940566</v>
      </c>
      <c r="I3227">
        <v>6.0660490499500903E-2</v>
      </c>
      <c r="J3227">
        <v>9.8683507392284806E-2</v>
      </c>
      <c r="K3227">
        <v>6.1347459372961002E-2</v>
      </c>
      <c r="L3227">
        <v>1212.32126824954</v>
      </c>
      <c r="M3227">
        <v>22.569023886449401</v>
      </c>
      <c r="N3227">
        <v>53.992524087383501</v>
      </c>
      <c r="O3227">
        <v>53.299766032767103</v>
      </c>
      <c r="P3227">
        <v>-0.10008593884199</v>
      </c>
      <c r="Q3227">
        <v>5.4553796429300201E-2</v>
      </c>
      <c r="R3227">
        <v>0.99138312816388696</v>
      </c>
      <c r="S3227" t="s">
        <v>6856</v>
      </c>
      <c r="T3227" t="s">
        <v>7256</v>
      </c>
      <c r="U3227" t="s">
        <v>7256</v>
      </c>
      <c r="V3227" t="s">
        <v>7256</v>
      </c>
      <c r="W3227">
        <v>4</v>
      </c>
      <c r="X3227" t="s">
        <v>10483</v>
      </c>
      <c r="Y3227">
        <v>0.49732343958458541</v>
      </c>
      <c r="Z3227" t="str">
        <f>HYPERLINK("Melting_Curves/meltCurve_tr_E7ETZ4_E7ETZ4_HUMAN_.pdf", "Melting_Curves/meltCurve_tr_E7ETZ4_E7ETZ4_HUMAN_.pdf")</f>
        <v>Melting_Curves/meltCurve_tr_E7ETZ4_E7ETZ4_HUMAN_.pdf</v>
      </c>
      <c r="AA3227" t="s">
        <v>14061</v>
      </c>
      <c r="AB3227" t="s">
        <v>17645</v>
      </c>
    </row>
    <row r="3228" spans="1:28" x14ac:dyDescent="0.25">
      <c r="A3228" t="s">
        <v>3232</v>
      </c>
      <c r="B3228">
        <v>0.98018197421672304</v>
      </c>
      <c r="C3228">
        <v>0.93228347062365902</v>
      </c>
      <c r="D3228">
        <v>0.849547897652701</v>
      </c>
      <c r="E3228">
        <v>0.67424356746838598</v>
      </c>
      <c r="F3228">
        <v>0.44852853883610899</v>
      </c>
      <c r="G3228">
        <v>0.238672035928333</v>
      </c>
      <c r="H3228">
        <v>0.14215617815550799</v>
      </c>
      <c r="I3228">
        <v>9.9363288996382304E-2</v>
      </c>
      <c r="J3228">
        <v>0.22923147573783501</v>
      </c>
      <c r="K3228">
        <v>9.3183587482375804E-2</v>
      </c>
      <c r="L3228">
        <v>812.62139689161302</v>
      </c>
      <c r="M3228">
        <v>15.8415725824491</v>
      </c>
      <c r="N3228">
        <v>52.079702799586101</v>
      </c>
      <c r="O3228">
        <v>50.5002165826455</v>
      </c>
      <c r="P3228">
        <v>-7.0119427101453705E-2</v>
      </c>
      <c r="Q3228">
        <v>0.105958089118825</v>
      </c>
      <c r="R3228">
        <v>0.98543761980174605</v>
      </c>
      <c r="S3228" t="s">
        <v>6857</v>
      </c>
      <c r="T3228" t="s">
        <v>7256</v>
      </c>
      <c r="U3228" t="s">
        <v>7256</v>
      </c>
      <c r="V3228" t="s">
        <v>7256</v>
      </c>
      <c r="W3228">
        <v>8</v>
      </c>
      <c r="X3228" t="s">
        <v>10484</v>
      </c>
      <c r="Y3228">
        <v>0.46132455070684247</v>
      </c>
      <c r="Z3228" t="str">
        <f>HYPERLINK("Melting_Curves/meltCurve_tr_E7EU96_E7EU96_HUMAN_.pdf", "Melting_Curves/meltCurve_tr_E7EU96_E7EU96_HUMAN_.pdf")</f>
        <v>Melting_Curves/meltCurve_tr_E7EU96_E7EU96_HUMAN_.pdf</v>
      </c>
      <c r="AA3228" t="s">
        <v>14062</v>
      </c>
      <c r="AB3228" t="s">
        <v>15104</v>
      </c>
    </row>
    <row r="3229" spans="1:28" x14ac:dyDescent="0.25">
      <c r="A3229" t="s">
        <v>3233</v>
      </c>
      <c r="B3229">
        <v>0.98018197421672304</v>
      </c>
      <c r="C3229">
        <v>0.87456163376349805</v>
      </c>
      <c r="D3229">
        <v>0.80145340343388904</v>
      </c>
      <c r="E3229">
        <v>0.63406264842061899</v>
      </c>
      <c r="F3229">
        <v>0.47398451321566698</v>
      </c>
      <c r="G3229">
        <v>0.26044233989695698</v>
      </c>
      <c r="H3229">
        <v>0.211082792722215</v>
      </c>
      <c r="I3229">
        <v>0.22591793797173701</v>
      </c>
      <c r="J3229">
        <v>0.29102687380061798</v>
      </c>
      <c r="K3229">
        <v>0.35065455918381</v>
      </c>
      <c r="L3229">
        <v>752.61618334977004</v>
      </c>
      <c r="M3229">
        <v>15.2325899400912</v>
      </c>
      <c r="N3229">
        <v>51.674888808917899</v>
      </c>
      <c r="O3229">
        <v>48.580226214196799</v>
      </c>
      <c r="P3229">
        <v>-5.9293359842711099E-2</v>
      </c>
      <c r="Q3229">
        <v>0.24367138038620401</v>
      </c>
      <c r="R3229">
        <v>0.96143251754864301</v>
      </c>
      <c r="S3229" t="s">
        <v>6858</v>
      </c>
      <c r="T3229" t="s">
        <v>7256</v>
      </c>
      <c r="U3229" t="s">
        <v>7256</v>
      </c>
      <c r="V3229" t="s">
        <v>7256</v>
      </c>
      <c r="W3229">
        <v>4</v>
      </c>
      <c r="X3229" t="s">
        <v>10485</v>
      </c>
      <c r="Y3229">
        <v>0.49874382378482979</v>
      </c>
      <c r="Z3229" t="str">
        <f>HYPERLINK("Melting_Curves/meltCurve_tr_E7EUG6_E7EUG6_HUMAN_.pdf", "Melting_Curves/meltCurve_tr_E7EUG6_E7EUG6_HUMAN_.pdf")</f>
        <v>Melting_Curves/meltCurve_tr_E7EUG6_E7EUG6_HUMAN_.pdf</v>
      </c>
      <c r="AA3229" t="s">
        <v>14063</v>
      </c>
      <c r="AB3229" t="s">
        <v>17646</v>
      </c>
    </row>
    <row r="3230" spans="1:28" x14ac:dyDescent="0.25">
      <c r="A3230" t="s">
        <v>3234</v>
      </c>
      <c r="B3230">
        <v>0.98018197421672304</v>
      </c>
      <c r="C3230">
        <v>1.00337921321543</v>
      </c>
      <c r="D3230">
        <v>0.86431958781693996</v>
      </c>
      <c r="E3230">
        <v>0.57725324416975299</v>
      </c>
      <c r="F3230">
        <v>0.22777766693055199</v>
      </c>
      <c r="G3230">
        <v>0.14129294637791301</v>
      </c>
      <c r="H3230">
        <v>8.4681401986451604E-2</v>
      </c>
      <c r="I3230">
        <v>7.1779413499088895E-2</v>
      </c>
      <c r="J3230">
        <v>0.109131405199437</v>
      </c>
      <c r="K3230">
        <v>5.5621813346117897E-2</v>
      </c>
      <c r="L3230">
        <v>1204.6672442562101</v>
      </c>
      <c r="M3230">
        <v>24.073075241233401</v>
      </c>
      <c r="N3230">
        <v>50.384997621577497</v>
      </c>
      <c r="O3230">
        <v>49.700613719986698</v>
      </c>
      <c r="P3230">
        <v>-0.111942989570829</v>
      </c>
      <c r="Q3230">
        <v>7.5556681958666994E-2</v>
      </c>
      <c r="R3230">
        <v>0.99543401717107105</v>
      </c>
      <c r="S3230" t="s">
        <v>6859</v>
      </c>
      <c r="T3230" t="s">
        <v>7256</v>
      </c>
      <c r="U3230" t="s">
        <v>7256</v>
      </c>
      <c r="V3230" t="s">
        <v>7256</v>
      </c>
      <c r="W3230">
        <v>1</v>
      </c>
      <c r="X3230" t="s">
        <v>10486</v>
      </c>
      <c r="Y3230">
        <v>0.39391853649583219</v>
      </c>
      <c r="Z3230" t="str">
        <f>HYPERLINK("Melting_Curves/meltCurve_tr_E7EUN9_E7EUN9_HUMAN_.pdf", "Melting_Curves/meltCurve_tr_E7EUN9_E7EUN9_HUMAN_.pdf")</f>
        <v>Melting_Curves/meltCurve_tr_E7EUN9_E7EUN9_HUMAN_.pdf</v>
      </c>
      <c r="AA3230" t="s">
        <v>14064</v>
      </c>
      <c r="AB3230" t="s">
        <v>17647</v>
      </c>
    </row>
    <row r="3231" spans="1:28" x14ac:dyDescent="0.25">
      <c r="A3231" t="s">
        <v>3235</v>
      </c>
      <c r="B3231">
        <v>0.98018197421672304</v>
      </c>
      <c r="C3231">
        <v>0.94521970228643803</v>
      </c>
      <c r="D3231">
        <v>0.911414141063562</v>
      </c>
      <c r="E3231">
        <v>0.80008029262817904</v>
      </c>
      <c r="F3231">
        <v>0.61993928049472202</v>
      </c>
      <c r="G3231">
        <v>0.37100473300811598</v>
      </c>
      <c r="H3231">
        <v>0.38662597228276202</v>
      </c>
      <c r="I3231">
        <v>0.249548480492716</v>
      </c>
      <c r="J3231">
        <v>0.976764685041831</v>
      </c>
      <c r="K3231">
        <v>0.35556981002550098</v>
      </c>
      <c r="L3231">
        <v>1524.5338437959599</v>
      </c>
      <c r="M3231">
        <v>30.0441841490745</v>
      </c>
      <c r="N3231">
        <v>55.952962814522103</v>
      </c>
      <c r="O3231">
        <v>50.519837369563298</v>
      </c>
      <c r="P3231">
        <v>-7.88699308693699E-2</v>
      </c>
      <c r="Q3231">
        <v>0.46951851188354798</v>
      </c>
      <c r="R3231">
        <v>0.55742866264154101</v>
      </c>
      <c r="S3231" t="s">
        <v>6860</v>
      </c>
      <c r="T3231" t="s">
        <v>7256</v>
      </c>
      <c r="U3231" t="s">
        <v>7256</v>
      </c>
      <c r="V3231" t="s">
        <v>7256</v>
      </c>
      <c r="W3231">
        <v>4</v>
      </c>
      <c r="X3231" t="s">
        <v>10487</v>
      </c>
      <c r="Y3231">
        <v>0.66279650600227769</v>
      </c>
      <c r="Z3231" t="str">
        <f>HYPERLINK("Melting_Curves/meltCurve_tr_E7EVD1_E7EVD1_HUMAN_.pdf", "Melting_Curves/meltCurve_tr_E7EVD1_E7EVD1_HUMAN_.pdf")</f>
        <v>Melting_Curves/meltCurve_tr_E7EVD1_E7EVD1_HUMAN_.pdf</v>
      </c>
      <c r="AA3231" t="s">
        <v>14065</v>
      </c>
      <c r="AB3231" t="s">
        <v>17648</v>
      </c>
    </row>
    <row r="3232" spans="1:28" x14ac:dyDescent="0.25">
      <c r="A3232" t="s">
        <v>3236</v>
      </c>
      <c r="B3232">
        <v>0.98018197421672304</v>
      </c>
      <c r="C3232">
        <v>0.885814813550862</v>
      </c>
      <c r="D3232">
        <v>0.86173452956460805</v>
      </c>
      <c r="E3232">
        <v>0.67600416870107405</v>
      </c>
      <c r="F3232">
        <v>0.55658487459008499</v>
      </c>
      <c r="G3232">
        <v>0.253669786243096</v>
      </c>
      <c r="H3232">
        <v>0.131512333463527</v>
      </c>
      <c r="I3232">
        <v>8.6365215485490296E-2</v>
      </c>
      <c r="J3232">
        <v>0.222700809321659</v>
      </c>
      <c r="K3232">
        <v>9.53245486021808E-2</v>
      </c>
      <c r="L3232">
        <v>719.48920779862897</v>
      </c>
      <c r="M3232">
        <v>13.7818401940221</v>
      </c>
      <c r="N3232">
        <v>52.816155176172799</v>
      </c>
      <c r="O3232">
        <v>51.143273095508199</v>
      </c>
      <c r="P3232">
        <v>-6.2416681719485403E-2</v>
      </c>
      <c r="Q3232">
        <v>7.3637692905051302E-2</v>
      </c>
      <c r="R3232">
        <v>0.97494629263173804</v>
      </c>
      <c r="S3232" t="s">
        <v>6861</v>
      </c>
      <c r="T3232" t="s">
        <v>7256</v>
      </c>
      <c r="U3232" t="s">
        <v>7256</v>
      </c>
      <c r="V3232" t="s">
        <v>7256</v>
      </c>
      <c r="W3232">
        <v>10</v>
      </c>
      <c r="X3232" t="s">
        <v>10488</v>
      </c>
      <c r="Y3232">
        <v>0.47378697575302708</v>
      </c>
      <c r="Z3232" t="str">
        <f>HYPERLINK("Melting_Curves/meltCurve_tr_E7EVJ5_E7EVJ5_HUMAN_.pdf", "Melting_Curves/meltCurve_tr_E7EVJ5_E7EVJ5_HUMAN_.pdf")</f>
        <v>Melting_Curves/meltCurve_tr_E7EVJ5_E7EVJ5_HUMAN_.pdf</v>
      </c>
      <c r="AA3232" t="s">
        <v>14066</v>
      </c>
      <c r="AB3232" t="s">
        <v>17649</v>
      </c>
    </row>
    <row r="3233" spans="1:28" x14ac:dyDescent="0.25">
      <c r="A3233" t="s">
        <v>3237</v>
      </c>
      <c r="B3233">
        <v>0.98018197421672304</v>
      </c>
      <c r="C3233">
        <v>0.99502917391654</v>
      </c>
      <c r="D3233">
        <v>0.93285175437457601</v>
      </c>
      <c r="E3233">
        <v>0.84942999494211102</v>
      </c>
      <c r="F3233">
        <v>0.712933509707527</v>
      </c>
      <c r="G3233">
        <v>0.43795528747217799</v>
      </c>
      <c r="H3233">
        <v>0.21875031545161699</v>
      </c>
      <c r="I3233">
        <v>0.13595186830533601</v>
      </c>
      <c r="J3233">
        <v>0.12576732973350799</v>
      </c>
      <c r="K3233">
        <v>8.2698428054865103E-2</v>
      </c>
      <c r="L3233">
        <v>867.76728938504004</v>
      </c>
      <c r="M3233">
        <v>15.6067013872778</v>
      </c>
      <c r="N3233">
        <v>55.925089167810697</v>
      </c>
      <c r="O3233">
        <v>54.713347479869</v>
      </c>
      <c r="P3233">
        <v>-6.8244999597518993E-2</v>
      </c>
      <c r="Q3233">
        <v>4.3080753709098599E-2</v>
      </c>
      <c r="R3233">
        <v>0.99799921311843898</v>
      </c>
      <c r="S3233" t="s">
        <v>6862</v>
      </c>
      <c r="T3233" t="s">
        <v>7256</v>
      </c>
      <c r="U3233" t="s">
        <v>7256</v>
      </c>
      <c r="V3233" t="s">
        <v>7256</v>
      </c>
      <c r="W3233">
        <v>3</v>
      </c>
      <c r="X3233" t="s">
        <v>10489</v>
      </c>
      <c r="Y3233">
        <v>0.55768575577712698</v>
      </c>
      <c r="Z3233" t="str">
        <f>HYPERLINK("Melting_Curves/meltCurve_tr_E7EW52_E7EW52_HUMAN_.pdf", "Melting_Curves/meltCurve_tr_E7EW52_E7EW52_HUMAN_.pdf")</f>
        <v>Melting_Curves/meltCurve_tr_E7EW52_E7EW52_HUMAN_.pdf</v>
      </c>
      <c r="AA3233" t="s">
        <v>14067</v>
      </c>
      <c r="AB3233" t="s">
        <v>17650</v>
      </c>
    </row>
    <row r="3234" spans="1:28" x14ac:dyDescent="0.25">
      <c r="A3234" t="s">
        <v>3238</v>
      </c>
      <c r="B3234">
        <v>0.98018197421672304</v>
      </c>
      <c r="C3234">
        <v>1.0181926597229001</v>
      </c>
      <c r="D3234">
        <v>0.89203895503914898</v>
      </c>
      <c r="E3234">
        <v>0.75737241293723301</v>
      </c>
      <c r="F3234">
        <v>0.47727428989299697</v>
      </c>
      <c r="G3234">
        <v>0.18143083044362701</v>
      </c>
      <c r="H3234">
        <v>9.3134561168150096E-2</v>
      </c>
      <c r="I3234">
        <v>6.6425930323777999E-2</v>
      </c>
      <c r="J3234">
        <v>9.6638657880020101E-2</v>
      </c>
      <c r="K3234">
        <v>5.8862120800655698E-2</v>
      </c>
      <c r="L3234">
        <v>1094.9001480797699</v>
      </c>
      <c r="M3234">
        <v>20.919195268521001</v>
      </c>
      <c r="N3234">
        <v>52.640193979800898</v>
      </c>
      <c r="O3234">
        <v>51.868265740142597</v>
      </c>
      <c r="P3234">
        <v>-9.5152784848089894E-2</v>
      </c>
      <c r="Q3234">
        <v>5.6316676401224897E-2</v>
      </c>
      <c r="R3234">
        <v>0.995846741136165</v>
      </c>
      <c r="S3234" t="s">
        <v>6863</v>
      </c>
      <c r="T3234" t="s">
        <v>7256</v>
      </c>
      <c r="U3234" t="s">
        <v>7256</v>
      </c>
      <c r="V3234" t="s">
        <v>7256</v>
      </c>
      <c r="W3234">
        <v>7</v>
      </c>
      <c r="X3234" t="s">
        <v>10490</v>
      </c>
      <c r="Y3234">
        <v>0.45650437763933621</v>
      </c>
      <c r="Z3234" t="str">
        <f>HYPERLINK("Melting_Curves/meltCurve_tr_E7EW69_E7EW69_HUMAN_.pdf", "Melting_Curves/meltCurve_tr_E7EW69_E7EW69_HUMAN_.pdf")</f>
        <v>Melting_Curves/meltCurve_tr_E7EW69_E7EW69_HUMAN_.pdf</v>
      </c>
      <c r="AA3234" t="s">
        <v>14068</v>
      </c>
      <c r="AB3234" t="s">
        <v>17651</v>
      </c>
    </row>
    <row r="3235" spans="1:28" x14ac:dyDescent="0.25">
      <c r="A3235" t="s">
        <v>3239</v>
      </c>
      <c r="B3235">
        <v>0.98018197421672304</v>
      </c>
      <c r="C3235">
        <v>0.80399480230633302</v>
      </c>
      <c r="D3235">
        <v>0.76689284742840402</v>
      </c>
      <c r="E3235">
        <v>0.39250832471235603</v>
      </c>
      <c r="F3235">
        <v>0.24679960155529501</v>
      </c>
      <c r="G3235">
        <v>0.17131031554874801</v>
      </c>
      <c r="H3235">
        <v>0.11827410612766499</v>
      </c>
      <c r="I3235">
        <v>9.6741564945639694E-2</v>
      </c>
      <c r="J3235">
        <v>7.7476812521119306E-2</v>
      </c>
      <c r="K3235">
        <v>8.4827379841645498E-2</v>
      </c>
      <c r="L3235">
        <v>732.78911398445302</v>
      </c>
      <c r="M3235">
        <v>15.1897489016888</v>
      </c>
      <c r="N3235">
        <v>48.756800307112897</v>
      </c>
      <c r="O3235">
        <v>47.429370852460401</v>
      </c>
      <c r="P3235">
        <v>-7.41439338682892E-2</v>
      </c>
      <c r="Q3235">
        <v>7.4043133483278997E-2</v>
      </c>
      <c r="R3235">
        <v>0.98935415232936896</v>
      </c>
      <c r="S3235" t="s">
        <v>6864</v>
      </c>
      <c r="T3235" t="s">
        <v>7256</v>
      </c>
      <c r="U3235" t="s">
        <v>7256</v>
      </c>
      <c r="V3235" t="s">
        <v>7256</v>
      </c>
      <c r="W3235">
        <v>3</v>
      </c>
      <c r="X3235" t="s">
        <v>10491</v>
      </c>
      <c r="Y3235">
        <v>0.35143672007433802</v>
      </c>
      <c r="Z3235" t="str">
        <f>HYPERLINK("Melting_Curves/meltCurve_tr_E7EW84_E7EW84_HUMAN_.pdf", "Melting_Curves/meltCurve_tr_E7EW84_E7EW84_HUMAN_.pdf")</f>
        <v>Melting_Curves/meltCurve_tr_E7EW84_E7EW84_HUMAN_.pdf</v>
      </c>
      <c r="AA3235" t="s">
        <v>14069</v>
      </c>
      <c r="AB3235" t="s">
        <v>17652</v>
      </c>
    </row>
    <row r="3236" spans="1:28" x14ac:dyDescent="0.25">
      <c r="A3236" t="s">
        <v>3240</v>
      </c>
      <c r="B3236">
        <v>0.98018197421672304</v>
      </c>
      <c r="C3236">
        <v>0.95100656970282704</v>
      </c>
      <c r="D3236">
        <v>0.88181178134037597</v>
      </c>
      <c r="E3236">
        <v>0.62061672027675596</v>
      </c>
      <c r="F3236">
        <v>0.46351521631868497</v>
      </c>
      <c r="G3236">
        <v>0.37819690019506202</v>
      </c>
      <c r="H3236">
        <v>0.36616801684529199</v>
      </c>
      <c r="I3236">
        <v>0.41525865791826699</v>
      </c>
      <c r="J3236">
        <v>0.85553488035630598</v>
      </c>
      <c r="K3236">
        <v>0.70130200593990499</v>
      </c>
      <c r="L3236">
        <v>1700.6430135640701</v>
      </c>
      <c r="M3236">
        <v>35.883701015988798</v>
      </c>
      <c r="O3236">
        <v>47.246721998214603</v>
      </c>
      <c r="P3236">
        <v>-8.8853899721271806E-2</v>
      </c>
      <c r="Q3236">
        <v>0.53203912321951496</v>
      </c>
      <c r="R3236">
        <v>0.61772778385829796</v>
      </c>
      <c r="S3236" t="s">
        <v>6865</v>
      </c>
      <c r="T3236" t="s">
        <v>7256</v>
      </c>
      <c r="U3236" t="s">
        <v>7256</v>
      </c>
      <c r="V3236" t="s">
        <v>7256</v>
      </c>
      <c r="W3236">
        <v>40</v>
      </c>
      <c r="X3236" t="s">
        <v>10492</v>
      </c>
      <c r="Y3236">
        <v>0.64929082787825598</v>
      </c>
      <c r="Z3236" t="str">
        <f>HYPERLINK("Melting_Curves/meltCurve_tr_E7EX73_E7EX73_HUMAN_.pdf", "Melting_Curves/meltCurve_tr_E7EX73_E7EX73_HUMAN_.pdf")</f>
        <v>Melting_Curves/meltCurve_tr_E7EX73_E7EX73_HUMAN_.pdf</v>
      </c>
      <c r="AA3236" t="s">
        <v>12215</v>
      </c>
      <c r="AB3236" t="s">
        <v>17653</v>
      </c>
    </row>
    <row r="3237" spans="1:28" x14ac:dyDescent="0.25">
      <c r="A3237" t="s">
        <v>3241</v>
      </c>
      <c r="B3237">
        <v>0.98018197421672304</v>
      </c>
      <c r="C3237">
        <v>1.47786398348562</v>
      </c>
      <c r="D3237">
        <v>0.89166552897177698</v>
      </c>
      <c r="E3237">
        <v>0.93831767810507205</v>
      </c>
      <c r="F3237">
        <v>0.26099736059362799</v>
      </c>
      <c r="G3237">
        <v>0.640509453031333</v>
      </c>
      <c r="H3237">
        <v>0.52291501358900305</v>
      </c>
      <c r="I3237">
        <v>0.22896760574849001</v>
      </c>
      <c r="J3237">
        <v>1.0246738913811599</v>
      </c>
      <c r="K3237">
        <v>0.65284235216600695</v>
      </c>
      <c r="L3237">
        <v>12591.3148722928</v>
      </c>
      <c r="M3237">
        <v>250</v>
      </c>
      <c r="O3237">
        <v>50.362040226155401</v>
      </c>
      <c r="P3237">
        <v>-0.55206383069170994</v>
      </c>
      <c r="Q3237">
        <v>0.55515106028788597</v>
      </c>
      <c r="R3237">
        <v>0.48166329599045898</v>
      </c>
      <c r="S3237" t="s">
        <v>6866</v>
      </c>
      <c r="T3237" t="s">
        <v>7256</v>
      </c>
      <c r="U3237" t="s">
        <v>7256</v>
      </c>
      <c r="V3237" t="s">
        <v>7256</v>
      </c>
      <c r="W3237">
        <v>2</v>
      </c>
      <c r="X3237" t="s">
        <v>10493</v>
      </c>
      <c r="Y3237">
        <v>0.70888953704863455</v>
      </c>
      <c r="Z3237" t="str">
        <f>HYPERLINK("Melting_Curves/meltCurve_tr_E7EX83_E7EX83_HUMAN_.pdf", "Melting_Curves/meltCurve_tr_E7EX83_E7EX83_HUMAN_.pdf")</f>
        <v>Melting_Curves/meltCurve_tr_E7EX83_E7EX83_HUMAN_.pdf</v>
      </c>
      <c r="AA3237" t="s">
        <v>14070</v>
      </c>
      <c r="AB3237" t="s">
        <v>17654</v>
      </c>
    </row>
    <row r="3238" spans="1:28" x14ac:dyDescent="0.25">
      <c r="A3238" t="s">
        <v>3242</v>
      </c>
      <c r="B3238">
        <v>0.98018197421672304</v>
      </c>
      <c r="C3238">
        <v>0.95613147919464703</v>
      </c>
      <c r="D3238">
        <v>0.88582228151862996</v>
      </c>
      <c r="E3238">
        <v>0.55683180029815005</v>
      </c>
      <c r="F3238">
        <v>0.320601028359499</v>
      </c>
      <c r="G3238">
        <v>0.185950577393723</v>
      </c>
      <c r="H3238">
        <v>0.14393752290940301</v>
      </c>
      <c r="I3238">
        <v>0.100396094769083</v>
      </c>
      <c r="J3238">
        <v>0.15162410804878401</v>
      </c>
      <c r="K3238">
        <v>0.149376745162352</v>
      </c>
      <c r="L3238">
        <v>1077.6614150338401</v>
      </c>
      <c r="M3238">
        <v>21.593659772836801</v>
      </c>
      <c r="N3238">
        <v>50.6074310694339</v>
      </c>
      <c r="O3238">
        <v>49.484285011583196</v>
      </c>
      <c r="P3238">
        <v>-9.4993684903519102E-2</v>
      </c>
      <c r="Q3238">
        <v>0.12926634061523201</v>
      </c>
      <c r="R3238">
        <v>0.99782083920172404</v>
      </c>
      <c r="S3238" t="s">
        <v>6867</v>
      </c>
      <c r="T3238" t="s">
        <v>7256</v>
      </c>
      <c r="U3238" t="s">
        <v>7256</v>
      </c>
      <c r="V3238" t="s">
        <v>7256</v>
      </c>
      <c r="W3238">
        <v>1</v>
      </c>
      <c r="X3238" t="s">
        <v>10494</v>
      </c>
      <c r="Y3238">
        <v>0.42721830539781902</v>
      </c>
      <c r="Z3238" t="str">
        <f>HYPERLINK("Melting_Curves/meltCurve_tr_E9PB09_E9PB09_HUMAN_.pdf", "Melting_Curves/meltCurve_tr_E9PB09_E9PB09_HUMAN_.pdf")</f>
        <v>Melting_Curves/meltCurve_tr_E9PB09_E9PB09_HUMAN_.pdf</v>
      </c>
      <c r="AA3238" t="s">
        <v>14071</v>
      </c>
      <c r="AB3238" t="s">
        <v>17655</v>
      </c>
    </row>
    <row r="3239" spans="1:28" x14ac:dyDescent="0.25">
      <c r="A3239" t="s">
        <v>3243</v>
      </c>
      <c r="B3239">
        <v>0.98018197421672304</v>
      </c>
      <c r="C3239">
        <v>0.84825540042065295</v>
      </c>
      <c r="D3239">
        <v>0.66628168891385897</v>
      </c>
      <c r="E3239">
        <v>0.34877629522571701</v>
      </c>
      <c r="F3239">
        <v>0.18445865421931901</v>
      </c>
      <c r="G3239">
        <v>9.2887950311002707E-2</v>
      </c>
      <c r="H3239">
        <v>6.5638644840896807E-2</v>
      </c>
      <c r="I3239">
        <v>5.0563183115233799E-2</v>
      </c>
      <c r="J3239">
        <v>0.145024251486225</v>
      </c>
      <c r="K3239">
        <v>4.34121208209957E-2</v>
      </c>
      <c r="L3239">
        <v>827.83157148676696</v>
      </c>
      <c r="M3239">
        <v>17.442012484493301</v>
      </c>
      <c r="N3239">
        <v>47.829425113006799</v>
      </c>
      <c r="O3239">
        <v>46.851207239689799</v>
      </c>
      <c r="P3239">
        <v>-8.7239497807172203E-2</v>
      </c>
      <c r="Q3239">
        <v>6.2711510074498003E-2</v>
      </c>
      <c r="R3239">
        <v>0.99248885445336199</v>
      </c>
      <c r="S3239" t="s">
        <v>6868</v>
      </c>
      <c r="T3239" t="s">
        <v>7256</v>
      </c>
      <c r="U3239" t="s">
        <v>7256</v>
      </c>
      <c r="V3239" t="s">
        <v>7256</v>
      </c>
      <c r="W3239">
        <v>6</v>
      </c>
      <c r="X3239" t="s">
        <v>10495</v>
      </c>
      <c r="Y3239">
        <v>0.31396316490889631</v>
      </c>
      <c r="Z3239" t="str">
        <f>HYPERLINK("Melting_Curves/meltCurve_tr_E9PB14_E9PB14_HUMAN_.pdf", "Melting_Curves/meltCurve_tr_E9PB14_E9PB14_HUMAN_.pdf")</f>
        <v>Melting_Curves/meltCurve_tr_E9PB14_E9PB14_HUMAN_.pdf</v>
      </c>
      <c r="AA3239" t="s">
        <v>14072</v>
      </c>
      <c r="AB3239" t="s">
        <v>17656</v>
      </c>
    </row>
    <row r="3240" spans="1:28" x14ac:dyDescent="0.25">
      <c r="A3240" t="s">
        <v>3244</v>
      </c>
      <c r="B3240">
        <v>0.98018197421672304</v>
      </c>
      <c r="C3240">
        <v>0.91948661517314501</v>
      </c>
      <c r="D3240">
        <v>0.70789363990505805</v>
      </c>
      <c r="E3240">
        <v>0.35538773070306501</v>
      </c>
      <c r="F3240">
        <v>0.234086307176814</v>
      </c>
      <c r="G3240">
        <v>0.12499687449249</v>
      </c>
      <c r="H3240">
        <v>8.3562249505866201E-2</v>
      </c>
      <c r="I3240">
        <v>6.7427459629608305E-2</v>
      </c>
      <c r="J3240">
        <v>0.102805186062241</v>
      </c>
      <c r="K3240">
        <v>5.1638451869949802E-2</v>
      </c>
      <c r="L3240">
        <v>879.64189578372998</v>
      </c>
      <c r="M3240">
        <v>18.3262554567725</v>
      </c>
      <c r="N3240">
        <v>48.402884045425303</v>
      </c>
      <c r="O3240">
        <v>47.438440569208304</v>
      </c>
      <c r="P3240">
        <v>-8.9735613981162005E-2</v>
      </c>
      <c r="Q3240">
        <v>7.0902320139835301E-2</v>
      </c>
      <c r="R3240">
        <v>0.99795513435283401</v>
      </c>
      <c r="S3240" t="s">
        <v>6869</v>
      </c>
      <c r="T3240" t="s">
        <v>7256</v>
      </c>
      <c r="U3240" t="s">
        <v>7256</v>
      </c>
      <c r="V3240" t="s">
        <v>7256</v>
      </c>
      <c r="W3240">
        <v>6</v>
      </c>
      <c r="X3240" t="s">
        <v>10496</v>
      </c>
      <c r="Y3240">
        <v>0.33450770215076508</v>
      </c>
      <c r="Z3240" t="str">
        <f>HYPERLINK("Melting_Curves/meltCurve_tr_E9PBL8_E9PBL8_HUMAN_.pdf", "Melting_Curves/meltCurve_tr_E9PBL8_E9PBL8_HUMAN_.pdf")</f>
        <v>Melting_Curves/meltCurve_tr_E9PBL8_E9PBL8_HUMAN_.pdf</v>
      </c>
      <c r="AA3240" t="s">
        <v>14073</v>
      </c>
      <c r="AB3240" t="s">
        <v>17657</v>
      </c>
    </row>
    <row r="3241" spans="1:28" x14ac:dyDescent="0.25">
      <c r="A3241" t="s">
        <v>3245</v>
      </c>
      <c r="B3241">
        <v>0.98018197421672304</v>
      </c>
      <c r="C3241">
        <v>1.01640619123696</v>
      </c>
      <c r="D3241">
        <v>0.85299521884517604</v>
      </c>
      <c r="E3241">
        <v>0.54722017572222903</v>
      </c>
      <c r="F3241">
        <v>0.212858712595248</v>
      </c>
      <c r="G3241">
        <v>0.14425333995657499</v>
      </c>
      <c r="H3241">
        <v>6.2746856504607498E-2</v>
      </c>
      <c r="I3241">
        <v>5.3451488492376402E-2</v>
      </c>
      <c r="J3241">
        <v>6.5769560441134606E-2</v>
      </c>
      <c r="K3241">
        <v>5.8102397344611499E-2</v>
      </c>
      <c r="L3241">
        <v>1154.61241892981</v>
      </c>
      <c r="M3241">
        <v>23.138210784424999</v>
      </c>
      <c r="N3241">
        <v>50.168418030574102</v>
      </c>
      <c r="O3241">
        <v>49.532429043683798</v>
      </c>
      <c r="P3241">
        <v>-0.11000213569439</v>
      </c>
      <c r="Q3241">
        <v>5.8082161563025599E-2</v>
      </c>
      <c r="R3241">
        <v>0.99567962918500197</v>
      </c>
      <c r="S3241" t="s">
        <v>6870</v>
      </c>
      <c r="T3241" t="s">
        <v>7256</v>
      </c>
      <c r="U3241" t="s">
        <v>7256</v>
      </c>
      <c r="V3241" t="s">
        <v>7256</v>
      </c>
      <c r="W3241">
        <v>3</v>
      </c>
      <c r="X3241" t="s">
        <v>10497</v>
      </c>
      <c r="Y3241">
        <v>0.3787616860808336</v>
      </c>
      <c r="Z3241" t="str">
        <f>HYPERLINK("Melting_Curves/meltCurve_tr_E9PC74_E9PC74_HUMAN_.pdf", "Melting_Curves/meltCurve_tr_E9PC74_E9PC74_HUMAN_.pdf")</f>
        <v>Melting_Curves/meltCurve_tr_E9PC74_E9PC74_HUMAN_.pdf</v>
      </c>
      <c r="AA3241" t="s">
        <v>14074</v>
      </c>
      <c r="AB3241" t="s">
        <v>17658</v>
      </c>
    </row>
    <row r="3242" spans="1:28" x14ac:dyDescent="0.25">
      <c r="A3242" t="s">
        <v>3246</v>
      </c>
      <c r="B3242">
        <v>0.98018197421672304</v>
      </c>
      <c r="C3242">
        <v>1.0519724750327699</v>
      </c>
      <c r="D3242">
        <v>0.73807664661940398</v>
      </c>
      <c r="E3242">
        <v>0.25300891265157299</v>
      </c>
      <c r="F3242">
        <v>0.115424758052629</v>
      </c>
      <c r="G3242">
        <v>8.1985082747127597E-2</v>
      </c>
      <c r="H3242">
        <v>5.2028764482792901E-2</v>
      </c>
      <c r="I3242">
        <v>3.7714531322670101E-2</v>
      </c>
      <c r="J3242">
        <v>4.3162689922041302E-2</v>
      </c>
      <c r="K3242">
        <v>3.6056123536365697E-2</v>
      </c>
      <c r="L3242">
        <v>1404.04578910125</v>
      </c>
      <c r="M3242">
        <v>29.423395675348001</v>
      </c>
      <c r="N3242">
        <v>47.895072269863697</v>
      </c>
      <c r="O3242">
        <v>47.499892407931902</v>
      </c>
      <c r="P3242">
        <v>-0.146910104953837</v>
      </c>
      <c r="Q3242">
        <v>5.1344699088094699E-2</v>
      </c>
      <c r="R3242">
        <v>0.99387032774955697</v>
      </c>
      <c r="S3242" t="s">
        <v>6871</v>
      </c>
      <c r="T3242" t="s">
        <v>7256</v>
      </c>
      <c r="U3242" t="s">
        <v>7256</v>
      </c>
      <c r="V3242" t="s">
        <v>7256</v>
      </c>
      <c r="W3242">
        <v>3</v>
      </c>
      <c r="X3242" t="s">
        <v>10498</v>
      </c>
      <c r="Y3242">
        <v>0.30135902132596049</v>
      </c>
      <c r="Z3242" t="str">
        <f>HYPERLINK("Melting_Curves/meltCurve_tr_E9PCG9_E9PCG9_HUMAN_.pdf", "Melting_Curves/meltCurve_tr_E9PCG9_E9PCG9_HUMAN_.pdf")</f>
        <v>Melting_Curves/meltCurve_tr_E9PCG9_E9PCG9_HUMAN_.pdf</v>
      </c>
      <c r="AA3242" t="s">
        <v>14075</v>
      </c>
      <c r="AB3242" t="s">
        <v>17659</v>
      </c>
    </row>
    <row r="3243" spans="1:28" x14ac:dyDescent="0.25">
      <c r="A3243" t="s">
        <v>3247</v>
      </c>
      <c r="B3243">
        <v>0.98018197421672304</v>
      </c>
      <c r="C3243">
        <v>1.0065357043051399</v>
      </c>
      <c r="D3243">
        <v>0.918391596210685</v>
      </c>
      <c r="E3243">
        <v>0.79655040066276805</v>
      </c>
      <c r="F3243">
        <v>0.68713812465894797</v>
      </c>
      <c r="G3243">
        <v>0.49140455759588397</v>
      </c>
      <c r="H3243">
        <v>0.36600880837896899</v>
      </c>
      <c r="I3243">
        <v>0.37380528548956798</v>
      </c>
      <c r="J3243">
        <v>0.418315297488212</v>
      </c>
      <c r="K3243">
        <v>0.39768680789197203</v>
      </c>
      <c r="L3243">
        <v>911.61344969225001</v>
      </c>
      <c r="M3243">
        <v>17.396588899364598</v>
      </c>
      <c r="N3243">
        <v>56.755608163375001</v>
      </c>
      <c r="O3243">
        <v>51.7241364862899</v>
      </c>
      <c r="P3243">
        <v>-5.3113886885662098E-2</v>
      </c>
      <c r="Q3243">
        <v>0.36835550409798201</v>
      </c>
      <c r="R3243">
        <v>0.98761053586758396</v>
      </c>
      <c r="S3243" t="s">
        <v>6872</v>
      </c>
      <c r="T3243" t="s">
        <v>7256</v>
      </c>
      <c r="U3243" t="s">
        <v>7256</v>
      </c>
      <c r="V3243" t="s">
        <v>7256</v>
      </c>
      <c r="W3243">
        <v>6</v>
      </c>
      <c r="X3243" t="s">
        <v>10499</v>
      </c>
      <c r="Y3243">
        <v>0.64052784350636927</v>
      </c>
      <c r="Z3243" t="str">
        <f>HYPERLINK("Melting_Curves/meltCurve_tr_E9PCJ7_E9PCJ7_HUMAN_.pdf", "Melting_Curves/meltCurve_tr_E9PCJ7_E9PCJ7_HUMAN_.pdf")</f>
        <v>Melting_Curves/meltCurve_tr_E9PCJ7_E9PCJ7_HUMAN_.pdf</v>
      </c>
      <c r="AA3243" t="s">
        <v>14076</v>
      </c>
      <c r="AB3243" t="s">
        <v>17660</v>
      </c>
    </row>
    <row r="3244" spans="1:28" x14ac:dyDescent="0.25">
      <c r="A3244" t="s">
        <v>3248</v>
      </c>
      <c r="B3244">
        <v>0.98018197421672304</v>
      </c>
      <c r="C3244">
        <v>0.975442184484412</v>
      </c>
      <c r="D3244">
        <v>0.88952111182430404</v>
      </c>
      <c r="E3244">
        <v>0.64111660063561604</v>
      </c>
      <c r="F3244">
        <v>0.41987357897889999</v>
      </c>
      <c r="G3244">
        <v>0.25723102976545098</v>
      </c>
      <c r="H3244">
        <v>0.135445370132248</v>
      </c>
      <c r="I3244">
        <v>0.118724910620172</v>
      </c>
      <c r="J3244">
        <v>0.11620180843261101</v>
      </c>
      <c r="K3244">
        <v>0.11747153334011801</v>
      </c>
      <c r="L3244">
        <v>870.26877171293597</v>
      </c>
      <c r="M3244">
        <v>16.979067496261301</v>
      </c>
      <c r="N3244">
        <v>51.920971790630098</v>
      </c>
      <c r="O3244">
        <v>50.560244985201201</v>
      </c>
      <c r="P3244">
        <v>-7.5748803359584796E-2</v>
      </c>
      <c r="Q3244">
        <v>9.7797277389529799E-2</v>
      </c>
      <c r="R3244">
        <v>0.99900903214222303</v>
      </c>
      <c r="S3244" t="s">
        <v>6873</v>
      </c>
      <c r="T3244" t="s">
        <v>7256</v>
      </c>
      <c r="U3244" t="s">
        <v>7256</v>
      </c>
      <c r="V3244" t="s">
        <v>7256</v>
      </c>
      <c r="W3244">
        <v>9</v>
      </c>
      <c r="X3244" t="s">
        <v>10500</v>
      </c>
      <c r="Y3244">
        <v>0.45307811637565448</v>
      </c>
      <c r="Z3244" t="str">
        <f>HYPERLINK("Melting_Curves/meltCurve_tr_E9PCY7_E9PCY7_HUMAN_.pdf", "Melting_Curves/meltCurve_tr_E9PCY7_E9PCY7_HUMAN_.pdf")</f>
        <v>Melting_Curves/meltCurve_tr_E9PCY7_E9PCY7_HUMAN_.pdf</v>
      </c>
      <c r="AA3244" t="s">
        <v>14077</v>
      </c>
      <c r="AB3244" t="s">
        <v>17661</v>
      </c>
    </row>
    <row r="3245" spans="1:28" x14ac:dyDescent="0.25">
      <c r="A3245" t="s">
        <v>3249</v>
      </c>
      <c r="B3245">
        <v>0.98018197421672304</v>
      </c>
      <c r="C3245">
        <v>0.89732084291463898</v>
      </c>
      <c r="D3245">
        <v>0.91502596229066802</v>
      </c>
      <c r="E3245">
        <v>0.67018926444550997</v>
      </c>
      <c r="F3245">
        <v>0.29185120877697801</v>
      </c>
      <c r="G3245">
        <v>0.148038715125906</v>
      </c>
      <c r="H3245">
        <v>8.3697308134752998E-2</v>
      </c>
      <c r="I3245">
        <v>6.3552837814927807E-2</v>
      </c>
      <c r="J3245">
        <v>5.8482548333175101E-2</v>
      </c>
      <c r="K3245">
        <v>6.2851373340633801E-2</v>
      </c>
      <c r="L3245">
        <v>1200.77520089632</v>
      </c>
      <c r="M3245">
        <v>23.565314040765202</v>
      </c>
      <c r="N3245">
        <v>51.230434944715803</v>
      </c>
      <c r="O3245">
        <v>50.592491877858301</v>
      </c>
      <c r="P3245">
        <v>-0.109524645716941</v>
      </c>
      <c r="Q3245">
        <v>5.9459552464975599E-2</v>
      </c>
      <c r="R3245">
        <v>0.99160140346991099</v>
      </c>
      <c r="S3245" t="s">
        <v>6874</v>
      </c>
      <c r="T3245" t="s">
        <v>7256</v>
      </c>
      <c r="U3245" t="s">
        <v>7256</v>
      </c>
      <c r="V3245" t="s">
        <v>7256</v>
      </c>
      <c r="W3245">
        <v>3</v>
      </c>
      <c r="X3245" t="s">
        <v>10501</v>
      </c>
      <c r="Y3245">
        <v>0.41245560410168119</v>
      </c>
      <c r="Z3245" t="str">
        <f>HYPERLINK("Melting_Curves/meltCurve_tr_E9PDQ5_E9PDQ5_HUMAN_.pdf", "Melting_Curves/meltCurve_tr_E9PDQ5_E9PDQ5_HUMAN_.pdf")</f>
        <v>Melting_Curves/meltCurve_tr_E9PDQ5_E9PDQ5_HUMAN_.pdf</v>
      </c>
      <c r="AA3245" t="s">
        <v>14078</v>
      </c>
      <c r="AB3245" t="s">
        <v>17662</v>
      </c>
    </row>
    <row r="3246" spans="1:28" x14ac:dyDescent="0.25">
      <c r="A3246" t="s">
        <v>3250</v>
      </c>
      <c r="B3246">
        <v>0.98018197421672304</v>
      </c>
      <c r="C3246">
        <v>0.82817908132844997</v>
      </c>
      <c r="D3246">
        <v>0.92686244191213696</v>
      </c>
      <c r="E3246">
        <v>0.95149124321370404</v>
      </c>
      <c r="F3246">
        <v>0.72393837311598097</v>
      </c>
      <c r="G3246">
        <v>0.45155892511048601</v>
      </c>
      <c r="H3246">
        <v>0.32973009421940203</v>
      </c>
      <c r="I3246">
        <v>0.19012017020253999</v>
      </c>
      <c r="J3246">
        <v>0.33641493707350101</v>
      </c>
      <c r="K3246">
        <v>0.82363953649758803</v>
      </c>
      <c r="L3246">
        <v>2307.3366274732798</v>
      </c>
      <c r="M3246">
        <v>43.470376461204999</v>
      </c>
      <c r="N3246">
        <v>55.424033964200603</v>
      </c>
      <c r="O3246">
        <v>52.966431605846203</v>
      </c>
      <c r="P3246">
        <v>-0.118886542720103</v>
      </c>
      <c r="Q3246">
        <v>0.42057241953164498</v>
      </c>
      <c r="R3246">
        <v>0.66469315716906097</v>
      </c>
      <c r="S3246" t="s">
        <v>6875</v>
      </c>
      <c r="T3246" t="s">
        <v>7256</v>
      </c>
      <c r="U3246" t="s">
        <v>7256</v>
      </c>
      <c r="V3246" t="s">
        <v>7256</v>
      </c>
      <c r="W3246">
        <v>1</v>
      </c>
      <c r="X3246" t="s">
        <v>10502</v>
      </c>
      <c r="Y3246">
        <v>0.67496819544361053</v>
      </c>
      <c r="Z3246" t="str">
        <f>HYPERLINK("Melting_Curves/meltCurve_tr_E9PDR5_E9PDR5_HUMAN_.pdf", "Melting_Curves/meltCurve_tr_E9PDR5_E9PDR5_HUMAN_.pdf")</f>
        <v>Melting_Curves/meltCurve_tr_E9PDR5_E9PDR5_HUMAN_.pdf</v>
      </c>
      <c r="AA3246" t="s">
        <v>14079</v>
      </c>
      <c r="AB3246" t="s">
        <v>17663</v>
      </c>
    </row>
    <row r="3247" spans="1:28" x14ac:dyDescent="0.25">
      <c r="A3247" t="s">
        <v>3251</v>
      </c>
      <c r="B3247">
        <v>0.98018197421672304</v>
      </c>
      <c r="C3247">
        <v>1.3628027330708401</v>
      </c>
      <c r="D3247">
        <v>1.2632661964687499</v>
      </c>
      <c r="E3247">
        <v>1.02804425253078</v>
      </c>
      <c r="F3247">
        <v>0.96345843566214595</v>
      </c>
      <c r="G3247">
        <v>0.76083352005583205</v>
      </c>
      <c r="H3247">
        <v>0.77920215302016005</v>
      </c>
      <c r="I3247">
        <v>0.82263666285877701</v>
      </c>
      <c r="J3247">
        <v>0.76698637414720205</v>
      </c>
      <c r="K3247">
        <v>1.2403432197475699</v>
      </c>
      <c r="L3247">
        <v>13297.451906510199</v>
      </c>
      <c r="M3247">
        <v>250</v>
      </c>
      <c r="O3247">
        <v>53.186385798834699</v>
      </c>
      <c r="P3247">
        <v>-0.14806370096972199</v>
      </c>
      <c r="Q3247">
        <v>0.87400038724092699</v>
      </c>
      <c r="R3247">
        <v>0.17802126193949699</v>
      </c>
      <c r="S3247" t="s">
        <v>6876</v>
      </c>
      <c r="T3247" t="s">
        <v>7256</v>
      </c>
      <c r="U3247" t="s">
        <v>7256</v>
      </c>
      <c r="V3247" t="s">
        <v>7256</v>
      </c>
      <c r="W3247">
        <v>1</v>
      </c>
      <c r="X3247" t="s">
        <v>10503</v>
      </c>
      <c r="Y3247">
        <v>0.92940917073756169</v>
      </c>
      <c r="Z3247" t="str">
        <f>HYPERLINK("Melting_Curves/meltCurve_tr_E9PEG3_E9PEG3_HUMAN_.pdf", "Melting_Curves/meltCurve_tr_E9PEG3_E9PEG3_HUMAN_.pdf")</f>
        <v>Melting_Curves/meltCurve_tr_E9PEG3_E9PEG3_HUMAN_.pdf</v>
      </c>
      <c r="AA3247" t="s">
        <v>14080</v>
      </c>
      <c r="AB3247" t="s">
        <v>17664</v>
      </c>
    </row>
    <row r="3248" spans="1:28" x14ac:dyDescent="0.25">
      <c r="A3248" t="s">
        <v>3252</v>
      </c>
      <c r="B3248">
        <v>0.98018197421672304</v>
      </c>
      <c r="C3248">
        <v>0.93406663340986895</v>
      </c>
      <c r="D3248">
        <v>0.87162992671561901</v>
      </c>
      <c r="E3248">
        <v>0.58999430534580199</v>
      </c>
      <c r="F3248">
        <v>0.26966444270850498</v>
      </c>
      <c r="G3248">
        <v>0.14093252275559801</v>
      </c>
      <c r="H3248">
        <v>8.9829846622772699E-2</v>
      </c>
      <c r="I3248">
        <v>6.8510937489416904E-2</v>
      </c>
      <c r="J3248">
        <v>7.0533199275665301E-2</v>
      </c>
      <c r="K3248">
        <v>5.32693053514968E-2</v>
      </c>
      <c r="L3248">
        <v>1032.15773132667</v>
      </c>
      <c r="M3248">
        <v>20.516932456400799</v>
      </c>
      <c r="N3248">
        <v>50.608578911400798</v>
      </c>
      <c r="O3248">
        <v>49.836995051710097</v>
      </c>
      <c r="P3248">
        <v>-9.7012035985969497E-2</v>
      </c>
      <c r="Q3248">
        <v>5.74329507230339E-2</v>
      </c>
      <c r="R3248">
        <v>0.997028508165962</v>
      </c>
      <c r="S3248" t="s">
        <v>6877</v>
      </c>
      <c r="T3248" t="s">
        <v>7256</v>
      </c>
      <c r="U3248" t="s">
        <v>7256</v>
      </c>
      <c r="V3248" t="s">
        <v>7256</v>
      </c>
      <c r="W3248">
        <v>33</v>
      </c>
      <c r="X3248" t="s">
        <v>10504</v>
      </c>
      <c r="Y3248">
        <v>0.3937640205657244</v>
      </c>
      <c r="Z3248" t="str">
        <f>HYPERLINK("Melting_Curves/meltCurve_tr_E9PEZ3_E9PEZ3_HUMAN_.pdf", "Melting_Curves/meltCurve_tr_E9PEZ3_E9PEZ3_HUMAN_.pdf")</f>
        <v>Melting_Curves/meltCurve_tr_E9PEZ3_E9PEZ3_HUMAN_.pdf</v>
      </c>
      <c r="AA3248" t="s">
        <v>14081</v>
      </c>
      <c r="AB3248" t="s">
        <v>17665</v>
      </c>
    </row>
    <row r="3249" spans="1:28" x14ac:dyDescent="0.25">
      <c r="A3249" t="s">
        <v>3253</v>
      </c>
      <c r="B3249">
        <v>0.98018197421672304</v>
      </c>
      <c r="C3249">
        <v>0.82096022943618197</v>
      </c>
      <c r="D3249">
        <v>0.820679769329826</v>
      </c>
      <c r="E3249">
        <v>0.76709153259472196</v>
      </c>
      <c r="F3249">
        <v>0.52930635010426397</v>
      </c>
      <c r="G3249">
        <v>5.5580700795465302E-2</v>
      </c>
      <c r="H3249">
        <v>6.5161029526265596E-2</v>
      </c>
      <c r="I3249">
        <v>4.37537766964032E-2</v>
      </c>
      <c r="J3249">
        <v>6.7147052574090205E-2</v>
      </c>
      <c r="K3249">
        <v>3.3576905881968197E-2</v>
      </c>
      <c r="L3249">
        <v>1066.39523485467</v>
      </c>
      <c r="M3249">
        <v>20.324530501511202</v>
      </c>
      <c r="N3249">
        <v>52.535564426557002</v>
      </c>
      <c r="O3249">
        <v>51.968381684548902</v>
      </c>
      <c r="P3249">
        <v>-9.6522668901892095E-2</v>
      </c>
      <c r="Q3249">
        <v>1.2823919034388899E-2</v>
      </c>
      <c r="R3249">
        <v>0.95312481851029895</v>
      </c>
      <c r="S3249" t="s">
        <v>6878</v>
      </c>
      <c r="T3249" t="s">
        <v>7256</v>
      </c>
      <c r="U3249" t="s">
        <v>7256</v>
      </c>
      <c r="V3249" t="s">
        <v>7256</v>
      </c>
      <c r="W3249">
        <v>1</v>
      </c>
      <c r="X3249" t="s">
        <v>10505</v>
      </c>
      <c r="Y3249">
        <v>0.43635557567857142</v>
      </c>
      <c r="Z3249" t="str">
        <f>HYPERLINK("Melting_Curves/meltCurve_tr_E9PF01_E9PF01_HUMAN_.pdf", "Melting_Curves/meltCurve_tr_E9PF01_E9PF01_HUMAN_.pdf")</f>
        <v>Melting_Curves/meltCurve_tr_E9PF01_E9PF01_HUMAN_.pdf</v>
      </c>
      <c r="AA3249" t="s">
        <v>14082</v>
      </c>
      <c r="AB3249" t="s">
        <v>17666</v>
      </c>
    </row>
    <row r="3250" spans="1:28" x14ac:dyDescent="0.25">
      <c r="A3250" t="s">
        <v>3254</v>
      </c>
      <c r="B3250">
        <v>0.98018197421672304</v>
      </c>
      <c r="C3250">
        <v>1.04363914053588</v>
      </c>
      <c r="D3250">
        <v>1.1010152310593899</v>
      </c>
      <c r="E3250">
        <v>1.0037360003795599</v>
      </c>
      <c r="F3250">
        <v>0.63353516067740301</v>
      </c>
      <c r="G3250">
        <v>0.49740336097495302</v>
      </c>
      <c r="H3250">
        <v>0.52295301419949503</v>
      </c>
      <c r="I3250">
        <v>0.43288020421053203</v>
      </c>
      <c r="J3250">
        <v>0.56304581320329405</v>
      </c>
      <c r="K3250">
        <v>0.78717483716493097</v>
      </c>
      <c r="S3250" t="s">
        <v>6879</v>
      </c>
      <c r="T3250" t="s">
        <v>7256</v>
      </c>
      <c r="U3250" t="s">
        <v>7257</v>
      </c>
      <c r="V3250" t="s">
        <v>7256</v>
      </c>
      <c r="W3250">
        <v>1</v>
      </c>
      <c r="X3250" t="s">
        <v>10506</v>
      </c>
      <c r="Z3250" t="str">
        <f>HYPERLINK("Melting_Curves/meltCurve_tr_E9PFC1_E9PFC1_HUMAN_.pdf", "Melting_Curves/meltCurve_tr_E9PFC1_E9PFC1_HUMAN_.pdf")</f>
        <v>Melting_Curves/meltCurve_tr_E9PFC1_E9PFC1_HUMAN_.pdf</v>
      </c>
      <c r="AA3250" t="s">
        <v>14083</v>
      </c>
      <c r="AB3250" t="s">
        <v>17667</v>
      </c>
    </row>
    <row r="3251" spans="1:28" x14ac:dyDescent="0.25">
      <c r="A3251" t="s">
        <v>3255</v>
      </c>
      <c r="B3251">
        <v>0.98018197421672304</v>
      </c>
      <c r="C3251">
        <v>0.89984225344904201</v>
      </c>
      <c r="D3251">
        <v>0.78111771494007198</v>
      </c>
      <c r="E3251">
        <v>0.70756432271739</v>
      </c>
      <c r="F3251">
        <v>0.67760019396654003</v>
      </c>
      <c r="G3251">
        <v>0.470445068782051</v>
      </c>
      <c r="H3251">
        <v>0.42776196065028299</v>
      </c>
      <c r="I3251">
        <v>0.46860674063124502</v>
      </c>
      <c r="J3251">
        <v>0.49686715563835099</v>
      </c>
      <c r="K3251">
        <v>0.66129000415662198</v>
      </c>
      <c r="L3251">
        <v>654.41937073264796</v>
      </c>
      <c r="M3251">
        <v>13.7065466920725</v>
      </c>
      <c r="O3251">
        <v>46.763124431784902</v>
      </c>
      <c r="P3251">
        <v>-3.6632824833447299E-2</v>
      </c>
      <c r="Q3251">
        <v>0.50014568035219498</v>
      </c>
      <c r="R3251">
        <v>0.84901846016331095</v>
      </c>
      <c r="S3251" t="s">
        <v>6880</v>
      </c>
      <c r="T3251" t="s">
        <v>7256</v>
      </c>
      <c r="U3251" t="s">
        <v>7256</v>
      </c>
      <c r="V3251" t="s">
        <v>7256</v>
      </c>
      <c r="W3251">
        <v>1</v>
      </c>
      <c r="X3251" t="s">
        <v>10507</v>
      </c>
      <c r="Y3251">
        <v>0.64473848246121823</v>
      </c>
      <c r="Z3251" t="str">
        <f>HYPERLINK("Melting_Curves/meltCurve_tr_E9PFD7_E9PFD7_HUMAN_.pdf", "Melting_Curves/meltCurve_tr_E9PFD7_E9PFD7_HUMAN_.pdf")</f>
        <v>Melting_Curves/meltCurve_tr_E9PFD7_E9PFD7_HUMAN_.pdf</v>
      </c>
      <c r="AA3251" t="s">
        <v>14084</v>
      </c>
      <c r="AB3251" t="s">
        <v>17668</v>
      </c>
    </row>
    <row r="3252" spans="1:28" x14ac:dyDescent="0.25">
      <c r="A3252" t="s">
        <v>3256</v>
      </c>
      <c r="B3252">
        <v>0.98018197421672304</v>
      </c>
      <c r="C3252">
        <v>1.01449074231581</v>
      </c>
      <c r="D3252">
        <v>0.79187642928617796</v>
      </c>
      <c r="E3252">
        <v>0.63319920647818295</v>
      </c>
      <c r="F3252">
        <v>0.37973415241116298</v>
      </c>
      <c r="G3252">
        <v>0.26695193586613702</v>
      </c>
      <c r="H3252">
        <v>0.26598640300738602</v>
      </c>
      <c r="I3252">
        <v>0.22379845674799401</v>
      </c>
      <c r="J3252">
        <v>0.26008111296905501</v>
      </c>
      <c r="K3252">
        <v>0.306599834905316</v>
      </c>
      <c r="L3252">
        <v>970.93565228801197</v>
      </c>
      <c r="M3252">
        <v>19.6714235573853</v>
      </c>
      <c r="N3252">
        <v>51.1524384556391</v>
      </c>
      <c r="O3252">
        <v>48.856085960890603</v>
      </c>
      <c r="P3252">
        <v>-7.5571787116245306E-2</v>
      </c>
      <c r="Q3252">
        <v>0.24926358680025501</v>
      </c>
      <c r="R3252">
        <v>0.98225839257134295</v>
      </c>
      <c r="S3252" t="s">
        <v>6881</v>
      </c>
      <c r="T3252" t="s">
        <v>7256</v>
      </c>
      <c r="U3252" t="s">
        <v>7256</v>
      </c>
      <c r="V3252" t="s">
        <v>7256</v>
      </c>
      <c r="W3252">
        <v>1</v>
      </c>
      <c r="X3252" t="s">
        <v>10508</v>
      </c>
      <c r="Y3252">
        <v>0.49427431012643142</v>
      </c>
      <c r="Z3252" t="str">
        <f>HYPERLINK("Melting_Curves/meltCurve_tr_E9PFK5_E9PFK5_HUMAN_.pdf", "Melting_Curves/meltCurve_tr_E9PFK5_E9PFK5_HUMAN_.pdf")</f>
        <v>Melting_Curves/meltCurve_tr_E9PFK5_E9PFK5_HUMAN_.pdf</v>
      </c>
      <c r="AA3252" t="s">
        <v>14085</v>
      </c>
      <c r="AB3252" t="s">
        <v>17669</v>
      </c>
    </row>
    <row r="3253" spans="1:28" x14ac:dyDescent="0.25">
      <c r="A3253" t="s">
        <v>3257</v>
      </c>
      <c r="B3253">
        <v>0.98018197421672304</v>
      </c>
      <c r="C3253">
        <v>0.91515149046672595</v>
      </c>
      <c r="D3253">
        <v>0.80233207239906201</v>
      </c>
      <c r="E3253">
        <v>0.52411269276841299</v>
      </c>
      <c r="F3253">
        <v>0.197561329479674</v>
      </c>
      <c r="G3253">
        <v>0.11024623056929</v>
      </c>
      <c r="H3253">
        <v>6.7964051789927399E-2</v>
      </c>
      <c r="I3253">
        <v>4.54836910664385E-2</v>
      </c>
      <c r="J3253">
        <v>4.6045594276596803E-2</v>
      </c>
      <c r="K3253">
        <v>2.9516921057886902E-2</v>
      </c>
      <c r="L3253">
        <v>922.26055547418696</v>
      </c>
      <c r="M3253">
        <v>18.6146550548454</v>
      </c>
      <c r="N3253">
        <v>49.7071703466844</v>
      </c>
      <c r="O3253">
        <v>48.983699336090403</v>
      </c>
      <c r="P3253">
        <v>-9.2207077517423894E-2</v>
      </c>
      <c r="Q3253">
        <v>2.9485556150123202E-2</v>
      </c>
      <c r="R3253">
        <v>0.99498301497992703</v>
      </c>
      <c r="S3253" t="s">
        <v>6882</v>
      </c>
      <c r="T3253" t="s">
        <v>7256</v>
      </c>
      <c r="U3253" t="s">
        <v>7256</v>
      </c>
      <c r="V3253" t="s">
        <v>7256</v>
      </c>
      <c r="W3253">
        <v>12</v>
      </c>
      <c r="X3253" t="s">
        <v>10509</v>
      </c>
      <c r="Y3253">
        <v>0.35386715933067969</v>
      </c>
      <c r="Z3253" t="str">
        <f>HYPERLINK("Melting_Curves/meltCurve_tr_E9PFR3_E9PFR3_HUMAN_.pdf", "Melting_Curves/meltCurve_tr_E9PFR3_E9PFR3_HUMAN_.pdf")</f>
        <v>Melting_Curves/meltCurve_tr_E9PFR3_E9PFR3_HUMAN_.pdf</v>
      </c>
      <c r="AA3253" t="s">
        <v>14086</v>
      </c>
      <c r="AB3253" t="s">
        <v>17670</v>
      </c>
    </row>
    <row r="3254" spans="1:28" x14ac:dyDescent="0.25">
      <c r="A3254" t="s">
        <v>3258</v>
      </c>
      <c r="B3254">
        <v>0.98018197421672304</v>
      </c>
      <c r="C3254">
        <v>1.1508940067154501</v>
      </c>
      <c r="D3254">
        <v>0.96640122092302705</v>
      </c>
      <c r="E3254">
        <v>0.46650152322721899</v>
      </c>
      <c r="F3254">
        <v>5.5710992404940103E-2</v>
      </c>
      <c r="G3254">
        <v>6.9660138816998202E-2</v>
      </c>
      <c r="H3254">
        <v>3.6415488947768797E-2</v>
      </c>
      <c r="I3254">
        <v>2.9977980488023599E-2</v>
      </c>
      <c r="J3254">
        <v>8.1908739947591305E-2</v>
      </c>
      <c r="K3254">
        <v>0</v>
      </c>
      <c r="L3254">
        <v>2968.3343127162202</v>
      </c>
      <c r="M3254">
        <v>59.601822845626103</v>
      </c>
      <c r="N3254">
        <v>49.875157696011001</v>
      </c>
      <c r="O3254">
        <v>49.746770692112797</v>
      </c>
      <c r="P3254">
        <v>-0.28711178938002502</v>
      </c>
      <c r="Q3254">
        <v>4.1446880761742799E-2</v>
      </c>
      <c r="R3254">
        <v>0.985711349425057</v>
      </c>
      <c r="S3254" t="s">
        <v>6883</v>
      </c>
      <c r="T3254" t="s">
        <v>7256</v>
      </c>
      <c r="U3254" t="s">
        <v>7256</v>
      </c>
      <c r="V3254" t="s">
        <v>7256</v>
      </c>
      <c r="W3254">
        <v>1</v>
      </c>
      <c r="X3254" t="s">
        <v>10510</v>
      </c>
      <c r="Y3254">
        <v>0.35614138610204799</v>
      </c>
      <c r="Z3254" t="str">
        <f>HYPERLINK("Melting_Curves/meltCurve_tr_E9PG46_E9PG46_HUMAN_.pdf", "Melting_Curves/meltCurve_tr_E9PG46_E9PG46_HUMAN_.pdf")</f>
        <v>Melting_Curves/meltCurve_tr_E9PG46_E9PG46_HUMAN_.pdf</v>
      </c>
      <c r="AA3254" t="s">
        <v>14087</v>
      </c>
      <c r="AB3254" t="s">
        <v>17671</v>
      </c>
    </row>
    <row r="3255" spans="1:28" x14ac:dyDescent="0.25">
      <c r="A3255" t="s">
        <v>3259</v>
      </c>
      <c r="B3255">
        <v>0.98018197421672304</v>
      </c>
      <c r="C3255">
        <v>0.95021796459140895</v>
      </c>
      <c r="D3255">
        <v>0.80807056916953501</v>
      </c>
      <c r="E3255">
        <v>0.60679818922723705</v>
      </c>
      <c r="F3255">
        <v>0.38692532842257699</v>
      </c>
      <c r="G3255">
        <v>0.29855716617274902</v>
      </c>
      <c r="H3255">
        <v>0.20367625990097499</v>
      </c>
      <c r="I3255">
        <v>0.176203347330051</v>
      </c>
      <c r="J3255">
        <v>0.183451703134486</v>
      </c>
      <c r="K3255">
        <v>0.18625303626177001</v>
      </c>
      <c r="L3255">
        <v>764.61647393811199</v>
      </c>
      <c r="M3255">
        <v>15.284819749985999</v>
      </c>
      <c r="N3255">
        <v>51.357092680089501</v>
      </c>
      <c r="O3255">
        <v>49.191739660520099</v>
      </c>
      <c r="P3255">
        <v>-6.49703059204947E-2</v>
      </c>
      <c r="Q3255">
        <v>0.16369247184132699</v>
      </c>
      <c r="R3255">
        <v>0.99721373133442504</v>
      </c>
      <c r="S3255" t="s">
        <v>6884</v>
      </c>
      <c r="T3255" t="s">
        <v>7256</v>
      </c>
      <c r="U3255" t="s">
        <v>7256</v>
      </c>
      <c r="V3255" t="s">
        <v>7256</v>
      </c>
      <c r="W3255">
        <v>2</v>
      </c>
      <c r="X3255" t="s">
        <v>10511</v>
      </c>
      <c r="Y3255">
        <v>0.46241877314960561</v>
      </c>
      <c r="Z3255" t="str">
        <f>HYPERLINK("Melting_Curves/meltCurve_tr_E9PG73_E9PG73_HUMAN_.pdf", "Melting_Curves/meltCurve_tr_E9PG73_E9PG73_HUMAN_.pdf")</f>
        <v>Melting_Curves/meltCurve_tr_E9PG73_E9PG73_HUMAN_.pdf</v>
      </c>
      <c r="AA3255" t="s">
        <v>14088</v>
      </c>
      <c r="AB3255" t="s">
        <v>17672</v>
      </c>
    </row>
    <row r="3256" spans="1:28" x14ac:dyDescent="0.25">
      <c r="A3256" t="s">
        <v>3260</v>
      </c>
      <c r="B3256">
        <v>0.98018197421672304</v>
      </c>
      <c r="C3256">
        <v>0.94616437849686796</v>
      </c>
      <c r="D3256">
        <v>0.835755275158512</v>
      </c>
      <c r="E3256">
        <v>0.62036079657267296</v>
      </c>
      <c r="F3256">
        <v>0.456395798675374</v>
      </c>
      <c r="G3256">
        <v>0.29177718309685402</v>
      </c>
      <c r="H3256">
        <v>0.261428696688007</v>
      </c>
      <c r="I3256">
        <v>0.23188823180540999</v>
      </c>
      <c r="J3256">
        <v>0.29991669373098201</v>
      </c>
      <c r="K3256">
        <v>0.38753428667742401</v>
      </c>
      <c r="L3256">
        <v>924.47336821384897</v>
      </c>
      <c r="M3256">
        <v>18.721597943780399</v>
      </c>
      <c r="N3256">
        <v>51.662568198622999</v>
      </c>
      <c r="O3256">
        <v>48.826980164032797</v>
      </c>
      <c r="P3256">
        <v>-6.8890197924491095E-2</v>
      </c>
      <c r="Q3256">
        <v>0.28135211961072598</v>
      </c>
      <c r="R3256">
        <v>0.97499960308253597</v>
      </c>
      <c r="S3256" t="s">
        <v>6885</v>
      </c>
      <c r="T3256" t="s">
        <v>7256</v>
      </c>
      <c r="U3256" t="s">
        <v>7256</v>
      </c>
      <c r="V3256" t="s">
        <v>7256</v>
      </c>
      <c r="W3256">
        <v>22</v>
      </c>
      <c r="X3256" t="s">
        <v>10512</v>
      </c>
      <c r="Y3256">
        <v>0.51749594219092976</v>
      </c>
      <c r="Z3256" t="str">
        <f>HYPERLINK("Melting_Curves/meltCurve_tr_E9PGF5_E9PGF5_HUMAN_.pdf", "Melting_Curves/meltCurve_tr_E9PGF5_E9PGF5_HUMAN_.pdf")</f>
        <v>Melting_Curves/meltCurve_tr_E9PGF5_E9PGF5_HUMAN_.pdf</v>
      </c>
      <c r="AA3256" t="s">
        <v>14089</v>
      </c>
      <c r="AB3256" t="s">
        <v>17673</v>
      </c>
    </row>
    <row r="3257" spans="1:28" x14ac:dyDescent="0.25">
      <c r="A3257" t="s">
        <v>3261</v>
      </c>
      <c r="B3257">
        <v>0.98018197421672304</v>
      </c>
      <c r="C3257">
        <v>0.92802069872538795</v>
      </c>
      <c r="D3257">
        <v>0.85091853353922697</v>
      </c>
      <c r="E3257">
        <v>0.74114713760945805</v>
      </c>
      <c r="F3257">
        <v>0.57549021884700602</v>
      </c>
      <c r="G3257">
        <v>0.203365934504603</v>
      </c>
      <c r="H3257">
        <v>5.7654040410547697E-2</v>
      </c>
      <c r="I3257">
        <v>5.0290631585301997E-2</v>
      </c>
      <c r="J3257">
        <v>5.8511988832812001E-2</v>
      </c>
      <c r="K3257">
        <v>5.1018215091318E-2</v>
      </c>
      <c r="L3257">
        <v>867.30093988373096</v>
      </c>
      <c r="M3257">
        <v>16.331041020895899</v>
      </c>
      <c r="N3257">
        <v>53.107515023406997</v>
      </c>
      <c r="O3257">
        <v>52.330360209703798</v>
      </c>
      <c r="P3257">
        <v>-7.8024605722124094E-2</v>
      </c>
      <c r="Q3257">
        <v>0</v>
      </c>
      <c r="R3257">
        <v>0.98679306309171799</v>
      </c>
      <c r="S3257" t="s">
        <v>6886</v>
      </c>
      <c r="T3257" t="s">
        <v>7256</v>
      </c>
      <c r="U3257" t="s">
        <v>7256</v>
      </c>
      <c r="V3257" t="s">
        <v>7256</v>
      </c>
      <c r="W3257">
        <v>8</v>
      </c>
      <c r="X3257" t="s">
        <v>10513</v>
      </c>
      <c r="Y3257">
        <v>0.45588843116408129</v>
      </c>
      <c r="Z3257" t="str">
        <f>HYPERLINK("Melting_Curves/meltCurve_tr_E9PGF9_E9PGF9_HUMAN_.pdf", "Melting_Curves/meltCurve_tr_E9PGF9_E9PGF9_HUMAN_.pdf")</f>
        <v>Melting_Curves/meltCurve_tr_E9PGF9_E9PGF9_HUMAN_.pdf</v>
      </c>
      <c r="AA3257" t="s">
        <v>14090</v>
      </c>
      <c r="AB3257" t="s">
        <v>17674</v>
      </c>
    </row>
    <row r="3258" spans="1:28" x14ac:dyDescent="0.25">
      <c r="A3258" t="s">
        <v>3262</v>
      </c>
      <c r="B3258">
        <v>0.98018197421672304</v>
      </c>
      <c r="C3258">
        <v>0.98784971873854099</v>
      </c>
      <c r="D3258">
        <v>0.84754265057067302</v>
      </c>
      <c r="E3258">
        <v>0.76894542341835004</v>
      </c>
      <c r="F3258">
        <v>0.51573068598544702</v>
      </c>
      <c r="G3258">
        <v>0.373847425764262</v>
      </c>
      <c r="H3258">
        <v>0.29331436065491101</v>
      </c>
      <c r="I3258">
        <v>0.28322510205369</v>
      </c>
      <c r="J3258">
        <v>0.43617109782540198</v>
      </c>
      <c r="K3258">
        <v>0.356389601294192</v>
      </c>
      <c r="L3258">
        <v>1021.3989473516</v>
      </c>
      <c r="M3258">
        <v>20.142649844913102</v>
      </c>
      <c r="N3258">
        <v>53.575984699560998</v>
      </c>
      <c r="O3258">
        <v>50.216407255444999</v>
      </c>
      <c r="P3258">
        <v>-6.7200328717508098E-2</v>
      </c>
      <c r="Q3258">
        <v>0.32988910545866501</v>
      </c>
      <c r="R3258">
        <v>0.96193762156684604</v>
      </c>
      <c r="S3258" t="s">
        <v>6887</v>
      </c>
      <c r="T3258" t="s">
        <v>7256</v>
      </c>
      <c r="U3258" t="s">
        <v>7256</v>
      </c>
      <c r="V3258" t="s">
        <v>7256</v>
      </c>
      <c r="W3258">
        <v>2</v>
      </c>
      <c r="X3258" t="s">
        <v>10514</v>
      </c>
      <c r="Y3258">
        <v>0.57826430636657977</v>
      </c>
      <c r="Z3258" t="str">
        <f>HYPERLINK("Melting_Curves/meltCurve_tr_E9PGM7_E9PGM7_HUMAN_.pdf", "Melting_Curves/meltCurve_tr_E9PGM7_E9PGM7_HUMAN_.pdf")</f>
        <v>Melting_Curves/meltCurve_tr_E9PGM7_E9PGM7_HUMAN_.pdf</v>
      </c>
      <c r="AA3258" t="s">
        <v>14091</v>
      </c>
      <c r="AB3258" t="s">
        <v>17675</v>
      </c>
    </row>
    <row r="3259" spans="1:28" x14ac:dyDescent="0.25">
      <c r="A3259" t="s">
        <v>3263</v>
      </c>
      <c r="B3259">
        <v>0.98018197421672304</v>
      </c>
      <c r="C3259">
        <v>0.95949457183977704</v>
      </c>
      <c r="D3259">
        <v>0.92789433092492901</v>
      </c>
      <c r="E3259">
        <v>0.82341306244501</v>
      </c>
      <c r="F3259">
        <v>0.65685394458972302</v>
      </c>
      <c r="G3259">
        <v>0.54419347287323705</v>
      </c>
      <c r="H3259">
        <v>0.415928359619465</v>
      </c>
      <c r="I3259">
        <v>0.40063487259005298</v>
      </c>
      <c r="J3259">
        <v>0.243336588840846</v>
      </c>
      <c r="K3259">
        <v>0.119391554058757</v>
      </c>
      <c r="L3259">
        <v>504.23723397049702</v>
      </c>
      <c r="M3259">
        <v>8.6411980012862895</v>
      </c>
      <c r="N3259">
        <v>58.352675003928297</v>
      </c>
      <c r="O3259">
        <v>55.4800264122998</v>
      </c>
      <c r="P3259">
        <v>-3.8971303438575897E-2</v>
      </c>
      <c r="Q3259">
        <v>0</v>
      </c>
      <c r="R3259">
        <v>0.98266429476413897</v>
      </c>
      <c r="S3259" t="s">
        <v>6888</v>
      </c>
      <c r="T3259" t="s">
        <v>7256</v>
      </c>
      <c r="U3259" t="s">
        <v>7256</v>
      </c>
      <c r="V3259" t="s">
        <v>7256</v>
      </c>
      <c r="W3259">
        <v>13</v>
      </c>
      <c r="X3259" t="s">
        <v>10515</v>
      </c>
      <c r="Y3259">
        <v>0.61508784689901574</v>
      </c>
      <c r="Z3259" t="str">
        <f>HYPERLINK("Melting_Curves/meltCurve_tr_E9PGT1_E9PGT1_HUMAN_.pdf", "Melting_Curves/meltCurve_tr_E9PGT1_E9PGT1_HUMAN_.pdf")</f>
        <v>Melting_Curves/meltCurve_tr_E9PGT1_E9PGT1_HUMAN_.pdf</v>
      </c>
      <c r="AA3259" t="s">
        <v>14092</v>
      </c>
      <c r="AB3259" t="s">
        <v>17676</v>
      </c>
    </row>
    <row r="3260" spans="1:28" x14ac:dyDescent="0.25">
      <c r="A3260" t="s">
        <v>3264</v>
      </c>
      <c r="B3260">
        <v>0.98018197421672304</v>
      </c>
      <c r="C3260">
        <v>0.68914635491667497</v>
      </c>
      <c r="D3260">
        <v>0.77152379617420597</v>
      </c>
      <c r="E3260">
        <v>0.53497672082439496</v>
      </c>
      <c r="F3260">
        <v>0.48574070171057898</v>
      </c>
      <c r="G3260">
        <v>0.24238408183566501</v>
      </c>
      <c r="H3260">
        <v>0.19658200097130299</v>
      </c>
      <c r="I3260">
        <v>0.15275039527582601</v>
      </c>
      <c r="J3260">
        <v>0.240155627355846</v>
      </c>
      <c r="K3260">
        <v>8.5537342070601999E-2</v>
      </c>
      <c r="L3260">
        <v>425.26643593779801</v>
      </c>
      <c r="M3260">
        <v>8.4134173687137501</v>
      </c>
      <c r="N3260">
        <v>51.012467877448202</v>
      </c>
      <c r="O3260">
        <v>47.932764273811301</v>
      </c>
      <c r="P3260">
        <v>-4.2296969019643499E-2</v>
      </c>
      <c r="Q3260">
        <v>3.7007763102953499E-2</v>
      </c>
      <c r="R3260">
        <v>0.942834539380909</v>
      </c>
      <c r="S3260" t="s">
        <v>6889</v>
      </c>
      <c r="T3260" t="s">
        <v>7256</v>
      </c>
      <c r="U3260" t="s">
        <v>7256</v>
      </c>
      <c r="V3260" t="s">
        <v>7256</v>
      </c>
      <c r="W3260">
        <v>1</v>
      </c>
      <c r="X3260" t="s">
        <v>10516</v>
      </c>
      <c r="Y3260">
        <v>0.42679039128328577</v>
      </c>
      <c r="Z3260" t="str">
        <f>HYPERLINK("Melting_Curves/meltCurve_tr_E9PGW7_E9PGW7_HUMAN_.pdf", "Melting_Curves/meltCurve_tr_E9PGW7_E9PGW7_HUMAN_.pdf")</f>
        <v>Melting_Curves/meltCurve_tr_E9PGW7_E9PGW7_HUMAN_.pdf</v>
      </c>
      <c r="AA3260" t="s">
        <v>14093</v>
      </c>
      <c r="AB3260" t="s">
        <v>17677</v>
      </c>
    </row>
    <row r="3261" spans="1:28" x14ac:dyDescent="0.25">
      <c r="A3261" t="s">
        <v>3265</v>
      </c>
      <c r="B3261">
        <v>0.98018197421672304</v>
      </c>
      <c r="C3261">
        <v>0.97972583263268498</v>
      </c>
      <c r="D3261">
        <v>0.92979993316159504</v>
      </c>
      <c r="E3261">
        <v>0.71972806135397305</v>
      </c>
      <c r="F3261">
        <v>0.32218921415364798</v>
      </c>
      <c r="G3261">
        <v>0.126782704805145</v>
      </c>
      <c r="H3261">
        <v>8.2214963031399399E-2</v>
      </c>
      <c r="I3261">
        <v>8.0066405594254306E-2</v>
      </c>
      <c r="J3261">
        <v>8.5982792502095701E-2</v>
      </c>
      <c r="K3261">
        <v>5.8518487222087502E-2</v>
      </c>
      <c r="L3261">
        <v>1479.7666283633801</v>
      </c>
      <c r="M3261">
        <v>28.847607987214399</v>
      </c>
      <c r="N3261">
        <v>51.578221459977101</v>
      </c>
      <c r="O3261">
        <v>51.0513871494176</v>
      </c>
      <c r="P3261">
        <v>-0.13095433567063899</v>
      </c>
      <c r="Q3261">
        <v>7.3011587285288296E-2</v>
      </c>
      <c r="R3261">
        <v>0.99805113626628805</v>
      </c>
      <c r="S3261" t="s">
        <v>6890</v>
      </c>
      <c r="T3261" t="s">
        <v>7256</v>
      </c>
      <c r="U3261" t="s">
        <v>7256</v>
      </c>
      <c r="V3261" t="s">
        <v>7256</v>
      </c>
      <c r="W3261">
        <v>10</v>
      </c>
      <c r="X3261" t="s">
        <v>10517</v>
      </c>
      <c r="Y3261">
        <v>0.42838577272395179</v>
      </c>
      <c r="Z3261" t="str">
        <f>HYPERLINK("Melting_Curves/meltCurve_tr_E9PH29_E9PH29_HUMAN_.pdf", "Melting_Curves/meltCurve_tr_E9PH29_E9PH29_HUMAN_.pdf")</f>
        <v>Melting_Curves/meltCurve_tr_E9PH29_E9PH29_HUMAN_.pdf</v>
      </c>
      <c r="AA3261" t="s">
        <v>14094</v>
      </c>
      <c r="AB3261" t="s">
        <v>17678</v>
      </c>
    </row>
    <row r="3262" spans="1:28" x14ac:dyDescent="0.25">
      <c r="A3262" t="s">
        <v>3266</v>
      </c>
      <c r="B3262">
        <v>0.98018197421672304</v>
      </c>
      <c r="C3262">
        <v>0.96559187325600904</v>
      </c>
      <c r="D3262">
        <v>0.91022855049460905</v>
      </c>
      <c r="E3262">
        <v>0.73272941094553401</v>
      </c>
      <c r="F3262">
        <v>0.59683436379922905</v>
      </c>
      <c r="G3262">
        <v>0.25855704150961201</v>
      </c>
      <c r="H3262">
        <v>0.15481486100028699</v>
      </c>
      <c r="I3262">
        <v>0.118181607499594</v>
      </c>
      <c r="J3262">
        <v>0.12772368205533499</v>
      </c>
      <c r="K3262">
        <v>0.15193381916037099</v>
      </c>
      <c r="L3262">
        <v>928.92932747299506</v>
      </c>
      <c r="M3262">
        <v>17.5839640246529</v>
      </c>
      <c r="N3262">
        <v>53.502752418777597</v>
      </c>
      <c r="O3262">
        <v>52.159179041330901</v>
      </c>
      <c r="P3262">
        <v>-7.5905368362908607E-2</v>
      </c>
      <c r="Q3262">
        <v>9.9418967224590302E-2</v>
      </c>
      <c r="R3262">
        <v>0.99243439743209605</v>
      </c>
      <c r="S3262" t="s">
        <v>6891</v>
      </c>
      <c r="T3262" t="s">
        <v>7256</v>
      </c>
      <c r="U3262" t="s">
        <v>7256</v>
      </c>
      <c r="V3262" t="s">
        <v>7256</v>
      </c>
      <c r="W3262">
        <v>2</v>
      </c>
      <c r="X3262" t="s">
        <v>10518</v>
      </c>
      <c r="Y3262">
        <v>0.49987338018522681</v>
      </c>
      <c r="Z3262" t="str">
        <f>HYPERLINK("Melting_Curves/meltCurve_tr_E9PHK0_E9PHK0_HUMAN_.pdf", "Melting_Curves/meltCurve_tr_E9PHK0_E9PHK0_HUMAN_.pdf")</f>
        <v>Melting_Curves/meltCurve_tr_E9PHK0_E9PHK0_HUMAN_.pdf</v>
      </c>
      <c r="AA3262" t="s">
        <v>14095</v>
      </c>
      <c r="AB3262" t="s">
        <v>17679</v>
      </c>
    </row>
    <row r="3263" spans="1:28" x14ac:dyDescent="0.25">
      <c r="A3263" t="s">
        <v>3267</v>
      </c>
      <c r="B3263">
        <v>0.98018197421672304</v>
      </c>
      <c r="C3263">
        <v>0.92018318527435605</v>
      </c>
      <c r="D3263">
        <v>0.80956556056409101</v>
      </c>
      <c r="E3263">
        <v>0.42485414935758897</v>
      </c>
      <c r="F3263">
        <v>0.20619412089858999</v>
      </c>
      <c r="G3263">
        <v>0.10862516681063</v>
      </c>
      <c r="H3263">
        <v>6.7933708320485106E-2</v>
      </c>
      <c r="I3263">
        <v>4.62179091884104E-2</v>
      </c>
      <c r="J3263">
        <v>5.9651013720949601E-2</v>
      </c>
      <c r="K3263">
        <v>5.8092516981667203E-2</v>
      </c>
      <c r="L3263">
        <v>990.12111343909896</v>
      </c>
      <c r="M3263">
        <v>20.2347963294438</v>
      </c>
      <c r="N3263">
        <v>49.1893826003664</v>
      </c>
      <c r="O3263">
        <v>48.461223284804298</v>
      </c>
      <c r="P3263">
        <v>-9.9138404152024101E-2</v>
      </c>
      <c r="Q3263">
        <v>5.0305474325612401E-2</v>
      </c>
      <c r="R3263">
        <v>0.99894815417193805</v>
      </c>
      <c r="S3263" t="s">
        <v>6892</v>
      </c>
      <c r="T3263" t="s">
        <v>7256</v>
      </c>
      <c r="U3263" t="s">
        <v>7256</v>
      </c>
      <c r="V3263" t="s">
        <v>7256</v>
      </c>
      <c r="W3263">
        <v>14</v>
      </c>
      <c r="X3263" t="s">
        <v>10519</v>
      </c>
      <c r="Y3263">
        <v>0.3460473302376042</v>
      </c>
      <c r="Z3263" t="str">
        <f>HYPERLINK("Melting_Curves/meltCurve_tr_E9PHM2_E9PHM2_HUMAN_.pdf", "Melting_Curves/meltCurve_tr_E9PHM2_E9PHM2_HUMAN_.pdf")</f>
        <v>Melting_Curves/meltCurve_tr_E9PHM2_E9PHM2_HUMAN_.pdf</v>
      </c>
      <c r="AA3263" t="s">
        <v>14096</v>
      </c>
      <c r="AB3263" t="s">
        <v>17680</v>
      </c>
    </row>
    <row r="3264" spans="1:28" x14ac:dyDescent="0.25">
      <c r="A3264" t="s">
        <v>3268</v>
      </c>
      <c r="B3264">
        <v>0.98018197421672304</v>
      </c>
      <c r="C3264">
        <v>0.77094917974363897</v>
      </c>
      <c r="D3264">
        <v>0.79807991637783204</v>
      </c>
      <c r="E3264">
        <v>0.80697712492059404</v>
      </c>
      <c r="F3264">
        <v>0.72361206328211503</v>
      </c>
      <c r="G3264">
        <v>0.75600616566527801</v>
      </c>
      <c r="H3264">
        <v>0.52111631769023103</v>
      </c>
      <c r="I3264">
        <v>0.43183419566029801</v>
      </c>
      <c r="J3264">
        <v>0.769274126554083</v>
      </c>
      <c r="K3264">
        <v>0.69217178389246803</v>
      </c>
      <c r="L3264">
        <v>380.60632560895903</v>
      </c>
      <c r="M3264">
        <v>8.1851232968031695</v>
      </c>
      <c r="O3264">
        <v>43.971537494549104</v>
      </c>
      <c r="P3264">
        <v>-1.8723611850941901E-2</v>
      </c>
      <c r="Q3264">
        <v>0.59807462903665998</v>
      </c>
      <c r="R3264">
        <v>0.48899321322588002</v>
      </c>
      <c r="S3264" t="s">
        <v>6893</v>
      </c>
      <c r="T3264" t="s">
        <v>7256</v>
      </c>
      <c r="U3264" t="s">
        <v>7256</v>
      </c>
      <c r="V3264" t="s">
        <v>7256</v>
      </c>
      <c r="W3264">
        <v>2</v>
      </c>
      <c r="X3264" t="s">
        <v>10520</v>
      </c>
      <c r="Y3264">
        <v>0.71763555559998515</v>
      </c>
      <c r="Z3264" t="str">
        <f>HYPERLINK("Melting_Curves/meltCurve_tr_E9PHV4_E9PHV4_HUMAN_.pdf", "Melting_Curves/meltCurve_tr_E9PHV4_E9PHV4_HUMAN_.pdf")</f>
        <v>Melting_Curves/meltCurve_tr_E9PHV4_E9PHV4_HUMAN_.pdf</v>
      </c>
      <c r="AA3264" t="s">
        <v>14097</v>
      </c>
      <c r="AB3264" t="s">
        <v>17681</v>
      </c>
    </row>
    <row r="3265" spans="1:28" x14ac:dyDescent="0.25">
      <c r="A3265" t="s">
        <v>3269</v>
      </c>
      <c r="B3265">
        <v>0.98018197421672304</v>
      </c>
      <c r="C3265">
        <v>0.78323847676323699</v>
      </c>
      <c r="D3265">
        <v>0.79055147174113705</v>
      </c>
      <c r="E3265">
        <v>0.75949246032996498</v>
      </c>
      <c r="F3265">
        <v>0.44144909451720499</v>
      </c>
      <c r="G3265">
        <v>0.16461667656618501</v>
      </c>
      <c r="H3265">
        <v>0.114144746865038</v>
      </c>
      <c r="I3265">
        <v>9.8207707039132702E-2</v>
      </c>
      <c r="J3265">
        <v>0.108954526328396</v>
      </c>
      <c r="K3265">
        <v>0.11150763944869201</v>
      </c>
      <c r="L3265">
        <v>657.24507673059202</v>
      </c>
      <c r="M3265">
        <v>12.7126579930167</v>
      </c>
      <c r="N3265">
        <v>51.951037513061102</v>
      </c>
      <c r="O3265">
        <v>50.470838029951501</v>
      </c>
      <c r="P3265">
        <v>-6.1106537847202803E-2</v>
      </c>
      <c r="Q3265">
        <v>2.9784660852519799E-2</v>
      </c>
      <c r="R3265">
        <v>0.94989092935191399</v>
      </c>
      <c r="S3265" t="s">
        <v>6894</v>
      </c>
      <c r="T3265" t="s">
        <v>7256</v>
      </c>
      <c r="U3265" t="s">
        <v>7256</v>
      </c>
      <c r="V3265" t="s">
        <v>7256</v>
      </c>
      <c r="W3265">
        <v>7</v>
      </c>
      <c r="X3265" t="s">
        <v>10521</v>
      </c>
      <c r="Y3265">
        <v>0.4361679867387025</v>
      </c>
      <c r="Z3265" t="str">
        <f>HYPERLINK("Melting_Curves/meltCurve_tr_E9PHV5_E9PHV5_HUMAN_.pdf", "Melting_Curves/meltCurve_tr_E9PHV5_E9PHV5_HUMAN_.pdf")</f>
        <v>Melting_Curves/meltCurve_tr_E9PHV5_E9PHV5_HUMAN_.pdf</v>
      </c>
      <c r="AA3265" t="s">
        <v>14098</v>
      </c>
      <c r="AB3265" t="s">
        <v>17682</v>
      </c>
    </row>
    <row r="3266" spans="1:28" x14ac:dyDescent="0.25">
      <c r="A3266" t="s">
        <v>3270</v>
      </c>
      <c r="B3266">
        <v>0.98018197421672304</v>
      </c>
      <c r="C3266">
        <v>0.88893125968919495</v>
      </c>
      <c r="D3266">
        <v>0.78632907665472995</v>
      </c>
      <c r="E3266">
        <v>0.60709972448939298</v>
      </c>
      <c r="F3266">
        <v>0.38961192416610502</v>
      </c>
      <c r="G3266">
        <v>0.19133928872890499</v>
      </c>
      <c r="H3266">
        <v>0.12593459541371599</v>
      </c>
      <c r="I3266">
        <v>8.1019455166671306E-2</v>
      </c>
      <c r="J3266">
        <v>0.181490950354918</v>
      </c>
      <c r="K3266">
        <v>7.4069142276094097E-2</v>
      </c>
      <c r="L3266">
        <v>694.32915768703504</v>
      </c>
      <c r="M3266">
        <v>13.7621776262546</v>
      </c>
      <c r="N3266">
        <v>50.997634674929898</v>
      </c>
      <c r="O3266">
        <v>49.422505445900299</v>
      </c>
      <c r="P3266">
        <v>-6.4858238412351096E-2</v>
      </c>
      <c r="Q3266">
        <v>6.8460446886876594E-2</v>
      </c>
      <c r="R3266">
        <v>0.98793968482547601</v>
      </c>
      <c r="S3266" t="s">
        <v>6895</v>
      </c>
      <c r="T3266" t="s">
        <v>7256</v>
      </c>
      <c r="U3266" t="s">
        <v>7256</v>
      </c>
      <c r="V3266" t="s">
        <v>7256</v>
      </c>
      <c r="W3266">
        <v>1</v>
      </c>
      <c r="X3266" t="s">
        <v>10522</v>
      </c>
      <c r="Y3266">
        <v>0.41831556526624541</v>
      </c>
      <c r="Z3266" t="str">
        <f>HYPERLINK("Melting_Curves/meltCurve_tr_E9PHY8_E9PHY8_HUMAN_.pdf", "Melting_Curves/meltCurve_tr_E9PHY8_E9PHY8_HUMAN_.pdf")</f>
        <v>Melting_Curves/meltCurve_tr_E9PHY8_E9PHY8_HUMAN_.pdf</v>
      </c>
      <c r="AA3266" t="s">
        <v>14099</v>
      </c>
      <c r="AB3266" t="s">
        <v>17683</v>
      </c>
    </row>
    <row r="3267" spans="1:28" x14ac:dyDescent="0.25">
      <c r="A3267" t="s">
        <v>3271</v>
      </c>
      <c r="B3267">
        <v>0.98018197421672304</v>
      </c>
      <c r="C3267">
        <v>0.68826772824604598</v>
      </c>
      <c r="D3267">
        <v>0.74634883395877105</v>
      </c>
      <c r="E3267">
        <v>0.25341156128875902</v>
      </c>
      <c r="F3267">
        <v>6.1119149719658601E-2</v>
      </c>
      <c r="G3267">
        <v>1.8395601489730001E-2</v>
      </c>
      <c r="H3267">
        <v>1.04086129365025E-2</v>
      </c>
      <c r="I3267">
        <v>9.0354142575609104E-3</v>
      </c>
      <c r="J3267">
        <v>1.1296490680742901E-2</v>
      </c>
      <c r="K3267">
        <v>8.7494558981888008E-3</v>
      </c>
      <c r="L3267">
        <v>842.30933376068697</v>
      </c>
      <c r="M3267">
        <v>17.844093892087599</v>
      </c>
      <c r="N3267">
        <v>47.203825453853703</v>
      </c>
      <c r="O3267">
        <v>46.622949158475798</v>
      </c>
      <c r="P3267">
        <v>-9.5687882088102805E-2</v>
      </c>
      <c r="Q3267">
        <v>0</v>
      </c>
      <c r="R3267">
        <v>0.96009899650437602</v>
      </c>
      <c r="S3267" t="s">
        <v>6896</v>
      </c>
      <c r="T3267" t="s">
        <v>7256</v>
      </c>
      <c r="U3267" t="s">
        <v>7256</v>
      </c>
      <c r="V3267" t="s">
        <v>7256</v>
      </c>
      <c r="W3267">
        <v>1</v>
      </c>
      <c r="X3267" t="s">
        <v>10523</v>
      </c>
      <c r="Y3267">
        <v>0.258747518859129</v>
      </c>
      <c r="Z3267" t="str">
        <f>HYPERLINK("Melting_Curves/meltCurve_tr_E9PIB9_E9PIB9_HUMAN_.pdf", "Melting_Curves/meltCurve_tr_E9PIB9_E9PIB9_HUMAN_.pdf")</f>
        <v>Melting_Curves/meltCurve_tr_E9PIB9_E9PIB9_HUMAN_.pdf</v>
      </c>
      <c r="AA3267" t="s">
        <v>14100</v>
      </c>
      <c r="AB3267" t="s">
        <v>17684</v>
      </c>
    </row>
    <row r="3268" spans="1:28" x14ac:dyDescent="0.25">
      <c r="A3268" t="s">
        <v>3272</v>
      </c>
      <c r="B3268">
        <v>0.98018197421672304</v>
      </c>
      <c r="C3268">
        <v>0.99590644723237598</v>
      </c>
      <c r="D3268">
        <v>0.74519317816130504</v>
      </c>
      <c r="E3268">
        <v>0.56410758810231298</v>
      </c>
      <c r="F3268">
        <v>0.41102625757456301</v>
      </c>
      <c r="G3268">
        <v>0.22744547705394</v>
      </c>
      <c r="H3268">
        <v>0.14750105930844101</v>
      </c>
      <c r="I3268">
        <v>0.13933022700794701</v>
      </c>
      <c r="J3268">
        <v>0.18134034797059601</v>
      </c>
      <c r="K3268">
        <v>0.16058429695771201</v>
      </c>
      <c r="L3268">
        <v>757.57941898723402</v>
      </c>
      <c r="M3268">
        <v>15.2172529870108</v>
      </c>
      <c r="N3268">
        <v>50.815401279017898</v>
      </c>
      <c r="O3268">
        <v>48.948245661223098</v>
      </c>
      <c r="P3268">
        <v>-6.7403636681931195E-2</v>
      </c>
      <c r="Q3268">
        <v>0.13283304433673501</v>
      </c>
      <c r="R3268">
        <v>0.98835934602974695</v>
      </c>
      <c r="S3268" t="s">
        <v>6897</v>
      </c>
      <c r="T3268" t="s">
        <v>7256</v>
      </c>
      <c r="U3268" t="s">
        <v>7256</v>
      </c>
      <c r="V3268" t="s">
        <v>7256</v>
      </c>
      <c r="W3268">
        <v>3</v>
      </c>
      <c r="X3268" t="s">
        <v>10524</v>
      </c>
      <c r="Y3268">
        <v>0.43594426181781382</v>
      </c>
      <c r="Z3268" t="str">
        <f>HYPERLINK("Melting_Curves/meltCurve_tr_E9PIC2_E9PIC2_HUMAN_.pdf", "Melting_Curves/meltCurve_tr_E9PIC2_E9PIC2_HUMAN_.pdf")</f>
        <v>Melting_Curves/meltCurve_tr_E9PIC2_E9PIC2_HUMAN_.pdf</v>
      </c>
      <c r="AA3268" t="s">
        <v>14101</v>
      </c>
      <c r="AB3268" t="s">
        <v>17685</v>
      </c>
    </row>
    <row r="3269" spans="1:28" x14ac:dyDescent="0.25">
      <c r="A3269" t="s">
        <v>3273</v>
      </c>
      <c r="B3269">
        <v>0.98018197421672304</v>
      </c>
      <c r="C3269">
        <v>0.81073179044158705</v>
      </c>
      <c r="D3269">
        <v>0.90424342642802502</v>
      </c>
      <c r="E3269">
        <v>0.83780796598095297</v>
      </c>
      <c r="F3269">
        <v>0.74808058700203695</v>
      </c>
      <c r="G3269">
        <v>0.64168296211938103</v>
      </c>
      <c r="H3269">
        <v>0.35825179141338898</v>
      </c>
      <c r="I3269">
        <v>0.12548184084567199</v>
      </c>
      <c r="J3269">
        <v>4.5502974018495498E-2</v>
      </c>
      <c r="K3269">
        <v>4.2635101353221599E-2</v>
      </c>
      <c r="L3269">
        <v>830.40003340942997</v>
      </c>
      <c r="M3269">
        <v>14.400578978699899</v>
      </c>
      <c r="N3269">
        <v>57.6643505577957</v>
      </c>
      <c r="O3269">
        <v>56.586570214064203</v>
      </c>
      <c r="P3269">
        <v>-6.3629433656377396E-2</v>
      </c>
      <c r="Q3269">
        <v>0</v>
      </c>
      <c r="R3269">
        <v>0.94627328577343905</v>
      </c>
      <c r="S3269" t="s">
        <v>6898</v>
      </c>
      <c r="T3269" t="s">
        <v>7256</v>
      </c>
      <c r="U3269" t="s">
        <v>7256</v>
      </c>
      <c r="V3269" t="s">
        <v>7256</v>
      </c>
      <c r="W3269">
        <v>20</v>
      </c>
      <c r="X3269" t="s">
        <v>10525</v>
      </c>
      <c r="Y3269">
        <v>0.60325788168631289</v>
      </c>
      <c r="Z3269" t="str">
        <f>HYPERLINK("Melting_Curves/meltCurve_tr_E9PIR7_E9PIR7_HUMAN_.pdf", "Melting_Curves/meltCurve_tr_E9PIR7_E9PIR7_HUMAN_.pdf")</f>
        <v>Melting_Curves/meltCurve_tr_E9PIR7_E9PIR7_HUMAN_.pdf</v>
      </c>
      <c r="AA3269" t="s">
        <v>14102</v>
      </c>
      <c r="AB3269" t="s">
        <v>17686</v>
      </c>
    </row>
    <row r="3270" spans="1:28" x14ac:dyDescent="0.25">
      <c r="A3270" t="s">
        <v>3274</v>
      </c>
      <c r="B3270">
        <v>0.98018197421672304</v>
      </c>
      <c r="C3270">
        <v>0.91772278359196002</v>
      </c>
      <c r="D3270">
        <v>0.88008818036387504</v>
      </c>
      <c r="E3270">
        <v>0.73676067065583595</v>
      </c>
      <c r="F3270">
        <v>0.75285994883672003</v>
      </c>
      <c r="G3270">
        <v>0.65556084357098598</v>
      </c>
      <c r="H3270">
        <v>0.55364101627498097</v>
      </c>
      <c r="I3270">
        <v>0.54962906087765195</v>
      </c>
      <c r="J3270">
        <v>0.73349852198457599</v>
      </c>
      <c r="K3270">
        <v>0.44240327109317901</v>
      </c>
      <c r="L3270">
        <v>459.876365063386</v>
      </c>
      <c r="M3270">
        <v>9.0081874048928707</v>
      </c>
      <c r="O3270">
        <v>48.7234440113982</v>
      </c>
      <c r="P3270">
        <v>-2.2609834135747599E-2</v>
      </c>
      <c r="Q3270">
        <v>0.511185890339935</v>
      </c>
      <c r="R3270">
        <v>0.82369446172977601</v>
      </c>
      <c r="S3270" t="s">
        <v>6899</v>
      </c>
      <c r="T3270" t="s">
        <v>7256</v>
      </c>
      <c r="U3270" t="s">
        <v>7256</v>
      </c>
      <c r="V3270" t="s">
        <v>7256</v>
      </c>
      <c r="W3270">
        <v>8</v>
      </c>
      <c r="X3270" t="s">
        <v>10526</v>
      </c>
      <c r="Y3270">
        <v>0.71412703102875297</v>
      </c>
      <c r="Z3270" t="str">
        <f>HYPERLINK("Melting_Curves/meltCurve_tr_E9PJ81_E9PJ81_HUMAN_.pdf", "Melting_Curves/meltCurve_tr_E9PJ81_E9PJ81_HUMAN_.pdf")</f>
        <v>Melting_Curves/meltCurve_tr_E9PJ81_E9PJ81_HUMAN_.pdf</v>
      </c>
      <c r="AA3270" t="s">
        <v>14103</v>
      </c>
      <c r="AB3270" t="s">
        <v>17687</v>
      </c>
    </row>
    <row r="3271" spans="1:28" x14ac:dyDescent="0.25">
      <c r="A3271" t="s">
        <v>3275</v>
      </c>
      <c r="B3271">
        <v>0.98018197421672304</v>
      </c>
      <c r="C3271">
        <v>0.86987675409901799</v>
      </c>
      <c r="D3271">
        <v>0.83521493365019395</v>
      </c>
      <c r="E3271">
        <v>0.73672782249739599</v>
      </c>
      <c r="F3271">
        <v>0.49563973143016898</v>
      </c>
      <c r="G3271">
        <v>0.24195617000597999</v>
      </c>
      <c r="H3271">
        <v>0.11251658616875899</v>
      </c>
      <c r="I3271">
        <v>3.9843403149854198E-2</v>
      </c>
      <c r="J3271">
        <v>9.0307919632939201E-2</v>
      </c>
      <c r="K3271">
        <v>7.0955808036998705E-2</v>
      </c>
      <c r="L3271">
        <v>708.97689484228999</v>
      </c>
      <c r="M3271">
        <v>13.453285246175399</v>
      </c>
      <c r="N3271">
        <v>52.713211678342397</v>
      </c>
      <c r="O3271">
        <v>51.575667003650203</v>
      </c>
      <c r="P3271">
        <v>-6.5104923247049099E-2</v>
      </c>
      <c r="Q3271">
        <v>1.7875417024134899E-3</v>
      </c>
      <c r="R3271">
        <v>0.98510276930514096</v>
      </c>
      <c r="S3271" t="s">
        <v>6900</v>
      </c>
      <c r="T3271" t="s">
        <v>7256</v>
      </c>
      <c r="U3271" t="s">
        <v>7256</v>
      </c>
      <c r="V3271" t="s">
        <v>7256</v>
      </c>
      <c r="W3271">
        <v>1</v>
      </c>
      <c r="X3271" t="s">
        <v>10527</v>
      </c>
      <c r="Y3271">
        <v>0.44957943883834878</v>
      </c>
      <c r="Z3271" t="str">
        <f>HYPERLINK("Melting_Curves/meltCurve_tr_E9PJD7_E9PJD7_HUMAN_.pdf", "Melting_Curves/meltCurve_tr_E9PJD7_E9PJD7_HUMAN_.pdf")</f>
        <v>Melting_Curves/meltCurve_tr_E9PJD7_E9PJD7_HUMAN_.pdf</v>
      </c>
      <c r="AA3271" t="s">
        <v>14104</v>
      </c>
      <c r="AB3271" t="s">
        <v>17688</v>
      </c>
    </row>
    <row r="3272" spans="1:28" x14ac:dyDescent="0.25">
      <c r="A3272" t="s">
        <v>3276</v>
      </c>
      <c r="B3272">
        <v>0.98018197421672304</v>
      </c>
      <c r="C3272">
        <v>1.0193879369773</v>
      </c>
      <c r="D3272">
        <v>0.90909313900178701</v>
      </c>
      <c r="E3272">
        <v>0.79348287249145699</v>
      </c>
      <c r="F3272">
        <v>0.53183171916487604</v>
      </c>
      <c r="G3272">
        <v>0.299504306278357</v>
      </c>
      <c r="H3272">
        <v>0.15532803797188199</v>
      </c>
      <c r="I3272">
        <v>0.110318678395951</v>
      </c>
      <c r="J3272">
        <v>0.12505910130695999</v>
      </c>
      <c r="K3272">
        <v>4.8407463491359097E-2</v>
      </c>
      <c r="L3272">
        <v>909.18011033134201</v>
      </c>
      <c r="M3272">
        <v>17.072259134085499</v>
      </c>
      <c r="N3272">
        <v>53.675143903605303</v>
      </c>
      <c r="O3272">
        <v>52.540234083985801</v>
      </c>
      <c r="P3272">
        <v>-7.6156037106968499E-2</v>
      </c>
      <c r="Q3272">
        <v>6.2569590096481803E-2</v>
      </c>
      <c r="R3272">
        <v>0.996011435806608</v>
      </c>
      <c r="S3272" t="s">
        <v>6901</v>
      </c>
      <c r="T3272" t="s">
        <v>7256</v>
      </c>
      <c r="U3272" t="s">
        <v>7256</v>
      </c>
      <c r="V3272" t="s">
        <v>7256</v>
      </c>
      <c r="W3272">
        <v>1</v>
      </c>
      <c r="X3272" t="s">
        <v>10528</v>
      </c>
      <c r="Y3272">
        <v>0.49332235836532923</v>
      </c>
      <c r="Z3272" t="str">
        <f>HYPERLINK("Melting_Curves/meltCurve_tr_E9PJH1_E9PJH1_HUMAN_.pdf", "Melting_Curves/meltCurve_tr_E9PJH1_E9PJH1_HUMAN_.pdf")</f>
        <v>Melting_Curves/meltCurve_tr_E9PJH1_E9PJH1_HUMAN_.pdf</v>
      </c>
      <c r="AA3272" t="s">
        <v>14105</v>
      </c>
      <c r="AB3272" t="s">
        <v>17689</v>
      </c>
    </row>
    <row r="3273" spans="1:28" x14ac:dyDescent="0.25">
      <c r="A3273" t="s">
        <v>3277</v>
      </c>
      <c r="B3273">
        <v>0.98018197421672304</v>
      </c>
      <c r="C3273">
        <v>1.05736630441262</v>
      </c>
      <c r="D3273">
        <v>0.86128607446500305</v>
      </c>
      <c r="E3273">
        <v>0.66319650534534602</v>
      </c>
      <c r="F3273">
        <v>0.28847380927222199</v>
      </c>
      <c r="G3273">
        <v>0.167506692096906</v>
      </c>
      <c r="H3273">
        <v>0.17805784830508201</v>
      </c>
      <c r="I3273">
        <v>0.15436871850401701</v>
      </c>
      <c r="J3273">
        <v>0.20296129221606099</v>
      </c>
      <c r="K3273">
        <v>0.17587855167691799</v>
      </c>
      <c r="L3273">
        <v>1463.53886483005</v>
      </c>
      <c r="M3273">
        <v>29.088636790047499</v>
      </c>
      <c r="N3273">
        <v>51.023423924060999</v>
      </c>
      <c r="O3273">
        <v>50.077105341392603</v>
      </c>
      <c r="P3273">
        <v>-0.121040938139424</v>
      </c>
      <c r="Q3273">
        <v>0.16650155724346499</v>
      </c>
      <c r="R3273">
        <v>0.98644265418544097</v>
      </c>
      <c r="S3273" t="s">
        <v>6902</v>
      </c>
      <c r="T3273" t="s">
        <v>7256</v>
      </c>
      <c r="U3273" t="s">
        <v>7256</v>
      </c>
      <c r="V3273" t="s">
        <v>7256</v>
      </c>
      <c r="W3273">
        <v>13</v>
      </c>
      <c r="X3273" t="s">
        <v>10529</v>
      </c>
      <c r="Y3273">
        <v>0.45854692036582601</v>
      </c>
      <c r="Z3273" t="str">
        <f>HYPERLINK("Melting_Curves/meltCurve_tr_E9PK01_E9PK01_HUMAN_.pdf", "Melting_Curves/meltCurve_tr_E9PK01_E9PK01_HUMAN_.pdf")</f>
        <v>Melting_Curves/meltCurve_tr_E9PK01_E9PK01_HUMAN_.pdf</v>
      </c>
      <c r="AA3273" t="s">
        <v>14106</v>
      </c>
      <c r="AB3273" t="s">
        <v>17690</v>
      </c>
    </row>
    <row r="3274" spans="1:28" x14ac:dyDescent="0.25">
      <c r="A3274" t="s">
        <v>3278</v>
      </c>
      <c r="B3274">
        <v>0.98018197421672304</v>
      </c>
      <c r="C3274">
        <v>0.91739280864144401</v>
      </c>
      <c r="D3274">
        <v>0.85277422054229302</v>
      </c>
      <c r="E3274">
        <v>0.60034229228365998</v>
      </c>
      <c r="F3274">
        <v>0.37790371627909197</v>
      </c>
      <c r="G3274">
        <v>0.176837647819895</v>
      </c>
      <c r="H3274">
        <v>0.15208491921638601</v>
      </c>
      <c r="I3274">
        <v>0.105551195103427</v>
      </c>
      <c r="J3274">
        <v>0.17157359897886201</v>
      </c>
      <c r="K3274">
        <v>0.15748477791238299</v>
      </c>
      <c r="L3274">
        <v>905.58290636849301</v>
      </c>
      <c r="M3274">
        <v>18.0331153002573</v>
      </c>
      <c r="N3274">
        <v>51.027957987660102</v>
      </c>
      <c r="O3274">
        <v>49.612426326905798</v>
      </c>
      <c r="P3274">
        <v>-7.9561702692534E-2</v>
      </c>
      <c r="Q3274">
        <v>0.12448683301493101</v>
      </c>
      <c r="R3274">
        <v>0.99318333739488995</v>
      </c>
      <c r="S3274" t="s">
        <v>6903</v>
      </c>
      <c r="T3274" t="s">
        <v>7256</v>
      </c>
      <c r="U3274" t="s">
        <v>7256</v>
      </c>
      <c r="V3274" t="s">
        <v>7256</v>
      </c>
      <c r="W3274">
        <v>1</v>
      </c>
      <c r="X3274" t="s">
        <v>10530</v>
      </c>
      <c r="Y3274">
        <v>0.43751795318518533</v>
      </c>
      <c r="Z3274" t="str">
        <f>HYPERLINK("Melting_Curves/meltCurve_tr_E9PK26_E9PK26_HUMAN_.pdf", "Melting_Curves/meltCurve_tr_E9PK26_E9PK26_HUMAN_.pdf")</f>
        <v>Melting_Curves/meltCurve_tr_E9PK26_E9PK26_HUMAN_.pdf</v>
      </c>
      <c r="AA3274" t="s">
        <v>14107</v>
      </c>
      <c r="AB3274" t="s">
        <v>17691</v>
      </c>
    </row>
    <row r="3275" spans="1:28" x14ac:dyDescent="0.25">
      <c r="A3275" t="s">
        <v>3279</v>
      </c>
      <c r="B3275">
        <v>0.98018197421672304</v>
      </c>
      <c r="C3275">
        <v>0.96163808478106405</v>
      </c>
      <c r="D3275">
        <v>0.82480782031813504</v>
      </c>
      <c r="E3275">
        <v>0.523319673703601</v>
      </c>
      <c r="F3275">
        <v>0.41263158847980103</v>
      </c>
      <c r="G3275">
        <v>0.241633814982332</v>
      </c>
      <c r="H3275">
        <v>0.206256270352451</v>
      </c>
      <c r="I3275">
        <v>0.209185212513925</v>
      </c>
      <c r="J3275">
        <v>0.21619890243220199</v>
      </c>
      <c r="K3275">
        <v>0.22774136898303299</v>
      </c>
      <c r="L3275">
        <v>896.64349943854904</v>
      </c>
      <c r="M3275">
        <v>18.224428475761101</v>
      </c>
      <c r="N3275">
        <v>50.6535698329984</v>
      </c>
      <c r="O3275">
        <v>48.619174212346699</v>
      </c>
      <c r="P3275">
        <v>-7.4633118535452805E-2</v>
      </c>
      <c r="Q3275">
        <v>0.20361177578806999</v>
      </c>
      <c r="R3275">
        <v>0.99615539211093296</v>
      </c>
      <c r="S3275" t="s">
        <v>6904</v>
      </c>
      <c r="T3275" t="s">
        <v>7256</v>
      </c>
      <c r="U3275" t="s">
        <v>7256</v>
      </c>
      <c r="V3275" t="s">
        <v>7256</v>
      </c>
      <c r="W3275">
        <v>3</v>
      </c>
      <c r="X3275" t="s">
        <v>10531</v>
      </c>
      <c r="Y3275">
        <v>0.46125145664202272</v>
      </c>
      <c r="Z3275" t="str">
        <f>HYPERLINK("Melting_Curves/meltCurve_tr_E9PK67_E9PK67_HUMAN_.pdf", "Melting_Curves/meltCurve_tr_E9PK67_E9PK67_HUMAN_.pdf")</f>
        <v>Melting_Curves/meltCurve_tr_E9PK67_E9PK67_HUMAN_.pdf</v>
      </c>
      <c r="AA3275" t="s">
        <v>14108</v>
      </c>
      <c r="AB3275" t="s">
        <v>17692</v>
      </c>
    </row>
    <row r="3276" spans="1:28" x14ac:dyDescent="0.25">
      <c r="A3276" t="s">
        <v>3280</v>
      </c>
      <c r="B3276">
        <v>0.98018197421672304</v>
      </c>
      <c r="C3276">
        <v>0.73885784657489495</v>
      </c>
      <c r="D3276">
        <v>0.71432642958077797</v>
      </c>
      <c r="E3276">
        <v>0.60796044641604097</v>
      </c>
      <c r="F3276">
        <v>0.19802534523075799</v>
      </c>
      <c r="G3276">
        <v>7.3519658390243006E-2</v>
      </c>
      <c r="H3276">
        <v>3.7198869667090503E-2</v>
      </c>
      <c r="I3276">
        <v>1.9558289176969799E-2</v>
      </c>
      <c r="J3276">
        <v>4.9689250889623698E-2</v>
      </c>
      <c r="K3276">
        <v>2.05119896101261E-2</v>
      </c>
      <c r="L3276">
        <v>658.57594528261495</v>
      </c>
      <c r="M3276">
        <v>13.3889374641853</v>
      </c>
      <c r="N3276">
        <v>49.1880663752085</v>
      </c>
      <c r="O3276">
        <v>48.129640307177198</v>
      </c>
      <c r="P3276">
        <v>-6.9557150998065906E-2</v>
      </c>
      <c r="Q3276">
        <v>0</v>
      </c>
      <c r="R3276">
        <v>0.95350691863725401</v>
      </c>
      <c r="S3276" t="s">
        <v>6905</v>
      </c>
      <c r="T3276" t="s">
        <v>7256</v>
      </c>
      <c r="U3276" t="s">
        <v>7256</v>
      </c>
      <c r="V3276" t="s">
        <v>7256</v>
      </c>
      <c r="W3276">
        <v>4</v>
      </c>
      <c r="X3276" t="s">
        <v>10532</v>
      </c>
      <c r="Y3276">
        <v>0.33638904192191282</v>
      </c>
      <c r="Z3276" t="str">
        <f>HYPERLINK("Melting_Curves/meltCurve_tr_E9PKF3_E9PKF3_HUMAN_.pdf", "Melting_Curves/meltCurve_tr_E9PKF3_E9PKF3_HUMAN_.pdf")</f>
        <v>Melting_Curves/meltCurve_tr_E9PKF3_E9PKF3_HUMAN_.pdf</v>
      </c>
      <c r="AA3276" t="s">
        <v>11612</v>
      </c>
      <c r="AB3276" t="s">
        <v>17693</v>
      </c>
    </row>
    <row r="3277" spans="1:28" x14ac:dyDescent="0.25">
      <c r="A3277" t="s">
        <v>3281</v>
      </c>
      <c r="B3277">
        <v>0.98018197421672304</v>
      </c>
      <c r="C3277">
        <v>0.91373053827492801</v>
      </c>
      <c r="D3277">
        <v>0.80231344947188599</v>
      </c>
      <c r="E3277">
        <v>0.42796380132324302</v>
      </c>
      <c r="F3277">
        <v>0.185961128158458</v>
      </c>
      <c r="G3277">
        <v>0.119205196343649</v>
      </c>
      <c r="H3277">
        <v>7.1252950878652702E-2</v>
      </c>
      <c r="I3277">
        <v>5.1242529491545098E-2</v>
      </c>
      <c r="J3277">
        <v>6.7387842942989204E-2</v>
      </c>
      <c r="K3277">
        <v>4.3392759048953101E-2</v>
      </c>
      <c r="L3277">
        <v>985.06988340489795</v>
      </c>
      <c r="M3277">
        <v>20.1639140195654</v>
      </c>
      <c r="N3277">
        <v>49.1150587051632</v>
      </c>
      <c r="O3277">
        <v>48.380223762873698</v>
      </c>
      <c r="P3277">
        <v>-9.8886214292425903E-2</v>
      </c>
      <c r="Q3277">
        <v>5.0980621512221297E-2</v>
      </c>
      <c r="R3277">
        <v>0.99793827285721903</v>
      </c>
      <c r="S3277" t="s">
        <v>6906</v>
      </c>
      <c r="T3277" t="s">
        <v>7256</v>
      </c>
      <c r="U3277" t="s">
        <v>7256</v>
      </c>
      <c r="V3277" t="s">
        <v>7256</v>
      </c>
      <c r="W3277">
        <v>8</v>
      </c>
      <c r="X3277" t="s">
        <v>10533</v>
      </c>
      <c r="Y3277">
        <v>0.34413219189082672</v>
      </c>
      <c r="Z3277" t="str">
        <f>HYPERLINK("Melting_Curves/meltCurve_tr_E9PKG1_E9PKG1_HUMAN_.pdf", "Melting_Curves/meltCurve_tr_E9PKG1_E9PKG1_HUMAN_.pdf")</f>
        <v>Melting_Curves/meltCurve_tr_E9PKG1_E9PKG1_HUMAN_.pdf</v>
      </c>
      <c r="AA3277" t="s">
        <v>14109</v>
      </c>
      <c r="AB3277" t="s">
        <v>17694</v>
      </c>
    </row>
    <row r="3278" spans="1:28" x14ac:dyDescent="0.25">
      <c r="A3278" t="s">
        <v>3282</v>
      </c>
      <c r="B3278">
        <v>0.98018197421672304</v>
      </c>
      <c r="C3278">
        <v>0.92290548362475699</v>
      </c>
      <c r="D3278">
        <v>0.896974734455245</v>
      </c>
      <c r="E3278">
        <v>0.78818040566096903</v>
      </c>
      <c r="F3278">
        <v>0.72093947628699095</v>
      </c>
      <c r="G3278">
        <v>0.55347445092970804</v>
      </c>
      <c r="H3278">
        <v>0.29498627313890202</v>
      </c>
      <c r="I3278">
        <v>0.234289818915149</v>
      </c>
      <c r="J3278">
        <v>0.21125283531050101</v>
      </c>
      <c r="K3278">
        <v>0.30441190942380703</v>
      </c>
      <c r="L3278">
        <v>663.33955136895997</v>
      </c>
      <c r="M3278">
        <v>12.028069381870401</v>
      </c>
      <c r="N3278">
        <v>56.899601779156299</v>
      </c>
      <c r="O3278">
        <v>53.691245064515002</v>
      </c>
      <c r="P3278">
        <v>-4.7356706498069299E-2</v>
      </c>
      <c r="Q3278">
        <v>0.15463299615933099</v>
      </c>
      <c r="R3278">
        <v>0.97043866665636003</v>
      </c>
      <c r="S3278" t="s">
        <v>6907</v>
      </c>
      <c r="T3278" t="s">
        <v>7256</v>
      </c>
      <c r="U3278" t="s">
        <v>7256</v>
      </c>
      <c r="V3278" t="s">
        <v>7256</v>
      </c>
      <c r="W3278">
        <v>4</v>
      </c>
      <c r="X3278" t="s">
        <v>10534</v>
      </c>
      <c r="Y3278">
        <v>0.60095502785081867</v>
      </c>
      <c r="Z3278" t="str">
        <f>HYPERLINK("Melting_Curves/meltCurve_tr_E9PKY5_E9PKY5_HUMAN_.pdf", "Melting_Curves/meltCurve_tr_E9PKY5_E9PKY5_HUMAN_.pdf")</f>
        <v>Melting_Curves/meltCurve_tr_E9PKY5_E9PKY5_HUMAN_.pdf</v>
      </c>
      <c r="AA3278" t="s">
        <v>14110</v>
      </c>
      <c r="AB3278" t="s">
        <v>17586</v>
      </c>
    </row>
    <row r="3279" spans="1:28" x14ac:dyDescent="0.25">
      <c r="A3279" t="s">
        <v>3283</v>
      </c>
      <c r="B3279">
        <v>0.98018197421672304</v>
      </c>
      <c r="C3279">
        <v>0.88984064867174295</v>
      </c>
      <c r="D3279">
        <v>0.64862091386478204</v>
      </c>
      <c r="E3279">
        <v>0.29399440416811601</v>
      </c>
      <c r="F3279">
        <v>0.169141502306178</v>
      </c>
      <c r="G3279">
        <v>9.7941323996348598E-2</v>
      </c>
      <c r="H3279">
        <v>6.9430086206783495E-2</v>
      </c>
      <c r="I3279">
        <v>5.97823169542206E-2</v>
      </c>
      <c r="J3279">
        <v>6.9259027198774706E-2</v>
      </c>
      <c r="K3279">
        <v>5.9697496611520302E-2</v>
      </c>
      <c r="L3279">
        <v>926.83572162181997</v>
      </c>
      <c r="M3279">
        <v>19.622989563339399</v>
      </c>
      <c r="N3279">
        <v>47.550245986484803</v>
      </c>
      <c r="O3279">
        <v>46.749820411853598</v>
      </c>
      <c r="P3279">
        <v>-9.8484935679023597E-2</v>
      </c>
      <c r="Q3279">
        <v>6.1510689436509398E-2</v>
      </c>
      <c r="R3279">
        <v>0.999772466703572</v>
      </c>
      <c r="S3279" t="s">
        <v>6908</v>
      </c>
      <c r="T3279" t="s">
        <v>7256</v>
      </c>
      <c r="U3279" t="s">
        <v>7256</v>
      </c>
      <c r="V3279" t="s">
        <v>7256</v>
      </c>
      <c r="W3279">
        <v>25</v>
      </c>
      <c r="X3279" t="s">
        <v>10535</v>
      </c>
      <c r="Y3279">
        <v>0.30195233344665012</v>
      </c>
      <c r="Z3279" t="str">
        <f>HYPERLINK("Melting_Curves/meltCurve_tr_E9PL22_E9PL22_HUMAN_.pdf", "Melting_Curves/meltCurve_tr_E9PL22_E9PL22_HUMAN_.pdf")</f>
        <v>Melting_Curves/meltCurve_tr_E9PL22_E9PL22_HUMAN_.pdf</v>
      </c>
      <c r="AA3279" t="s">
        <v>14111</v>
      </c>
      <c r="AB3279" t="s">
        <v>17695</v>
      </c>
    </row>
    <row r="3280" spans="1:28" x14ac:dyDescent="0.25">
      <c r="A3280" t="s">
        <v>3284</v>
      </c>
      <c r="B3280">
        <v>0.98018197421672304</v>
      </c>
      <c r="C3280">
        <v>0.94436041656775704</v>
      </c>
      <c r="D3280">
        <v>0.86214487921227401</v>
      </c>
      <c r="E3280">
        <v>0.75032629746550195</v>
      </c>
      <c r="F3280">
        <v>0.74284662741534302</v>
      </c>
      <c r="G3280">
        <v>0.58320623535869798</v>
      </c>
      <c r="H3280">
        <v>0.35944487160951299</v>
      </c>
      <c r="I3280">
        <v>0.28211803363221999</v>
      </c>
      <c r="J3280">
        <v>0.32838802102633302</v>
      </c>
      <c r="K3280">
        <v>0.35751523697191301</v>
      </c>
      <c r="L3280">
        <v>551.72187072245902</v>
      </c>
      <c r="M3280">
        <v>10.0583697427861</v>
      </c>
      <c r="N3280">
        <v>58.015407731504602</v>
      </c>
      <c r="O3280">
        <v>52.816218238109101</v>
      </c>
      <c r="P3280">
        <v>-3.7578662932308098E-2</v>
      </c>
      <c r="Q3280">
        <v>0.21107754793924299</v>
      </c>
      <c r="R3280">
        <v>0.96261842985345303</v>
      </c>
      <c r="S3280" t="s">
        <v>6909</v>
      </c>
      <c r="T3280" t="s">
        <v>7256</v>
      </c>
      <c r="U3280" t="s">
        <v>7256</v>
      </c>
      <c r="V3280" t="s">
        <v>7256</v>
      </c>
      <c r="W3280">
        <v>8</v>
      </c>
      <c r="X3280" t="s">
        <v>10536</v>
      </c>
      <c r="Y3280">
        <v>0.62253037388210486</v>
      </c>
      <c r="Z3280" t="str">
        <f>HYPERLINK("Melting_Curves/meltCurve_tr_E9PL57_E9PL57_HUMAN_.pdf", "Melting_Curves/meltCurve_tr_E9PL57_E9PL57_HUMAN_.pdf")</f>
        <v>Melting_Curves/meltCurve_tr_E9PL57_E9PL57_HUMAN_.pdf</v>
      </c>
      <c r="AA3280" t="s">
        <v>14112</v>
      </c>
      <c r="AB3280" t="s">
        <v>17696</v>
      </c>
    </row>
    <row r="3281" spans="1:28" x14ac:dyDescent="0.25">
      <c r="A3281" t="s">
        <v>3285</v>
      </c>
      <c r="B3281">
        <v>0.98018197421672304</v>
      </c>
      <c r="C3281">
        <v>0.98799876956614197</v>
      </c>
      <c r="D3281">
        <v>0.78282246408815404</v>
      </c>
      <c r="E3281">
        <v>0.73635967263548396</v>
      </c>
      <c r="F3281">
        <v>0.45359344654831601</v>
      </c>
      <c r="G3281">
        <v>0.30362117516644399</v>
      </c>
      <c r="H3281">
        <v>0.29464659386536202</v>
      </c>
      <c r="I3281">
        <v>0.21176505217647701</v>
      </c>
      <c r="J3281">
        <v>0.20343377652036801</v>
      </c>
      <c r="K3281">
        <v>0.25037198940676603</v>
      </c>
      <c r="L3281">
        <v>762.39514741307096</v>
      </c>
      <c r="M3281">
        <v>14.9774113618541</v>
      </c>
      <c r="N3281">
        <v>52.711931428066897</v>
      </c>
      <c r="O3281">
        <v>50.021408835325701</v>
      </c>
      <c r="P3281">
        <v>-5.9819205738322397E-2</v>
      </c>
      <c r="Q3281">
        <v>0.20094686263945899</v>
      </c>
      <c r="R3281">
        <v>0.97811017035469205</v>
      </c>
      <c r="S3281" t="s">
        <v>6910</v>
      </c>
      <c r="T3281" t="s">
        <v>7256</v>
      </c>
      <c r="U3281" t="s">
        <v>7256</v>
      </c>
      <c r="V3281" t="s">
        <v>7256</v>
      </c>
      <c r="W3281">
        <v>2</v>
      </c>
      <c r="X3281" t="s">
        <v>10537</v>
      </c>
      <c r="Y3281">
        <v>0.50991442665341691</v>
      </c>
      <c r="Z3281" t="str">
        <f>HYPERLINK("Melting_Curves/meltCurve_tr_E9PLD2_E9PLD2_HUMAN_.pdf", "Melting_Curves/meltCurve_tr_E9PLD2_E9PLD2_HUMAN_.pdf")</f>
        <v>Melting_Curves/meltCurve_tr_E9PLD2_E9PLD2_HUMAN_.pdf</v>
      </c>
      <c r="AA3281" t="s">
        <v>14113</v>
      </c>
      <c r="AB3281" t="s">
        <v>17697</v>
      </c>
    </row>
    <row r="3282" spans="1:28" x14ac:dyDescent="0.25">
      <c r="A3282" t="s">
        <v>3286</v>
      </c>
      <c r="B3282">
        <v>0.98018197421672304</v>
      </c>
      <c r="C3282">
        <v>0.91331372809807099</v>
      </c>
      <c r="D3282">
        <v>0.89423333012165396</v>
      </c>
      <c r="E3282">
        <v>0.775121411465308</v>
      </c>
      <c r="F3282">
        <v>0.53811071495905205</v>
      </c>
      <c r="G3282">
        <v>0.26778466830794501</v>
      </c>
      <c r="H3282">
        <v>7.2444488209916905E-2</v>
      </c>
      <c r="I3282">
        <v>4.97267936681813E-2</v>
      </c>
      <c r="J3282">
        <v>5.9627576423031299E-2</v>
      </c>
      <c r="K3282">
        <v>3.6416298188438598E-2</v>
      </c>
      <c r="L3282">
        <v>868.73824761164997</v>
      </c>
      <c r="M3282">
        <v>16.2734331088825</v>
      </c>
      <c r="N3282">
        <v>53.383836194335203</v>
      </c>
      <c r="O3282">
        <v>52.5972338130981</v>
      </c>
      <c r="P3282">
        <v>-7.7354958093795306E-2</v>
      </c>
      <c r="Q3282">
        <v>0</v>
      </c>
      <c r="R3282">
        <v>0.99323128332268495</v>
      </c>
      <c r="S3282" t="s">
        <v>6911</v>
      </c>
      <c r="T3282" t="s">
        <v>7256</v>
      </c>
      <c r="U3282" t="s">
        <v>7256</v>
      </c>
      <c r="V3282" t="s">
        <v>7256</v>
      </c>
      <c r="W3282">
        <v>32</v>
      </c>
      <c r="X3282" t="s">
        <v>10538</v>
      </c>
      <c r="Y3282">
        <v>0.46502403510662432</v>
      </c>
      <c r="Z3282" t="str">
        <f>HYPERLINK("Melting_Curves/meltCurve_tr_E9PLK3_E9PLK3_HUMAN_.pdf", "Melting_Curves/meltCurve_tr_E9PLK3_E9PLK3_HUMAN_.pdf")</f>
        <v>Melting_Curves/meltCurve_tr_E9PLK3_E9PLK3_HUMAN_.pdf</v>
      </c>
      <c r="AA3282" t="s">
        <v>14114</v>
      </c>
      <c r="AB3282" t="s">
        <v>17698</v>
      </c>
    </row>
    <row r="3283" spans="1:28" x14ac:dyDescent="0.25">
      <c r="A3283" t="s">
        <v>3287</v>
      </c>
      <c r="B3283">
        <v>0.98018197421672304</v>
      </c>
      <c r="C3283">
        <v>0.93714746320827702</v>
      </c>
      <c r="D3283">
        <v>0.82224486141532604</v>
      </c>
      <c r="E3283">
        <v>0.48317216426419402</v>
      </c>
      <c r="F3283">
        <v>0.24860732288422399</v>
      </c>
      <c r="G3283">
        <v>0.14223493182161101</v>
      </c>
      <c r="H3283">
        <v>8.6609053334907898E-2</v>
      </c>
      <c r="I3283">
        <v>7.0113842841353705E-2</v>
      </c>
      <c r="J3283">
        <v>8.8201328437009396E-2</v>
      </c>
      <c r="K3283">
        <v>5.7940377241258299E-2</v>
      </c>
      <c r="L3283">
        <v>949.01236028749304</v>
      </c>
      <c r="M3283">
        <v>19.222009002173198</v>
      </c>
      <c r="N3283">
        <v>49.733752651676703</v>
      </c>
      <c r="O3283">
        <v>48.8460943150547</v>
      </c>
      <c r="P3283">
        <v>-9.1951190889047699E-2</v>
      </c>
      <c r="Q3283">
        <v>6.5386839860459497E-2</v>
      </c>
      <c r="R3283">
        <v>0.99913834485855901</v>
      </c>
      <c r="S3283" t="s">
        <v>6912</v>
      </c>
      <c r="T3283" t="s">
        <v>7256</v>
      </c>
      <c r="U3283" t="s">
        <v>7256</v>
      </c>
      <c r="V3283" t="s">
        <v>7256</v>
      </c>
      <c r="W3283">
        <v>10</v>
      </c>
      <c r="X3283" t="s">
        <v>10539</v>
      </c>
      <c r="Y3283">
        <v>0.37146124881505849</v>
      </c>
      <c r="Z3283" t="str">
        <f>HYPERLINK("Melting_Curves/meltCurve_tr_E9PM46_E9PM46_HUMAN_.pdf", "Melting_Curves/meltCurve_tr_E9PM46_E9PM46_HUMAN_.pdf")</f>
        <v>Melting_Curves/meltCurve_tr_E9PM46_E9PM46_HUMAN_.pdf</v>
      </c>
      <c r="AA3283" t="s">
        <v>14115</v>
      </c>
      <c r="AB3283" t="s">
        <v>17553</v>
      </c>
    </row>
    <row r="3284" spans="1:28" x14ac:dyDescent="0.25">
      <c r="A3284" t="s">
        <v>3288</v>
      </c>
      <c r="B3284">
        <v>0.98018197421672304</v>
      </c>
      <c r="C3284">
        <v>0.946761582621233</v>
      </c>
      <c r="D3284">
        <v>0.91104213092928799</v>
      </c>
      <c r="E3284">
        <v>0.79124014640748896</v>
      </c>
      <c r="F3284">
        <v>0.750209784581927</v>
      </c>
      <c r="G3284">
        <v>0.522570298009987</v>
      </c>
      <c r="H3284">
        <v>0.32992352736606501</v>
      </c>
      <c r="I3284">
        <v>0.45135376760493501</v>
      </c>
      <c r="J3284">
        <v>0.50255398380094196</v>
      </c>
      <c r="K3284">
        <v>0.57390984756542096</v>
      </c>
      <c r="L3284">
        <v>963.07311584512797</v>
      </c>
      <c r="M3284">
        <v>18.612454386523599</v>
      </c>
      <c r="N3284">
        <v>59.6465379723506</v>
      </c>
      <c r="O3284">
        <v>51.157266872953301</v>
      </c>
      <c r="P3284">
        <v>-4.93424046517007E-2</v>
      </c>
      <c r="Q3284">
        <v>0.45754313337825298</v>
      </c>
      <c r="R3284">
        <v>0.89378981980016903</v>
      </c>
      <c r="S3284" t="s">
        <v>6913</v>
      </c>
      <c r="T3284" t="s">
        <v>7256</v>
      </c>
      <c r="U3284" t="s">
        <v>7256</v>
      </c>
      <c r="V3284" t="s">
        <v>7256</v>
      </c>
      <c r="W3284">
        <v>3</v>
      </c>
      <c r="X3284" t="s">
        <v>10540</v>
      </c>
      <c r="Y3284">
        <v>0.67843161441903299</v>
      </c>
      <c r="Z3284" t="str">
        <f>HYPERLINK("Melting_Curves/meltCurve_tr_E9PMI6_E9PMI6_HUMAN_.pdf", "Melting_Curves/meltCurve_tr_E9PMI6_E9PMI6_HUMAN_.pdf")</f>
        <v>Melting_Curves/meltCurve_tr_E9PMI6_E9PMI6_HUMAN_.pdf</v>
      </c>
      <c r="AA3284" t="s">
        <v>14116</v>
      </c>
      <c r="AB3284" t="s">
        <v>17699</v>
      </c>
    </row>
    <row r="3285" spans="1:28" x14ac:dyDescent="0.25">
      <c r="A3285" t="s">
        <v>3289</v>
      </c>
      <c r="B3285">
        <v>0.98018197421672304</v>
      </c>
      <c r="C3285">
        <v>0.96304762420889001</v>
      </c>
      <c r="D3285">
        <v>0.90264199243946897</v>
      </c>
      <c r="E3285">
        <v>0.77359581439992298</v>
      </c>
      <c r="F3285">
        <v>0.61913706871322605</v>
      </c>
      <c r="G3285">
        <v>0.44975165388364702</v>
      </c>
      <c r="H3285">
        <v>0.42093059068458</v>
      </c>
      <c r="I3285">
        <v>0.44026039598395</v>
      </c>
      <c r="J3285">
        <v>0.50026724409657097</v>
      </c>
      <c r="K3285">
        <v>0.58846421684408201</v>
      </c>
      <c r="L3285">
        <v>1128.91783293145</v>
      </c>
      <c r="M3285">
        <v>22.473727042035499</v>
      </c>
      <c r="N3285">
        <v>57.958945909973302</v>
      </c>
      <c r="O3285">
        <v>49.8401244528932</v>
      </c>
      <c r="P3285">
        <v>-5.9183684407878703E-2</v>
      </c>
      <c r="Q3285">
        <v>0.475002661847166</v>
      </c>
      <c r="R3285">
        <v>0.94262747022343096</v>
      </c>
      <c r="S3285" t="s">
        <v>6914</v>
      </c>
      <c r="T3285" t="s">
        <v>7256</v>
      </c>
      <c r="U3285" t="s">
        <v>7256</v>
      </c>
      <c r="V3285" t="s">
        <v>7256</v>
      </c>
      <c r="W3285">
        <v>31</v>
      </c>
      <c r="X3285" t="s">
        <v>10541</v>
      </c>
      <c r="Y3285">
        <v>0.65988914350497396</v>
      </c>
      <c r="Z3285" t="str">
        <f>HYPERLINK("Melting_Curves/meltCurve_tr_E9PMS6_E9PMS6_HUMAN_.pdf", "Melting_Curves/meltCurve_tr_E9PMS6_E9PMS6_HUMAN_.pdf")</f>
        <v>Melting_Curves/meltCurve_tr_E9PMS6_E9PMS6_HUMAN_.pdf</v>
      </c>
      <c r="AA3285" t="s">
        <v>14117</v>
      </c>
      <c r="AB3285" t="s">
        <v>17700</v>
      </c>
    </row>
    <row r="3286" spans="1:28" x14ac:dyDescent="0.25">
      <c r="A3286" t="s">
        <v>3290</v>
      </c>
      <c r="B3286">
        <v>0.98018197421672304</v>
      </c>
      <c r="C3286">
        <v>0.93294082892806596</v>
      </c>
      <c r="D3286">
        <v>0.94322450529716895</v>
      </c>
      <c r="E3286">
        <v>0.74606323810383901</v>
      </c>
      <c r="F3286">
        <v>0.53623842544149902</v>
      </c>
      <c r="G3286">
        <v>0.23489610354744</v>
      </c>
      <c r="H3286">
        <v>0.165700092674958</v>
      </c>
      <c r="I3286">
        <v>0.14073705679770199</v>
      </c>
      <c r="J3286">
        <v>0.18269778985988</v>
      </c>
      <c r="K3286">
        <v>0.17821038751712101</v>
      </c>
      <c r="L3286">
        <v>1116.5105899652699</v>
      </c>
      <c r="M3286">
        <v>21.406841940354099</v>
      </c>
      <c r="N3286">
        <v>53.026950245813303</v>
      </c>
      <c r="O3286">
        <v>51.707965060958699</v>
      </c>
      <c r="P3286">
        <v>-8.8170970256188003E-2</v>
      </c>
      <c r="Q3286">
        <v>0.148117587627598</v>
      </c>
      <c r="R3286">
        <v>0.99279415143023397</v>
      </c>
      <c r="S3286" t="s">
        <v>6915</v>
      </c>
      <c r="T3286" t="s">
        <v>7256</v>
      </c>
      <c r="U3286" t="s">
        <v>7256</v>
      </c>
      <c r="V3286" t="s">
        <v>7256</v>
      </c>
      <c r="W3286">
        <v>4</v>
      </c>
      <c r="X3286" t="s">
        <v>10542</v>
      </c>
      <c r="Y3286">
        <v>0.50374138609256958</v>
      </c>
      <c r="Z3286" t="str">
        <f>HYPERLINK("Melting_Curves/meltCurve_tr_E9PN48_E9PN48_HUMAN_.pdf", "Melting_Curves/meltCurve_tr_E9PN48_E9PN48_HUMAN_.pdf")</f>
        <v>Melting_Curves/meltCurve_tr_E9PN48_E9PN48_HUMAN_.pdf</v>
      </c>
      <c r="AA3286" t="s">
        <v>12857</v>
      </c>
      <c r="AB3286" t="s">
        <v>17701</v>
      </c>
    </row>
    <row r="3287" spans="1:28" x14ac:dyDescent="0.25">
      <c r="A3287" t="s">
        <v>3291</v>
      </c>
      <c r="B3287">
        <v>0.98018197421672304</v>
      </c>
      <c r="C3287">
        <v>0.94558580472593501</v>
      </c>
      <c r="D3287">
        <v>0.843527826613647</v>
      </c>
      <c r="E3287">
        <v>0.67238398765824403</v>
      </c>
      <c r="F3287">
        <v>0.53592923616354504</v>
      </c>
      <c r="G3287">
        <v>0.32866725937072599</v>
      </c>
      <c r="H3287">
        <v>0.33859939107019199</v>
      </c>
      <c r="I3287">
        <v>0.33617940719388101</v>
      </c>
      <c r="J3287">
        <v>0.41500428911541798</v>
      </c>
      <c r="K3287">
        <v>0.443118475340744</v>
      </c>
      <c r="L3287">
        <v>915.54511284588204</v>
      </c>
      <c r="M3287">
        <v>18.546701920054002</v>
      </c>
      <c r="N3287">
        <v>53.0921919993919</v>
      </c>
      <c r="O3287">
        <v>48.801165185054103</v>
      </c>
      <c r="P3287">
        <v>-6.0426040145113602E-2</v>
      </c>
      <c r="Q3287">
        <v>0.36404192369099903</v>
      </c>
      <c r="R3287">
        <v>0.96452909039637102</v>
      </c>
      <c r="S3287" t="s">
        <v>6916</v>
      </c>
      <c r="T3287" t="s">
        <v>7256</v>
      </c>
      <c r="U3287" t="s">
        <v>7256</v>
      </c>
      <c r="V3287" t="s">
        <v>7256</v>
      </c>
      <c r="W3287">
        <v>3</v>
      </c>
      <c r="X3287" t="s">
        <v>10543</v>
      </c>
      <c r="Y3287">
        <v>0.57287226951080228</v>
      </c>
      <c r="Z3287" t="str">
        <f>HYPERLINK("Melting_Curves/meltCurve_tr_E9PNK6_E9PNK6_HUMAN_.pdf", "Melting_Curves/meltCurve_tr_E9PNK6_E9PNK6_HUMAN_.pdf")</f>
        <v>Melting_Curves/meltCurve_tr_E9PNK6_E9PNK6_HUMAN_.pdf</v>
      </c>
      <c r="AA3287" t="s">
        <v>14118</v>
      </c>
      <c r="AB3287" t="s">
        <v>17702</v>
      </c>
    </row>
    <row r="3288" spans="1:28" x14ac:dyDescent="0.25">
      <c r="A3288" t="s">
        <v>3292</v>
      </c>
      <c r="B3288">
        <v>0.98018197421672304</v>
      </c>
      <c r="C3288">
        <v>0.91683230387066394</v>
      </c>
      <c r="D3288">
        <v>0.83234980171057704</v>
      </c>
      <c r="E3288">
        <v>0.56160946161855696</v>
      </c>
      <c r="F3288">
        <v>0.35910543140117201</v>
      </c>
      <c r="G3288">
        <v>0.26992040102436099</v>
      </c>
      <c r="H3288">
        <v>0.22991169528693001</v>
      </c>
      <c r="I3288">
        <v>0.25535074085152398</v>
      </c>
      <c r="J3288">
        <v>0.31074165580359803</v>
      </c>
      <c r="K3288">
        <v>0.38495291232617201</v>
      </c>
      <c r="L3288">
        <v>1057.7159939323001</v>
      </c>
      <c r="M3288">
        <v>21.796503323553601</v>
      </c>
      <c r="N3288">
        <v>50.450370892327904</v>
      </c>
      <c r="O3288">
        <v>48.123951850907602</v>
      </c>
      <c r="P3288">
        <v>-8.1279233107427296E-2</v>
      </c>
      <c r="Q3288">
        <v>0.28219935615265901</v>
      </c>
      <c r="R3288">
        <v>0.97300661509959596</v>
      </c>
      <c r="S3288" t="s">
        <v>6917</v>
      </c>
      <c r="T3288" t="s">
        <v>7256</v>
      </c>
      <c r="U3288" t="s">
        <v>7256</v>
      </c>
      <c r="V3288" t="s">
        <v>7256</v>
      </c>
      <c r="W3288">
        <v>3</v>
      </c>
      <c r="X3288" t="s">
        <v>10544</v>
      </c>
      <c r="Y3288">
        <v>0.49467115596043792</v>
      </c>
      <c r="Z3288" t="str">
        <f>HYPERLINK("Melting_Curves/meltCurve_tr_E9PNU4_E9PNU4_HUMAN_.pdf", "Melting_Curves/meltCurve_tr_E9PNU4_E9PNU4_HUMAN_.pdf")</f>
        <v>Melting_Curves/meltCurve_tr_E9PNU4_E9PNU4_HUMAN_.pdf</v>
      </c>
      <c r="AA3288" t="s">
        <v>14119</v>
      </c>
      <c r="AB3288" t="s">
        <v>17703</v>
      </c>
    </row>
    <row r="3289" spans="1:28" x14ac:dyDescent="0.25">
      <c r="A3289" t="s">
        <v>3293</v>
      </c>
      <c r="B3289">
        <v>0.98018197421672304</v>
      </c>
      <c r="C3289">
        <v>1.0265917765455499</v>
      </c>
      <c r="D3289">
        <v>0.855775922437502</v>
      </c>
      <c r="E3289">
        <v>0.66120036292109696</v>
      </c>
      <c r="F3289">
        <v>0.55295279812401499</v>
      </c>
      <c r="G3289">
        <v>0.48928201804337601</v>
      </c>
      <c r="H3289">
        <v>0.36021535524674497</v>
      </c>
      <c r="I3289">
        <v>0.31075038513555903</v>
      </c>
      <c r="J3289">
        <v>0.46989779990695801</v>
      </c>
      <c r="K3289">
        <v>0.55057053187606797</v>
      </c>
      <c r="L3289">
        <v>1001.4363823188</v>
      </c>
      <c r="M3289">
        <v>20.394984406250099</v>
      </c>
      <c r="N3289">
        <v>54.278540411484997</v>
      </c>
      <c r="O3289">
        <v>48.637338332055798</v>
      </c>
      <c r="P3289">
        <v>-5.9912368636548398E-2</v>
      </c>
      <c r="Q3289">
        <v>0.42850847164141498</v>
      </c>
      <c r="R3289">
        <v>0.924349842777478</v>
      </c>
      <c r="S3289" t="s">
        <v>6918</v>
      </c>
      <c r="T3289" t="s">
        <v>7256</v>
      </c>
      <c r="U3289" t="s">
        <v>7256</v>
      </c>
      <c r="V3289" t="s">
        <v>7256</v>
      </c>
      <c r="W3289">
        <v>1</v>
      </c>
      <c r="X3289" t="s">
        <v>10545</v>
      </c>
      <c r="Y3289">
        <v>0.60958787421327032</v>
      </c>
      <c r="Z3289" t="str">
        <f>HYPERLINK("Melting_Curves/meltCurve_tr_E9PP36_E9PP36_HUMAN_.pdf", "Melting_Curves/meltCurve_tr_E9PP36_E9PP36_HUMAN_.pdf")</f>
        <v>Melting_Curves/meltCurve_tr_E9PP36_E9PP36_HUMAN_.pdf</v>
      </c>
      <c r="AA3289" t="s">
        <v>14120</v>
      </c>
      <c r="AB3289" t="s">
        <v>17704</v>
      </c>
    </row>
    <row r="3290" spans="1:28" x14ac:dyDescent="0.25">
      <c r="A3290" t="s">
        <v>3294</v>
      </c>
      <c r="B3290">
        <v>0.98018197421672304</v>
      </c>
      <c r="C3290">
        <v>0.90615464531672696</v>
      </c>
      <c r="D3290">
        <v>0.918602623914204</v>
      </c>
      <c r="E3290">
        <v>0.71469376429847498</v>
      </c>
      <c r="F3290">
        <v>0.19350060058327501</v>
      </c>
      <c r="G3290">
        <v>8.3605061371232595E-2</v>
      </c>
      <c r="H3290">
        <v>4.6970745921460902E-2</v>
      </c>
      <c r="I3290">
        <v>4.3223977416038499E-2</v>
      </c>
      <c r="J3290">
        <v>4.9256953583569303E-2</v>
      </c>
      <c r="K3290">
        <v>1.1733607017998301E-2</v>
      </c>
      <c r="L3290">
        <v>2075.4554930870599</v>
      </c>
      <c r="M3290">
        <v>40.714493535505397</v>
      </c>
      <c r="N3290">
        <v>51.086106444423002</v>
      </c>
      <c r="O3290">
        <v>50.853326047397204</v>
      </c>
      <c r="P3290">
        <v>-0.191737335716088</v>
      </c>
      <c r="Q3290">
        <v>4.2064720929525803E-2</v>
      </c>
      <c r="R3290">
        <v>0.99004832667784703</v>
      </c>
      <c r="S3290" t="s">
        <v>6919</v>
      </c>
      <c r="T3290" t="s">
        <v>7256</v>
      </c>
      <c r="U3290" t="s">
        <v>7256</v>
      </c>
      <c r="V3290" t="s">
        <v>7256</v>
      </c>
      <c r="W3290">
        <v>2</v>
      </c>
      <c r="X3290" t="s">
        <v>10546</v>
      </c>
      <c r="Y3290">
        <v>0.3957931304840821</v>
      </c>
      <c r="Z3290" t="str">
        <f>HYPERLINK("Melting_Curves/meltCurve_tr_E9PPA0_E9PPA0_HUMAN_.pdf", "Melting_Curves/meltCurve_tr_E9PPA0_E9PPA0_HUMAN_.pdf")</f>
        <v>Melting_Curves/meltCurve_tr_E9PPA0_E9PPA0_HUMAN_.pdf</v>
      </c>
      <c r="AA3290" t="s">
        <v>14121</v>
      </c>
      <c r="AB3290" t="s">
        <v>17705</v>
      </c>
    </row>
    <row r="3291" spans="1:28" x14ac:dyDescent="0.25">
      <c r="A3291" t="s">
        <v>3295</v>
      </c>
      <c r="B3291">
        <v>0.98018197421672304</v>
      </c>
      <c r="C3291">
        <v>0.92442774351035295</v>
      </c>
      <c r="D3291">
        <v>0.888419590598299</v>
      </c>
      <c r="E3291">
        <v>0.81451480740075399</v>
      </c>
      <c r="F3291">
        <v>0.686912959886539</v>
      </c>
      <c r="G3291">
        <v>0.43975532786754701</v>
      </c>
      <c r="H3291">
        <v>0.45085602112391798</v>
      </c>
      <c r="I3291">
        <v>0.46027161037061798</v>
      </c>
      <c r="J3291">
        <v>0.49441396243269597</v>
      </c>
      <c r="K3291">
        <v>0.57616301528289504</v>
      </c>
      <c r="L3291">
        <v>1014.2779172478</v>
      </c>
      <c r="M3291">
        <v>19.917086020025199</v>
      </c>
      <c r="N3291">
        <v>60.0409580134206</v>
      </c>
      <c r="O3291">
        <v>50.419983772029397</v>
      </c>
      <c r="P3291">
        <v>-5.1779785373287E-2</v>
      </c>
      <c r="Q3291">
        <v>0.47569649593852698</v>
      </c>
      <c r="R3291">
        <v>0.92463946238746297</v>
      </c>
      <c r="S3291" t="s">
        <v>6920</v>
      </c>
      <c r="T3291" t="s">
        <v>7256</v>
      </c>
      <c r="U3291" t="s">
        <v>7256</v>
      </c>
      <c r="V3291" t="s">
        <v>7256</v>
      </c>
      <c r="W3291">
        <v>2</v>
      </c>
      <c r="X3291" t="s">
        <v>10547</v>
      </c>
      <c r="Y3291">
        <v>0.67396708535135386</v>
      </c>
      <c r="Z3291" t="str">
        <f>HYPERLINK("Melting_Curves/meltCurve_tr_E9PQ61_E9PQ61_HUMAN_.pdf", "Melting_Curves/meltCurve_tr_E9PQ61_E9PQ61_HUMAN_.pdf")</f>
        <v>Melting_Curves/meltCurve_tr_E9PQ61_E9PQ61_HUMAN_.pdf</v>
      </c>
      <c r="AA3291" t="s">
        <v>14122</v>
      </c>
      <c r="AB3291" t="s">
        <v>17706</v>
      </c>
    </row>
    <row r="3292" spans="1:28" x14ac:dyDescent="0.25">
      <c r="A3292" t="s">
        <v>3296</v>
      </c>
      <c r="B3292">
        <v>0.98018197421672304</v>
      </c>
      <c r="C3292">
        <v>0.91699712681496903</v>
      </c>
      <c r="D3292">
        <v>0.80922252993877997</v>
      </c>
      <c r="E3292">
        <v>0.60111882944600803</v>
      </c>
      <c r="F3292">
        <v>0.41201784779089101</v>
      </c>
      <c r="G3292">
        <v>0.24336390728641499</v>
      </c>
      <c r="H3292">
        <v>0.19765743602733299</v>
      </c>
      <c r="I3292">
        <v>0.17508355231204001</v>
      </c>
      <c r="J3292">
        <v>0.288291833194183</v>
      </c>
      <c r="K3292">
        <v>0.209581543881976</v>
      </c>
      <c r="L3292">
        <v>810.37110808591399</v>
      </c>
      <c r="M3292">
        <v>16.341030132714799</v>
      </c>
      <c r="N3292">
        <v>51.140959627002402</v>
      </c>
      <c r="O3292">
        <v>48.866359678255797</v>
      </c>
      <c r="P3292">
        <v>-6.7280519612705605E-2</v>
      </c>
      <c r="Q3292">
        <v>0.19527307718881801</v>
      </c>
      <c r="R3292">
        <v>0.98595808745409397</v>
      </c>
      <c r="S3292" t="s">
        <v>6921</v>
      </c>
      <c r="T3292" t="s">
        <v>7256</v>
      </c>
      <c r="U3292" t="s">
        <v>7256</v>
      </c>
      <c r="V3292" t="s">
        <v>7256</v>
      </c>
      <c r="W3292">
        <v>9</v>
      </c>
      <c r="X3292" t="s">
        <v>10548</v>
      </c>
      <c r="Y3292">
        <v>0.46915055472098621</v>
      </c>
      <c r="Z3292" t="str">
        <f>HYPERLINK("Melting_Curves/meltCurve_tr_E9PQG4_E9PQG4_HUMAN_.pdf", "Melting_Curves/meltCurve_tr_E9PQG4_E9PQG4_HUMAN_.pdf")</f>
        <v>Melting_Curves/meltCurve_tr_E9PQG4_E9PQG4_HUMAN_.pdf</v>
      </c>
      <c r="AA3292" t="s">
        <v>14123</v>
      </c>
      <c r="AB3292" t="s">
        <v>17707</v>
      </c>
    </row>
    <row r="3293" spans="1:28" x14ac:dyDescent="0.25">
      <c r="A3293" t="s">
        <v>3297</v>
      </c>
      <c r="B3293">
        <v>0.98018197421672304</v>
      </c>
      <c r="C3293">
        <v>0.82778359014290404</v>
      </c>
      <c r="D3293">
        <v>0.7844911667833</v>
      </c>
      <c r="E3293">
        <v>0.75901143715268704</v>
      </c>
      <c r="F3293">
        <v>0.52441081452666405</v>
      </c>
      <c r="G3293">
        <v>0.25585572385293298</v>
      </c>
      <c r="H3293">
        <v>0.11108410273389099</v>
      </c>
      <c r="I3293">
        <v>6.8273996746033502E-2</v>
      </c>
      <c r="J3293">
        <v>0.11812929811694001</v>
      </c>
      <c r="K3293">
        <v>5.33148585449729E-2</v>
      </c>
      <c r="L3293">
        <v>634.64439959851404</v>
      </c>
      <c r="M3293">
        <v>12.0204826039362</v>
      </c>
      <c r="N3293">
        <v>52.796923912352</v>
      </c>
      <c r="O3293">
        <v>51.399392873526402</v>
      </c>
      <c r="P3293">
        <v>-5.8480098648715201E-2</v>
      </c>
      <c r="Q3293">
        <v>0</v>
      </c>
      <c r="R3293">
        <v>0.96959125488409803</v>
      </c>
      <c r="S3293" t="s">
        <v>6922</v>
      </c>
      <c r="T3293" t="s">
        <v>7256</v>
      </c>
      <c r="U3293" t="s">
        <v>7256</v>
      </c>
      <c r="V3293" t="s">
        <v>7256</v>
      </c>
      <c r="W3293">
        <v>1</v>
      </c>
      <c r="X3293" t="s">
        <v>10549</v>
      </c>
      <c r="Y3293">
        <v>0.45542580103633767</v>
      </c>
      <c r="Z3293" t="str">
        <f>HYPERLINK("Melting_Curves/meltCurve_tr_E9PQL2_E9PQL2_HUMAN_.pdf", "Melting_Curves/meltCurve_tr_E9PQL2_E9PQL2_HUMAN_.pdf")</f>
        <v>Melting_Curves/meltCurve_tr_E9PQL2_E9PQL2_HUMAN_.pdf</v>
      </c>
      <c r="AA3293" t="s">
        <v>14124</v>
      </c>
      <c r="AB3293" t="s">
        <v>17708</v>
      </c>
    </row>
    <row r="3294" spans="1:28" x14ac:dyDescent="0.25">
      <c r="A3294" t="s">
        <v>3298</v>
      </c>
      <c r="B3294">
        <v>0.98018197421672304</v>
      </c>
      <c r="C3294">
        <v>0.87167748085646701</v>
      </c>
      <c r="D3294">
        <v>0.88274769916950802</v>
      </c>
      <c r="E3294">
        <v>0.76252259222636298</v>
      </c>
      <c r="F3294">
        <v>0.63574873615850502</v>
      </c>
      <c r="G3294">
        <v>0.48241967475504899</v>
      </c>
      <c r="H3294">
        <v>0.34312972659056201</v>
      </c>
      <c r="I3294">
        <v>0.296857510018183</v>
      </c>
      <c r="J3294">
        <v>0.48482422463626401</v>
      </c>
      <c r="K3294">
        <v>0.32228442080555503</v>
      </c>
      <c r="L3294">
        <v>624.52860961004399</v>
      </c>
      <c r="M3294">
        <v>12.028703975092601</v>
      </c>
      <c r="N3294">
        <v>56.441364431407301</v>
      </c>
      <c r="O3294">
        <v>50.547327277103001</v>
      </c>
      <c r="P3294">
        <v>-4.1104414905975002E-2</v>
      </c>
      <c r="Q3294">
        <v>0.30924489355016299</v>
      </c>
      <c r="R3294">
        <v>0.93983100946884202</v>
      </c>
      <c r="S3294" t="s">
        <v>6923</v>
      </c>
      <c r="T3294" t="s">
        <v>7256</v>
      </c>
      <c r="U3294" t="s">
        <v>7256</v>
      </c>
      <c r="V3294" t="s">
        <v>7256</v>
      </c>
      <c r="W3294">
        <v>5</v>
      </c>
      <c r="X3294" t="s">
        <v>10550</v>
      </c>
      <c r="Y3294">
        <v>0.60488881691388563</v>
      </c>
      <c r="Z3294" t="str">
        <f>HYPERLINK("Melting_Curves/meltCurve_tr_E9PQP7_E9PQP7_HUMAN_.pdf", "Melting_Curves/meltCurve_tr_E9PQP7_E9PQP7_HUMAN_.pdf")</f>
        <v>Melting_Curves/meltCurve_tr_E9PQP7_E9PQP7_HUMAN_.pdf</v>
      </c>
      <c r="AA3294" t="s">
        <v>14125</v>
      </c>
      <c r="AB3294" t="s">
        <v>17709</v>
      </c>
    </row>
    <row r="3295" spans="1:28" x14ac:dyDescent="0.25">
      <c r="A3295" t="s">
        <v>3299</v>
      </c>
      <c r="B3295">
        <v>0.98018197421672304</v>
      </c>
      <c r="C3295">
        <v>0.69366874684186097</v>
      </c>
      <c r="D3295">
        <v>0.60962318148467498</v>
      </c>
      <c r="E3295">
        <v>0.37538925406563001</v>
      </c>
      <c r="F3295">
        <v>0.23101460556944101</v>
      </c>
      <c r="G3295">
        <v>0.14521621242206401</v>
      </c>
      <c r="H3295">
        <v>0.10206383855686001</v>
      </c>
      <c r="I3295">
        <v>9.5297210851731595E-2</v>
      </c>
      <c r="J3295">
        <v>7.2310769745589004E-2</v>
      </c>
      <c r="K3295">
        <v>8.3498498064475402E-2</v>
      </c>
      <c r="L3295">
        <v>584.75305013862101</v>
      </c>
      <c r="M3295">
        <v>12.4651419433455</v>
      </c>
      <c r="N3295">
        <v>47.380743316105097</v>
      </c>
      <c r="O3295">
        <v>45.752772488036896</v>
      </c>
      <c r="P3295">
        <v>-6.41661979390932E-2</v>
      </c>
      <c r="Q3295">
        <v>5.8118267723110399E-2</v>
      </c>
      <c r="R3295">
        <v>0.98451957614720198</v>
      </c>
      <c r="S3295" t="s">
        <v>6924</v>
      </c>
      <c r="T3295" t="s">
        <v>7256</v>
      </c>
      <c r="U3295" t="s">
        <v>7256</v>
      </c>
      <c r="V3295" t="s">
        <v>7256</v>
      </c>
      <c r="W3295">
        <v>2</v>
      </c>
      <c r="X3295" t="s">
        <v>10551</v>
      </c>
      <c r="Y3295">
        <v>0.31219281469867438</v>
      </c>
      <c r="Z3295" t="str">
        <f>HYPERLINK("Melting_Curves/meltCurve_tr_E9PQW4_E9PQW4_HUMAN_.pdf", "Melting_Curves/meltCurve_tr_E9PQW4_E9PQW4_HUMAN_.pdf")</f>
        <v>Melting_Curves/meltCurve_tr_E9PQW4_E9PQW4_HUMAN_.pdf</v>
      </c>
      <c r="AA3295" t="s">
        <v>14126</v>
      </c>
      <c r="AB3295" t="s">
        <v>17710</v>
      </c>
    </row>
    <row r="3296" spans="1:28" x14ac:dyDescent="0.25">
      <c r="A3296" t="s">
        <v>3300</v>
      </c>
      <c r="B3296">
        <v>0.98018197421672304</v>
      </c>
      <c r="C3296">
        <v>0.96637424146080997</v>
      </c>
      <c r="D3296">
        <v>0.91956510634949795</v>
      </c>
      <c r="E3296">
        <v>0.83492011535134503</v>
      </c>
      <c r="F3296">
        <v>0.54640991146551299</v>
      </c>
      <c r="G3296">
        <v>0.18013618996990299</v>
      </c>
      <c r="H3296">
        <v>7.9576695431429506E-2</v>
      </c>
      <c r="I3296">
        <v>4.8856928268020502E-2</v>
      </c>
      <c r="J3296">
        <v>5.0316285368693203E-2</v>
      </c>
      <c r="K3296">
        <v>2.5029079485129901E-2</v>
      </c>
      <c r="L3296">
        <v>1248.96960800738</v>
      </c>
      <c r="M3296">
        <v>23.4707433009347</v>
      </c>
      <c r="N3296">
        <v>53.351688870535099</v>
      </c>
      <c r="O3296">
        <v>52.832109546482201</v>
      </c>
      <c r="P3296">
        <v>-0.107798413341193</v>
      </c>
      <c r="Q3296">
        <v>2.9409657642995701E-2</v>
      </c>
      <c r="R3296">
        <v>0.99678568659439903</v>
      </c>
      <c r="S3296" t="s">
        <v>6925</v>
      </c>
      <c r="T3296" t="s">
        <v>7256</v>
      </c>
      <c r="U3296" t="s">
        <v>7256</v>
      </c>
      <c r="V3296" t="s">
        <v>7256</v>
      </c>
      <c r="W3296">
        <v>5</v>
      </c>
      <c r="X3296" t="s">
        <v>10552</v>
      </c>
      <c r="Y3296">
        <v>0.46697372879458687</v>
      </c>
      <c r="Z3296" t="str">
        <f>HYPERLINK("Melting_Curves/meltCurve_tr_E9PQY3_E9PQY3_HUMAN_.pdf", "Melting_Curves/meltCurve_tr_E9PQY3_E9PQY3_HUMAN_.pdf")</f>
        <v>Melting_Curves/meltCurve_tr_E9PQY3_E9PQY3_HUMAN_.pdf</v>
      </c>
      <c r="AA3296" t="s">
        <v>14127</v>
      </c>
      <c r="AB3296" t="s">
        <v>17711</v>
      </c>
    </row>
    <row r="3297" spans="1:28" x14ac:dyDescent="0.25">
      <c r="A3297" t="s">
        <v>3301</v>
      </c>
      <c r="B3297">
        <v>0.98018197421672304</v>
      </c>
      <c r="C3297">
        <v>0.72824575833073502</v>
      </c>
      <c r="D3297">
        <v>0.35037696628012899</v>
      </c>
      <c r="E3297">
        <v>9.0710992931203605E-2</v>
      </c>
      <c r="F3297">
        <v>2.96004586136825E-2</v>
      </c>
      <c r="G3297">
        <v>3.7136852693285601E-2</v>
      </c>
      <c r="H3297">
        <v>2.6513562330416001E-2</v>
      </c>
      <c r="I3297">
        <v>2.4508743747475699E-2</v>
      </c>
      <c r="J3297">
        <v>2.28445882531941E-2</v>
      </c>
      <c r="K3297">
        <v>0</v>
      </c>
      <c r="L3297">
        <v>1108.3062972011501</v>
      </c>
      <c r="M3297">
        <v>24.7968475574995</v>
      </c>
      <c r="N3297">
        <v>44.769265342529003</v>
      </c>
      <c r="O3297">
        <v>44.407809219494702</v>
      </c>
      <c r="P3297">
        <v>-0.136803127931205</v>
      </c>
      <c r="Q3297">
        <v>2.00298422458191E-2</v>
      </c>
      <c r="R3297">
        <v>0.99822392421389206</v>
      </c>
      <c r="S3297" t="s">
        <v>6926</v>
      </c>
      <c r="T3297" t="s">
        <v>7256</v>
      </c>
      <c r="U3297" t="s">
        <v>7256</v>
      </c>
      <c r="V3297" t="s">
        <v>7256</v>
      </c>
      <c r="W3297">
        <v>28</v>
      </c>
      <c r="X3297" t="s">
        <v>10553</v>
      </c>
      <c r="Y3297">
        <v>0.18371962814578349</v>
      </c>
      <c r="Z3297" t="str">
        <f>HYPERLINK("Melting_Curves/meltCurve_tr_E9PRE7_E9PRE7_HUMAN_.pdf", "Melting_Curves/meltCurve_tr_E9PRE7_E9PRE7_HUMAN_.pdf")</f>
        <v>Melting_Curves/meltCurve_tr_E9PRE7_E9PRE7_HUMAN_.pdf</v>
      </c>
      <c r="AA3297" t="s">
        <v>11444</v>
      </c>
      <c r="AB3297" t="s">
        <v>14998</v>
      </c>
    </row>
    <row r="3298" spans="1:28" x14ac:dyDescent="0.25">
      <c r="A3298" t="s">
        <v>3302</v>
      </c>
      <c r="B3298">
        <v>0.98018197421672304</v>
      </c>
      <c r="C3298">
        <v>0.93331920188207396</v>
      </c>
      <c r="D3298">
        <v>0.80421458905710497</v>
      </c>
      <c r="E3298">
        <v>0.451280241096644</v>
      </c>
      <c r="F3298">
        <v>0.30119733962482598</v>
      </c>
      <c r="G3298">
        <v>0.19787746455531299</v>
      </c>
      <c r="H3298">
        <v>0.11646489563059199</v>
      </c>
      <c r="I3298">
        <v>8.2893254325314802E-2</v>
      </c>
      <c r="J3298">
        <v>7.5760262023007202E-2</v>
      </c>
      <c r="K3298">
        <v>6.36356349861944E-2</v>
      </c>
      <c r="L3298">
        <v>811.62241479060799</v>
      </c>
      <c r="M3298">
        <v>16.453482676488498</v>
      </c>
      <c r="N3298">
        <v>49.790927091957101</v>
      </c>
      <c r="O3298">
        <v>48.616907765916601</v>
      </c>
      <c r="P3298">
        <v>-7.8616256846287605E-2</v>
      </c>
      <c r="Q3298">
        <v>7.0881066332059303E-2</v>
      </c>
      <c r="R3298">
        <v>0.99737950933668895</v>
      </c>
      <c r="S3298" t="s">
        <v>6927</v>
      </c>
      <c r="T3298" t="s">
        <v>7256</v>
      </c>
      <c r="U3298" t="s">
        <v>7256</v>
      </c>
      <c r="V3298" t="s">
        <v>7256</v>
      </c>
      <c r="W3298">
        <v>10</v>
      </c>
      <c r="X3298" t="s">
        <v>10554</v>
      </c>
      <c r="Y3298">
        <v>0.37882854599524729</v>
      </c>
      <c r="Z3298" t="str">
        <f>HYPERLINK("Melting_Curves/meltCurve_tr_E9PRI4_E9PRI4_HUMAN_.pdf", "Melting_Curves/meltCurve_tr_E9PRI4_E9PRI4_HUMAN_.pdf")</f>
        <v>Melting_Curves/meltCurve_tr_E9PRI4_E9PRI4_HUMAN_.pdf</v>
      </c>
      <c r="AA3298" t="s">
        <v>14128</v>
      </c>
      <c r="AB3298" t="s">
        <v>17712</v>
      </c>
    </row>
    <row r="3299" spans="1:28" x14ac:dyDescent="0.25">
      <c r="A3299" t="s">
        <v>3303</v>
      </c>
      <c r="B3299">
        <v>0.98018197421672304</v>
      </c>
      <c r="C3299">
        <v>0.78146441241251696</v>
      </c>
      <c r="D3299">
        <v>1.00738885449585</v>
      </c>
      <c r="E3299">
        <v>0.88299805494513195</v>
      </c>
      <c r="F3299">
        <v>0.73716922569699495</v>
      </c>
      <c r="G3299">
        <v>0.59018490428605597</v>
      </c>
      <c r="H3299">
        <v>0.344478883843718</v>
      </c>
      <c r="I3299">
        <v>0.182756025745026</v>
      </c>
      <c r="J3299">
        <v>0.21307056136076799</v>
      </c>
      <c r="K3299">
        <v>0.12522967142778399</v>
      </c>
      <c r="L3299">
        <v>691.21770841750003</v>
      </c>
      <c r="M3299">
        <v>11.945118045231499</v>
      </c>
      <c r="N3299">
        <v>57.9447365320082</v>
      </c>
      <c r="O3299">
        <v>56.315845256510599</v>
      </c>
      <c r="P3299">
        <v>-5.2613929512753399E-2</v>
      </c>
      <c r="Q3299">
        <v>8.0392573636153906E-3</v>
      </c>
      <c r="R3299">
        <v>0.95023605283392398</v>
      </c>
      <c r="S3299" t="s">
        <v>6928</v>
      </c>
      <c r="T3299" t="s">
        <v>7256</v>
      </c>
      <c r="U3299" t="s">
        <v>7256</v>
      </c>
      <c r="V3299" t="s">
        <v>7256</v>
      </c>
      <c r="W3299">
        <v>1</v>
      </c>
      <c r="X3299" t="s">
        <v>10555</v>
      </c>
      <c r="Y3299">
        <v>0.61193611489296529</v>
      </c>
      <c r="Z3299" t="str">
        <f>HYPERLINK("Melting_Curves/meltCurve_tr_E9PRM4_E9PRM4_HUMAN_.pdf", "Melting_Curves/meltCurve_tr_E9PRM4_E9PRM4_HUMAN_.pdf")</f>
        <v>Melting_Curves/meltCurve_tr_E9PRM4_E9PRM4_HUMAN_.pdf</v>
      </c>
      <c r="AA3299" t="s">
        <v>14129</v>
      </c>
      <c r="AB3299" t="s">
        <v>17713</v>
      </c>
    </row>
    <row r="3300" spans="1:28" x14ac:dyDescent="0.25">
      <c r="A3300" t="s">
        <v>3304</v>
      </c>
      <c r="B3300">
        <v>0.98018197421672304</v>
      </c>
      <c r="C3300">
        <v>1.01179591631758</v>
      </c>
      <c r="D3300">
        <v>1.0020611376355399</v>
      </c>
      <c r="E3300">
        <v>0.95278427963373602</v>
      </c>
      <c r="F3300">
        <v>1.0175763734505801</v>
      </c>
      <c r="G3300">
        <v>0.96946143142707097</v>
      </c>
      <c r="H3300">
        <v>0.80482824661444197</v>
      </c>
      <c r="I3300">
        <v>0.89638845723609495</v>
      </c>
      <c r="J3300">
        <v>0.892063604595426</v>
      </c>
      <c r="K3300">
        <v>0.82356940134504297</v>
      </c>
      <c r="L3300">
        <v>14325.701791629999</v>
      </c>
      <c r="M3300">
        <v>250</v>
      </c>
      <c r="O3300">
        <v>57.299140173514999</v>
      </c>
      <c r="P3300">
        <v>-0.15902024741252499</v>
      </c>
      <c r="Q3300">
        <v>0.85421242503692896</v>
      </c>
      <c r="R3300">
        <v>0.81921671849553301</v>
      </c>
      <c r="S3300" t="s">
        <v>6929</v>
      </c>
      <c r="T3300" t="s">
        <v>7256</v>
      </c>
      <c r="U3300" t="s">
        <v>7256</v>
      </c>
      <c r="V3300" t="s">
        <v>7256</v>
      </c>
      <c r="W3300">
        <v>2</v>
      </c>
      <c r="X3300" t="s">
        <v>10556</v>
      </c>
      <c r="Y3300">
        <v>0.93831156280438444</v>
      </c>
      <c r="Z3300" t="str">
        <f>HYPERLINK("Melting_Curves/meltCurve_tr_E9PRZ9_E9PRZ9_HUMAN_.pdf", "Melting_Curves/meltCurve_tr_E9PRZ9_E9PRZ9_HUMAN_.pdf")</f>
        <v>Melting_Curves/meltCurve_tr_E9PRZ9_E9PRZ9_HUMAN_.pdf</v>
      </c>
      <c r="AA3300" t="s">
        <v>14130</v>
      </c>
      <c r="AB3300" t="s">
        <v>17714</v>
      </c>
    </row>
    <row r="3301" spans="1:28" x14ac:dyDescent="0.25">
      <c r="A3301" t="s">
        <v>3305</v>
      </c>
      <c r="B3301">
        <v>0.98018197421672304</v>
      </c>
      <c r="C3301">
        <v>0.66598107465287504</v>
      </c>
      <c r="D3301">
        <v>0.58618861426903701</v>
      </c>
      <c r="E3301">
        <v>0.50680100839460696</v>
      </c>
      <c r="F3301">
        <v>0.34891206020808302</v>
      </c>
      <c r="G3301">
        <v>0.18748032041893001</v>
      </c>
      <c r="H3301">
        <v>9.9852445496077094E-2</v>
      </c>
      <c r="I3301">
        <v>0.108776085895419</v>
      </c>
      <c r="J3301">
        <v>0.222382230817012</v>
      </c>
      <c r="K3301">
        <v>2.5641818666160401E-2</v>
      </c>
      <c r="L3301">
        <v>443.11774371329301</v>
      </c>
      <c r="M3301">
        <v>9.1957625156236595</v>
      </c>
      <c r="N3301">
        <v>48.551693874147603</v>
      </c>
      <c r="O3301">
        <v>46.072611220730103</v>
      </c>
      <c r="P3301">
        <v>-4.8266084191245499E-2</v>
      </c>
      <c r="Q3301">
        <v>3.3356056315475099E-2</v>
      </c>
      <c r="R3301">
        <v>0.93968683765239402</v>
      </c>
      <c r="S3301" t="s">
        <v>6930</v>
      </c>
      <c r="T3301" t="s">
        <v>7256</v>
      </c>
      <c r="U3301" t="s">
        <v>7256</v>
      </c>
      <c r="V3301" t="s">
        <v>7256</v>
      </c>
      <c r="W3301">
        <v>1</v>
      </c>
      <c r="X3301" t="s">
        <v>10557</v>
      </c>
      <c r="Y3301">
        <v>0.35430553589772218</v>
      </c>
      <c r="Z3301" t="str">
        <f>HYPERLINK("Melting_Curves/meltCurve_tr_F2Z2B9_F2Z2B9_HUMAN_.pdf", "Melting_Curves/meltCurve_tr_F2Z2B9_F2Z2B9_HUMAN_.pdf")</f>
        <v>Melting_Curves/meltCurve_tr_F2Z2B9_F2Z2B9_HUMAN_.pdf</v>
      </c>
      <c r="AA3301" t="s">
        <v>14131</v>
      </c>
      <c r="AB3301" t="s">
        <v>17715</v>
      </c>
    </row>
    <row r="3302" spans="1:28" x14ac:dyDescent="0.25">
      <c r="A3302" t="s">
        <v>3306</v>
      </c>
      <c r="B3302">
        <v>0.98018197421672304</v>
      </c>
      <c r="C3302">
        <v>0.87528040737262003</v>
      </c>
      <c r="D3302">
        <v>0.68925335894981699</v>
      </c>
      <c r="E3302">
        <v>0.41662083067967298</v>
      </c>
      <c r="F3302">
        <v>0.291748852340868</v>
      </c>
      <c r="G3302">
        <v>0.184998642333804</v>
      </c>
      <c r="H3302">
        <v>0.26702279442413701</v>
      </c>
      <c r="I3302">
        <v>0.16896912104697101</v>
      </c>
      <c r="J3302">
        <v>0.29326671709038199</v>
      </c>
      <c r="K3302">
        <v>0.28452414542070598</v>
      </c>
      <c r="L3302">
        <v>948.17256058953706</v>
      </c>
      <c r="M3302">
        <v>20.2649943137239</v>
      </c>
      <c r="N3302">
        <v>48.301189213542997</v>
      </c>
      <c r="O3302">
        <v>46.340223284266699</v>
      </c>
      <c r="P3302">
        <v>-8.3646688502780397E-2</v>
      </c>
      <c r="Q3302">
        <v>0.23491980360141901</v>
      </c>
      <c r="R3302">
        <v>0.97858430676878905</v>
      </c>
      <c r="S3302" t="s">
        <v>6931</v>
      </c>
      <c r="T3302" t="s">
        <v>7256</v>
      </c>
      <c r="U3302" t="s">
        <v>7256</v>
      </c>
      <c r="V3302" t="s">
        <v>7256</v>
      </c>
      <c r="W3302">
        <v>1</v>
      </c>
      <c r="X3302" t="s">
        <v>10558</v>
      </c>
      <c r="Y3302">
        <v>0.41902503308924871</v>
      </c>
      <c r="Z3302" t="str">
        <f>HYPERLINK("Melting_Curves/meltCurve_tr_F2Z2E1_F2Z2E1_HUMAN_.pdf", "Melting_Curves/meltCurve_tr_F2Z2E1_F2Z2E1_HUMAN_.pdf")</f>
        <v>Melting_Curves/meltCurve_tr_F2Z2E1_F2Z2E1_HUMAN_.pdf</v>
      </c>
      <c r="AA3302" t="s">
        <v>14132</v>
      </c>
      <c r="AB3302" t="s">
        <v>17716</v>
      </c>
    </row>
    <row r="3303" spans="1:28" x14ac:dyDescent="0.25">
      <c r="A3303" t="s">
        <v>3307</v>
      </c>
      <c r="B3303">
        <v>0.98018197421672304</v>
      </c>
      <c r="C3303">
        <v>0.89395757514914098</v>
      </c>
      <c r="D3303">
        <v>0.96575139614582495</v>
      </c>
      <c r="E3303">
        <v>0.60780502380975099</v>
      </c>
      <c r="F3303">
        <v>0.190119651912842</v>
      </c>
      <c r="G3303">
        <v>8.2216854928168506E-2</v>
      </c>
      <c r="H3303">
        <v>4.4343883826640097E-2</v>
      </c>
      <c r="I3303">
        <v>3.3833214896196097E-2</v>
      </c>
      <c r="J3303">
        <v>4.4795380630384199E-2</v>
      </c>
      <c r="K3303">
        <v>3.9237408922185697E-2</v>
      </c>
      <c r="L3303">
        <v>1723.3980010103601</v>
      </c>
      <c r="M3303">
        <v>34.129915471776698</v>
      </c>
      <c r="N3303">
        <v>50.627875976601302</v>
      </c>
      <c r="O3303">
        <v>50.322829962631602</v>
      </c>
      <c r="P3303">
        <v>-0.16230446020768</v>
      </c>
      <c r="Q3303">
        <v>4.2765100637385298E-2</v>
      </c>
      <c r="R3303">
        <v>0.99260744829198599</v>
      </c>
      <c r="S3303" t="s">
        <v>6932</v>
      </c>
      <c r="T3303" t="s">
        <v>7256</v>
      </c>
      <c r="U3303" t="s">
        <v>7256</v>
      </c>
      <c r="V3303" t="s">
        <v>7256</v>
      </c>
      <c r="W3303">
        <v>7</v>
      </c>
      <c r="X3303" t="s">
        <v>10559</v>
      </c>
      <c r="Y3303">
        <v>0.38224745272823107</v>
      </c>
      <c r="Z3303" t="str">
        <f>HYPERLINK("Melting_Curves/meltCurve_tr_F2Z2V0_F2Z2V0_HUMAN_.pdf", "Melting_Curves/meltCurve_tr_F2Z2V0_F2Z2V0_HUMAN_.pdf")</f>
        <v>Melting_Curves/meltCurve_tr_F2Z2V0_F2Z2V0_HUMAN_.pdf</v>
      </c>
      <c r="AA3303" t="s">
        <v>14133</v>
      </c>
      <c r="AB3303" t="s">
        <v>17717</v>
      </c>
    </row>
    <row r="3304" spans="1:28" x14ac:dyDescent="0.25">
      <c r="A3304" t="s">
        <v>3308</v>
      </c>
      <c r="B3304">
        <v>0.98018197421672304</v>
      </c>
      <c r="C3304">
        <v>0.93549434948742805</v>
      </c>
      <c r="D3304">
        <v>0.91145796931710099</v>
      </c>
      <c r="E3304">
        <v>0.75385052929483098</v>
      </c>
      <c r="F3304">
        <v>0.52912723793889005</v>
      </c>
      <c r="G3304">
        <v>0.150634413045066</v>
      </c>
      <c r="H3304">
        <v>5.8589555595524499E-2</v>
      </c>
      <c r="I3304">
        <v>4.6378961440820501E-2</v>
      </c>
      <c r="J3304">
        <v>2.04795620863568E-2</v>
      </c>
      <c r="K3304">
        <v>4.58182591595033E-2</v>
      </c>
      <c r="L3304">
        <v>1071.02025038689</v>
      </c>
      <c r="M3304">
        <v>20.282086665536799</v>
      </c>
      <c r="N3304">
        <v>52.867165484336603</v>
      </c>
      <c r="O3304">
        <v>52.300909677821501</v>
      </c>
      <c r="P3304">
        <v>-9.5831646007810495E-2</v>
      </c>
      <c r="Q3304">
        <v>1.1555764988637401E-2</v>
      </c>
      <c r="R3304">
        <v>0.99384070038085703</v>
      </c>
      <c r="S3304" t="s">
        <v>6933</v>
      </c>
      <c r="T3304" t="s">
        <v>7256</v>
      </c>
      <c r="U3304" t="s">
        <v>7256</v>
      </c>
      <c r="V3304" t="s">
        <v>7256</v>
      </c>
      <c r="W3304">
        <v>5</v>
      </c>
      <c r="X3304" t="s">
        <v>10560</v>
      </c>
      <c r="Y3304">
        <v>0.44678686573468929</v>
      </c>
      <c r="Z3304" t="str">
        <f>HYPERLINK("Melting_Curves/meltCurve_tr_F2Z2X4_F2Z2X4_HUMAN_.pdf", "Melting_Curves/meltCurve_tr_F2Z2X4_F2Z2X4_HUMAN_.pdf")</f>
        <v>Melting_Curves/meltCurve_tr_F2Z2X4_F2Z2X4_HUMAN_.pdf</v>
      </c>
      <c r="AA3304" t="s">
        <v>14134</v>
      </c>
      <c r="AB3304" t="s">
        <v>17718</v>
      </c>
    </row>
    <row r="3305" spans="1:28" x14ac:dyDescent="0.25">
      <c r="A3305" t="s">
        <v>3309</v>
      </c>
      <c r="B3305">
        <v>0.98018197421672304</v>
      </c>
      <c r="C3305">
        <v>0.98379539489208701</v>
      </c>
      <c r="D3305">
        <v>0.72687233907687099</v>
      </c>
      <c r="E3305">
        <v>0.73473618598220403</v>
      </c>
      <c r="F3305">
        <v>0.71664052642087905</v>
      </c>
      <c r="G3305">
        <v>0.44421111642459998</v>
      </c>
      <c r="H3305">
        <v>0.27720810195728002</v>
      </c>
      <c r="I3305">
        <v>0.24060099531051299</v>
      </c>
      <c r="J3305">
        <v>0.20088164125608701</v>
      </c>
      <c r="K3305">
        <v>7.1743224035025699E-2</v>
      </c>
      <c r="L3305">
        <v>507.85054585177397</v>
      </c>
      <c r="M3305">
        <v>9.1208832288319908</v>
      </c>
      <c r="N3305">
        <v>55.679974524492202</v>
      </c>
      <c r="O3305">
        <v>53.199259956377503</v>
      </c>
      <c r="P3305">
        <v>-4.28914828777694E-2</v>
      </c>
      <c r="Q3305">
        <v>0</v>
      </c>
      <c r="R3305">
        <v>0.96028000029494798</v>
      </c>
      <c r="S3305" t="s">
        <v>6934</v>
      </c>
      <c r="T3305" t="s">
        <v>7256</v>
      </c>
      <c r="U3305" t="s">
        <v>7256</v>
      </c>
      <c r="V3305" t="s">
        <v>7256</v>
      </c>
      <c r="W3305">
        <v>1</v>
      </c>
      <c r="X3305" t="s">
        <v>10561</v>
      </c>
      <c r="Y3305">
        <v>0.54542828948584554</v>
      </c>
      <c r="Z3305" t="str">
        <f>HYPERLINK("Melting_Curves/meltCurve_tr_F2Z3M0_F2Z3M0_HUMAN_.pdf", "Melting_Curves/meltCurve_tr_F2Z3M0_F2Z3M0_HUMAN_.pdf")</f>
        <v>Melting_Curves/meltCurve_tr_F2Z3M0_F2Z3M0_HUMAN_.pdf</v>
      </c>
      <c r="AA3305" t="s">
        <v>14135</v>
      </c>
      <c r="AB3305" t="s">
        <v>17719</v>
      </c>
    </row>
    <row r="3306" spans="1:28" x14ac:dyDescent="0.25">
      <c r="A3306" t="s">
        <v>3310</v>
      </c>
      <c r="B3306">
        <v>0.98018197421672304</v>
      </c>
      <c r="C3306">
        <v>0.89336471061096201</v>
      </c>
      <c r="D3306">
        <v>0.89988577589434404</v>
      </c>
      <c r="E3306">
        <v>0.82747568718470299</v>
      </c>
      <c r="F3306">
        <v>0.66930702440658596</v>
      </c>
      <c r="G3306">
        <v>0.54888583184550999</v>
      </c>
      <c r="H3306">
        <v>0.40143565046950203</v>
      </c>
      <c r="I3306">
        <v>0.28702064559444701</v>
      </c>
      <c r="J3306">
        <v>0.215926918594955</v>
      </c>
      <c r="K3306">
        <v>9.7095353196268899E-2</v>
      </c>
      <c r="L3306">
        <v>537.52717137939999</v>
      </c>
      <c r="M3306">
        <v>9.3295786229070305</v>
      </c>
      <c r="N3306">
        <v>57.6153804170943</v>
      </c>
      <c r="O3306">
        <v>55.154080595997101</v>
      </c>
      <c r="P3306">
        <v>-4.2315500522275201E-2</v>
      </c>
      <c r="Q3306">
        <v>0</v>
      </c>
      <c r="R3306">
        <v>0.98770769579414597</v>
      </c>
      <c r="S3306" t="s">
        <v>6935</v>
      </c>
      <c r="T3306" t="s">
        <v>7256</v>
      </c>
      <c r="U3306" t="s">
        <v>7256</v>
      </c>
      <c r="V3306" t="s">
        <v>7256</v>
      </c>
      <c r="W3306">
        <v>2</v>
      </c>
      <c r="X3306" t="s">
        <v>10562</v>
      </c>
      <c r="Y3306">
        <v>0.59809100828723427</v>
      </c>
      <c r="Z3306" t="str">
        <f>HYPERLINK("Melting_Curves/meltCurve_tr_F5GWI4_F5GWI4_HUMAN_.pdf", "Melting_Curves/meltCurve_tr_F5GWI4_F5GWI4_HUMAN_.pdf")</f>
        <v>Melting_Curves/meltCurve_tr_F5GWI4_F5GWI4_HUMAN_.pdf</v>
      </c>
      <c r="AA3306" t="s">
        <v>14136</v>
      </c>
      <c r="AB3306" t="s">
        <v>17720</v>
      </c>
    </row>
    <row r="3307" spans="1:28" x14ac:dyDescent="0.25">
      <c r="A3307" t="s">
        <v>3311</v>
      </c>
      <c r="B3307">
        <v>0.98018197421672304</v>
      </c>
      <c r="C3307">
        <v>0.96486975206339498</v>
      </c>
      <c r="D3307">
        <v>0.25297660084615697</v>
      </c>
      <c r="E3307">
        <v>0.67664139362020104</v>
      </c>
      <c r="F3307">
        <v>0.45026079197484897</v>
      </c>
      <c r="G3307">
        <v>0.25008824637070598</v>
      </c>
      <c r="H3307">
        <v>0.344079062309326</v>
      </c>
      <c r="I3307">
        <v>0.34332116111539901</v>
      </c>
      <c r="J3307">
        <v>0.32610187752333097</v>
      </c>
      <c r="K3307">
        <v>0.236579919226861</v>
      </c>
      <c r="L3307">
        <v>10847.0891461222</v>
      </c>
      <c r="M3307">
        <v>250</v>
      </c>
      <c r="N3307">
        <v>43.610422590361502</v>
      </c>
      <c r="O3307">
        <v>43.385580212189403</v>
      </c>
      <c r="P3307">
        <v>-0.92195653681793099</v>
      </c>
      <c r="Q3307">
        <v>0.36000609513828002</v>
      </c>
      <c r="R3307">
        <v>0.80080481662115399</v>
      </c>
      <c r="S3307" t="s">
        <v>6936</v>
      </c>
      <c r="T3307" t="s">
        <v>7256</v>
      </c>
      <c r="U3307" t="s">
        <v>7256</v>
      </c>
      <c r="V3307" t="s">
        <v>7256</v>
      </c>
      <c r="W3307">
        <v>4</v>
      </c>
      <c r="X3307" t="s">
        <v>10563</v>
      </c>
      <c r="Y3307">
        <v>0.43233908009843558</v>
      </c>
      <c r="Z3307" t="str">
        <f>HYPERLINK("Melting_Curves/meltCurve_tr_F5GWI9_F5GWI9_HUMAN_.pdf", "Melting_Curves/meltCurve_tr_F5GWI9_F5GWI9_HUMAN_.pdf")</f>
        <v>Melting_Curves/meltCurve_tr_F5GWI9_F5GWI9_HUMAN_.pdf</v>
      </c>
      <c r="AA3307" t="s">
        <v>14137</v>
      </c>
      <c r="AB3307" t="s">
        <v>17721</v>
      </c>
    </row>
    <row r="3308" spans="1:28" x14ac:dyDescent="0.25">
      <c r="A3308" t="s">
        <v>3312</v>
      </c>
      <c r="B3308">
        <v>0.98018197421672304</v>
      </c>
      <c r="C3308">
        <v>0.90305443015416798</v>
      </c>
      <c r="D3308">
        <v>0.89646802407649395</v>
      </c>
      <c r="E3308">
        <v>0.727709595867996</v>
      </c>
      <c r="F3308">
        <v>0.48934387456116402</v>
      </c>
      <c r="G3308">
        <v>9.8209759119107898E-2</v>
      </c>
      <c r="H3308">
        <v>0.64416071240900896</v>
      </c>
      <c r="I3308">
        <v>0.13701340766231301</v>
      </c>
      <c r="J3308">
        <v>12.3117048612106</v>
      </c>
      <c r="K3308">
        <v>1.51739463960114</v>
      </c>
      <c r="L3308">
        <v>2098.0775493997699</v>
      </c>
      <c r="M3308">
        <v>34.554254055020799</v>
      </c>
      <c r="O3308">
        <v>60.516073952343703</v>
      </c>
      <c r="P3308">
        <v>7.1374388944591305E-2</v>
      </c>
      <c r="Q3308">
        <v>1.5</v>
      </c>
      <c r="R3308">
        <v>1.68422816100143E-2</v>
      </c>
      <c r="S3308" t="s">
        <v>6937</v>
      </c>
      <c r="T3308" t="s">
        <v>7256</v>
      </c>
      <c r="U3308" t="s">
        <v>7256</v>
      </c>
      <c r="V3308" t="s">
        <v>7256</v>
      </c>
      <c r="W3308">
        <v>17</v>
      </c>
      <c r="X3308" t="s">
        <v>10564</v>
      </c>
      <c r="Y3308">
        <v>1.152298623000291</v>
      </c>
      <c r="Z3308" t="str">
        <f>HYPERLINK("Melting_Curves/meltCurve_tr_F5GWP8_F5GWP8_HUMAN_.pdf", "Melting_Curves/meltCurve_tr_F5GWP8_F5GWP8_HUMAN_.pdf")</f>
        <v>Melting_Curves/meltCurve_tr_F5GWP8_F5GWP8_HUMAN_.pdf</v>
      </c>
      <c r="AA3308" t="s">
        <v>11491</v>
      </c>
      <c r="AB3308" t="s">
        <v>15046</v>
      </c>
    </row>
    <row r="3309" spans="1:28" x14ac:dyDescent="0.25">
      <c r="A3309" t="s">
        <v>3313</v>
      </c>
      <c r="B3309">
        <v>0.98018197421672304</v>
      </c>
      <c r="C3309">
        <v>0.975880950691419</v>
      </c>
      <c r="D3309">
        <v>0.89004567687606995</v>
      </c>
      <c r="E3309">
        <v>0.68926751372559902</v>
      </c>
      <c r="F3309">
        <v>0.42902564624971601</v>
      </c>
      <c r="G3309">
        <v>0.19975011716437299</v>
      </c>
      <c r="H3309">
        <v>0.14219957902552199</v>
      </c>
      <c r="I3309">
        <v>0.120774719806147</v>
      </c>
      <c r="J3309">
        <v>0.142822039394119</v>
      </c>
      <c r="K3309">
        <v>0.132786935370419</v>
      </c>
      <c r="L3309">
        <v>1026.26502618417</v>
      </c>
      <c r="M3309">
        <v>19.9945036676394</v>
      </c>
      <c r="N3309">
        <v>52.010993837555702</v>
      </c>
      <c r="O3309">
        <v>50.822201354419903</v>
      </c>
      <c r="P3309">
        <v>-8.6992483734379997E-2</v>
      </c>
      <c r="Q3309">
        <v>0.115555804083856</v>
      </c>
      <c r="R3309">
        <v>0.99777344336671003</v>
      </c>
      <c r="S3309" t="s">
        <v>6938</v>
      </c>
      <c r="T3309" t="s">
        <v>7256</v>
      </c>
      <c r="U3309" t="s">
        <v>7256</v>
      </c>
      <c r="V3309" t="s">
        <v>7256</v>
      </c>
      <c r="W3309">
        <v>12</v>
      </c>
      <c r="X3309" t="s">
        <v>10565</v>
      </c>
      <c r="Y3309">
        <v>0.46177636761946778</v>
      </c>
      <c r="Z3309" t="str">
        <f>HYPERLINK("Melting_Curves/meltCurve_tr_F5GWT4_F5GWT4_HUMAN_.pdf", "Melting_Curves/meltCurve_tr_F5GWT4_F5GWT4_HUMAN_.pdf")</f>
        <v>Melting_Curves/meltCurve_tr_F5GWT4_F5GWT4_HUMAN_.pdf</v>
      </c>
      <c r="AA3309" t="s">
        <v>14138</v>
      </c>
      <c r="AB3309" t="s">
        <v>17722</v>
      </c>
    </row>
    <row r="3310" spans="1:28" x14ac:dyDescent="0.25">
      <c r="A3310" t="s">
        <v>3314</v>
      </c>
      <c r="B3310">
        <v>0.98018197421672304</v>
      </c>
      <c r="C3310">
        <v>0.95497424736389103</v>
      </c>
      <c r="D3310">
        <v>0.83466924053529001</v>
      </c>
      <c r="E3310">
        <v>0.68612585976778195</v>
      </c>
      <c r="F3310">
        <v>0.43067297402003102</v>
      </c>
      <c r="G3310">
        <v>0.238676328305301</v>
      </c>
      <c r="H3310">
        <v>0.19814685360561199</v>
      </c>
      <c r="I3310">
        <v>0.18724389371693001</v>
      </c>
      <c r="J3310">
        <v>8.7265921491068196E-2</v>
      </c>
      <c r="K3310">
        <v>0.117002685772244</v>
      </c>
      <c r="L3310">
        <v>761.95529213161296</v>
      </c>
      <c r="M3310">
        <v>14.822496831770099</v>
      </c>
      <c r="N3310">
        <v>52.174079818605897</v>
      </c>
      <c r="O3310">
        <v>50.496876917822</v>
      </c>
      <c r="P3310">
        <v>-6.6191513863017706E-2</v>
      </c>
      <c r="Q3310">
        <v>9.8097712229575501E-2</v>
      </c>
      <c r="R3310">
        <v>0.99307610835260696</v>
      </c>
      <c r="S3310" t="s">
        <v>6939</v>
      </c>
      <c r="T3310" t="s">
        <v>7256</v>
      </c>
      <c r="U3310" t="s">
        <v>7256</v>
      </c>
      <c r="V3310" t="s">
        <v>7256</v>
      </c>
      <c r="W3310">
        <v>1</v>
      </c>
      <c r="X3310" t="s">
        <v>10566</v>
      </c>
      <c r="Y3310">
        <v>0.46194575193174392</v>
      </c>
      <c r="Z3310" t="str">
        <f>HYPERLINK("Melting_Curves/meltCurve_tr_F5GWU7_F5GWU7_HUMAN_.pdf", "Melting_Curves/meltCurve_tr_F5GWU7_F5GWU7_HUMAN_.pdf")</f>
        <v>Melting_Curves/meltCurve_tr_F5GWU7_F5GWU7_HUMAN_.pdf</v>
      </c>
      <c r="AA3310" t="s">
        <v>14139</v>
      </c>
      <c r="AB3310" t="s">
        <v>17723</v>
      </c>
    </row>
    <row r="3311" spans="1:28" x14ac:dyDescent="0.25">
      <c r="A3311" t="s">
        <v>3315</v>
      </c>
      <c r="B3311">
        <v>0.98018197421672304</v>
      </c>
      <c r="C3311">
        <v>0.911585259724495</v>
      </c>
      <c r="D3311">
        <v>0.82427048165291605</v>
      </c>
      <c r="E3311">
        <v>0.55063115768202997</v>
      </c>
      <c r="F3311">
        <v>0.32628871283664801</v>
      </c>
      <c r="G3311">
        <v>0.21152958974561201</v>
      </c>
      <c r="H3311">
        <v>0.131793147552453</v>
      </c>
      <c r="I3311">
        <v>0.105420595874303</v>
      </c>
      <c r="J3311">
        <v>0.13912081297583001</v>
      </c>
      <c r="K3311">
        <v>0.11032764156911699</v>
      </c>
      <c r="L3311">
        <v>815.833663276273</v>
      </c>
      <c r="M3311">
        <v>16.381284454125801</v>
      </c>
      <c r="N3311">
        <v>50.497136795177603</v>
      </c>
      <c r="O3311">
        <v>49.078355864959498</v>
      </c>
      <c r="P3311">
        <v>-7.5035354677644994E-2</v>
      </c>
      <c r="Q3311">
        <v>0.100840110826176</v>
      </c>
      <c r="R3311">
        <v>0.99768309786112297</v>
      </c>
      <c r="S3311" t="s">
        <v>6940</v>
      </c>
      <c r="T3311" t="s">
        <v>7256</v>
      </c>
      <c r="U3311" t="s">
        <v>7256</v>
      </c>
      <c r="V3311" t="s">
        <v>7256</v>
      </c>
      <c r="W3311">
        <v>10</v>
      </c>
      <c r="X3311" t="s">
        <v>10567</v>
      </c>
      <c r="Y3311">
        <v>0.41302039057585033</v>
      </c>
      <c r="Z3311" t="str">
        <f>HYPERLINK("Melting_Curves/meltCurve_tr_F5GWX5_F5GWX5_HUMAN_.pdf", "Melting_Curves/meltCurve_tr_F5GWX5_F5GWX5_HUMAN_.pdf")</f>
        <v>Melting_Curves/meltCurve_tr_F5GWX5_F5GWX5_HUMAN_.pdf</v>
      </c>
      <c r="AA3311" t="s">
        <v>14140</v>
      </c>
      <c r="AB3311" t="s">
        <v>17724</v>
      </c>
    </row>
    <row r="3312" spans="1:28" x14ac:dyDescent="0.25">
      <c r="A3312" t="s">
        <v>3316</v>
      </c>
      <c r="B3312">
        <v>0.98018197421672304</v>
      </c>
      <c r="C3312">
        <v>1.0191074962420199</v>
      </c>
      <c r="D3312">
        <v>0.89249583071331595</v>
      </c>
      <c r="E3312">
        <v>0.67687206449454895</v>
      </c>
      <c r="F3312">
        <v>0.49871655411128701</v>
      </c>
      <c r="G3312">
        <v>0.30131859438379599</v>
      </c>
      <c r="H3312">
        <v>0.159049219720441</v>
      </c>
      <c r="I3312">
        <v>0.111959956846512</v>
      </c>
      <c r="J3312">
        <v>0.15413164262547899</v>
      </c>
      <c r="K3312">
        <v>9.3587018096312896E-2</v>
      </c>
      <c r="L3312">
        <v>810.08503586617803</v>
      </c>
      <c r="M3312">
        <v>15.515729005287399</v>
      </c>
      <c r="N3312">
        <v>52.867578518297002</v>
      </c>
      <c r="O3312">
        <v>51.366342420096501</v>
      </c>
      <c r="P3312">
        <v>-6.8899606121362894E-2</v>
      </c>
      <c r="Q3312">
        <v>8.7685124825852306E-2</v>
      </c>
      <c r="R3312">
        <v>0.99542437627443603</v>
      </c>
      <c r="S3312" t="s">
        <v>6941</v>
      </c>
      <c r="T3312" t="s">
        <v>7256</v>
      </c>
      <c r="U3312" t="s">
        <v>7256</v>
      </c>
      <c r="V3312" t="s">
        <v>7256</v>
      </c>
      <c r="W3312">
        <v>2</v>
      </c>
      <c r="X3312" t="s">
        <v>10568</v>
      </c>
      <c r="Y3312">
        <v>0.47824598312475958</v>
      </c>
      <c r="Z3312" t="str">
        <f>HYPERLINK("Melting_Curves/meltCurve_tr_F5GX77_F5GX77_HUMAN_.pdf", "Melting_Curves/meltCurve_tr_F5GX77_F5GX77_HUMAN_.pdf")</f>
        <v>Melting_Curves/meltCurve_tr_F5GX77_F5GX77_HUMAN_.pdf</v>
      </c>
      <c r="AA3312" t="s">
        <v>14141</v>
      </c>
      <c r="AB3312" t="s">
        <v>17725</v>
      </c>
    </row>
    <row r="3313" spans="1:28" x14ac:dyDescent="0.25">
      <c r="A3313" t="s">
        <v>3317</v>
      </c>
      <c r="B3313">
        <v>0.98018197421672304</v>
      </c>
      <c r="C3313">
        <v>0.95875075768073104</v>
      </c>
      <c r="D3313">
        <v>0.89383968522761303</v>
      </c>
      <c r="E3313">
        <v>0.45330682456098498</v>
      </c>
      <c r="F3313">
        <v>0.14647242175622599</v>
      </c>
      <c r="G3313">
        <v>9.0001652755306E-2</v>
      </c>
      <c r="H3313">
        <v>6.1558046927164198E-2</v>
      </c>
      <c r="I3313">
        <v>5.34206748252192E-2</v>
      </c>
      <c r="J3313">
        <v>5.4668258818098898E-2</v>
      </c>
      <c r="K3313">
        <v>7.3031897905674603E-2</v>
      </c>
      <c r="L3313">
        <v>1440.0122554295799</v>
      </c>
      <c r="M3313">
        <v>29.183317060573099</v>
      </c>
      <c r="N3313">
        <v>49.556804640333901</v>
      </c>
      <c r="O3313">
        <v>49.113740325262199</v>
      </c>
      <c r="P3313">
        <v>-0.13979017138703301</v>
      </c>
      <c r="Q3313">
        <v>5.89738228080555E-2</v>
      </c>
      <c r="R3313">
        <v>0.99841446833425096</v>
      </c>
      <c r="S3313" t="s">
        <v>6942</v>
      </c>
      <c r="T3313" t="s">
        <v>7256</v>
      </c>
      <c r="U3313" t="s">
        <v>7256</v>
      </c>
      <c r="V3313" t="s">
        <v>7256</v>
      </c>
      <c r="W3313">
        <v>16</v>
      </c>
      <c r="X3313" t="s">
        <v>10569</v>
      </c>
      <c r="Y3313">
        <v>0.35815631777191609</v>
      </c>
      <c r="Z3313" t="str">
        <f>HYPERLINK("Melting_Curves/meltCurve_tr_F5GXC8_F5GXC8_HUMAN_.pdf", "Melting_Curves/meltCurve_tr_F5GXC8_F5GXC8_HUMAN_.pdf")</f>
        <v>Melting_Curves/meltCurve_tr_F5GXC8_F5GXC8_HUMAN_.pdf</v>
      </c>
      <c r="AA3313" t="s">
        <v>14142</v>
      </c>
      <c r="AB3313" t="s">
        <v>17726</v>
      </c>
    </row>
    <row r="3314" spans="1:28" x14ac:dyDescent="0.25">
      <c r="A3314" t="s">
        <v>3318</v>
      </c>
      <c r="B3314">
        <v>0.98018197421672304</v>
      </c>
      <c r="C3314">
        <v>0.89300235385125504</v>
      </c>
      <c r="D3314">
        <v>0.75585600338764303</v>
      </c>
      <c r="E3314">
        <v>0.43306079291645799</v>
      </c>
      <c r="F3314">
        <v>0.243544060782793</v>
      </c>
      <c r="G3314">
        <v>0.162480228727368</v>
      </c>
      <c r="H3314">
        <v>0.100875172274751</v>
      </c>
      <c r="I3314">
        <v>6.4338094212174304E-2</v>
      </c>
      <c r="J3314">
        <v>7.1343868153094403E-2</v>
      </c>
      <c r="K3314">
        <v>6.2805358149846099E-2</v>
      </c>
      <c r="L3314">
        <v>795.72351638280304</v>
      </c>
      <c r="M3314">
        <v>16.322293896691299</v>
      </c>
      <c r="N3314">
        <v>49.131366951164402</v>
      </c>
      <c r="O3314">
        <v>48.0365744727739</v>
      </c>
      <c r="P3314">
        <v>-7.9907594341952298E-2</v>
      </c>
      <c r="Q3314">
        <v>5.9394770893601498E-2</v>
      </c>
      <c r="R3314">
        <v>0.99879721386853004</v>
      </c>
      <c r="S3314" t="s">
        <v>6943</v>
      </c>
      <c r="T3314" t="s">
        <v>7256</v>
      </c>
      <c r="U3314" t="s">
        <v>7256</v>
      </c>
      <c r="V3314" t="s">
        <v>7256</v>
      </c>
      <c r="W3314">
        <v>4</v>
      </c>
      <c r="X3314" t="s">
        <v>10570</v>
      </c>
      <c r="Y3314">
        <v>0.35365914438201368</v>
      </c>
      <c r="Z3314" t="str">
        <f>HYPERLINK("Melting_Curves/meltCurve_tr_F5GY80_F5GY80_HUMAN_.pdf", "Melting_Curves/meltCurve_tr_F5GY80_F5GY80_HUMAN_.pdf")</f>
        <v>Melting_Curves/meltCurve_tr_F5GY80_F5GY80_HUMAN_.pdf</v>
      </c>
      <c r="AA3314" t="s">
        <v>14143</v>
      </c>
      <c r="AB3314" t="s">
        <v>17727</v>
      </c>
    </row>
    <row r="3315" spans="1:28" x14ac:dyDescent="0.25">
      <c r="A3315" t="s">
        <v>3319</v>
      </c>
      <c r="B3315">
        <v>0.98018197421672304</v>
      </c>
      <c r="C3315">
        <v>0.94884694910757195</v>
      </c>
      <c r="D3315">
        <v>0.80426829169095304</v>
      </c>
      <c r="E3315">
        <v>0.47780079257507302</v>
      </c>
      <c r="F3315">
        <v>0.26015594758803501</v>
      </c>
      <c r="G3315">
        <v>0.12657099470239</v>
      </c>
      <c r="H3315">
        <v>8.8612054598385406E-2</v>
      </c>
      <c r="I3315">
        <v>6.3372376315800394E-2</v>
      </c>
      <c r="J3315">
        <v>9.9454159154473906E-2</v>
      </c>
      <c r="K3315">
        <v>5.5261731432157603E-2</v>
      </c>
      <c r="L3315">
        <v>929.01264706367294</v>
      </c>
      <c r="M3315">
        <v>18.838682833747001</v>
      </c>
      <c r="N3315">
        <v>49.673923214707699</v>
      </c>
      <c r="O3315">
        <v>48.768506290462099</v>
      </c>
      <c r="P3315">
        <v>-9.0416293593787805E-2</v>
      </c>
      <c r="Q3315">
        <v>6.3780508817834397E-2</v>
      </c>
      <c r="R3315">
        <v>0.99899654596383203</v>
      </c>
      <c r="S3315" t="s">
        <v>6944</v>
      </c>
      <c r="T3315" t="s">
        <v>7256</v>
      </c>
      <c r="U3315" t="s">
        <v>7256</v>
      </c>
      <c r="V3315" t="s">
        <v>7256</v>
      </c>
      <c r="W3315">
        <v>13</v>
      </c>
      <c r="X3315" t="s">
        <v>10571</v>
      </c>
      <c r="Y3315">
        <v>0.36918815098545621</v>
      </c>
      <c r="Z3315" t="str">
        <f>HYPERLINK("Melting_Curves/meltCurve_tr_F5GYC4_F5GYC4_HUMAN_.pdf", "Melting_Curves/meltCurve_tr_F5GYC4_F5GYC4_HUMAN_.pdf")</f>
        <v>Melting_Curves/meltCurve_tr_F5GYC4_F5GYC4_HUMAN_.pdf</v>
      </c>
      <c r="AA3315" t="s">
        <v>14144</v>
      </c>
      <c r="AB3315" t="s">
        <v>17728</v>
      </c>
    </row>
    <row r="3316" spans="1:28" x14ac:dyDescent="0.25">
      <c r="A3316" t="s">
        <v>3320</v>
      </c>
      <c r="B3316">
        <v>0.98018197421672304</v>
      </c>
      <c r="C3316">
        <v>1.0076537392979701</v>
      </c>
      <c r="D3316">
        <v>0.92755482521200605</v>
      </c>
      <c r="E3316">
        <v>0.82446167547715199</v>
      </c>
      <c r="F3316">
        <v>0.78304441719745199</v>
      </c>
      <c r="G3316">
        <v>0.58771382056106203</v>
      </c>
      <c r="H3316">
        <v>0.422596114704054</v>
      </c>
      <c r="I3316">
        <v>0.38805889253172599</v>
      </c>
      <c r="J3316">
        <v>0.36834332591767199</v>
      </c>
      <c r="K3316">
        <v>0.47040544925095301</v>
      </c>
      <c r="L3316">
        <v>841.584981147451</v>
      </c>
      <c r="M3316">
        <v>15.555903596811399</v>
      </c>
      <c r="N3316">
        <v>59.301775671851601</v>
      </c>
      <c r="O3316">
        <v>53.230284665929297</v>
      </c>
      <c r="P3316">
        <v>-4.5868913325436002E-2</v>
      </c>
      <c r="Q3316">
        <v>0.37222509957073202</v>
      </c>
      <c r="R3316">
        <v>0.97206810790960996</v>
      </c>
      <c r="S3316" t="s">
        <v>6945</v>
      </c>
      <c r="T3316" t="s">
        <v>7256</v>
      </c>
      <c r="U3316" t="s">
        <v>7256</v>
      </c>
      <c r="V3316" t="s">
        <v>7256</v>
      </c>
      <c r="W3316">
        <v>4</v>
      </c>
      <c r="X3316" t="s">
        <v>10572</v>
      </c>
      <c r="Y3316">
        <v>0.67953415098601977</v>
      </c>
      <c r="Z3316" t="str">
        <f>HYPERLINK("Melting_Curves/meltCurve_tr_F5GYJ5_F5GYJ5_HUMAN_.pdf", "Melting_Curves/meltCurve_tr_F5GYJ5_F5GYJ5_HUMAN_.pdf")</f>
        <v>Melting_Curves/meltCurve_tr_F5GYJ5_F5GYJ5_HUMAN_.pdf</v>
      </c>
      <c r="AB3316" t="s">
        <v>17729</v>
      </c>
    </row>
    <row r="3317" spans="1:28" x14ac:dyDescent="0.25">
      <c r="A3317" t="s">
        <v>3321</v>
      </c>
      <c r="B3317">
        <v>0.98018197421672304</v>
      </c>
      <c r="C3317">
        <v>0.74035234473456402</v>
      </c>
      <c r="D3317">
        <v>0.80274982811821005</v>
      </c>
      <c r="E3317">
        <v>0.79777568306913504</v>
      </c>
      <c r="F3317">
        <v>0.30719044647439397</v>
      </c>
      <c r="G3317">
        <v>8.2301929813361402E-2</v>
      </c>
      <c r="H3317">
        <v>3.5955948195176599E-2</v>
      </c>
      <c r="I3317">
        <v>2.95482964101485E-2</v>
      </c>
      <c r="J3317">
        <v>1.7882598493761E-2</v>
      </c>
      <c r="K3317">
        <v>9.6297311054934706E-3</v>
      </c>
      <c r="L3317">
        <v>1053.95925839045</v>
      </c>
      <c r="M3317">
        <v>20.424051367470302</v>
      </c>
      <c r="N3317">
        <v>51.603812107078397</v>
      </c>
      <c r="O3317">
        <v>51.116762185827099</v>
      </c>
      <c r="P3317">
        <v>-9.9892199465288503E-2</v>
      </c>
      <c r="Q3317">
        <v>0</v>
      </c>
      <c r="R3317">
        <v>0.93099340544297005</v>
      </c>
      <c r="S3317" t="s">
        <v>6946</v>
      </c>
      <c r="T3317" t="s">
        <v>7256</v>
      </c>
      <c r="U3317" t="s">
        <v>7256</v>
      </c>
      <c r="V3317" t="s">
        <v>7256</v>
      </c>
      <c r="W3317">
        <v>3</v>
      </c>
      <c r="X3317" t="s">
        <v>10573</v>
      </c>
      <c r="Y3317">
        <v>0.40013068137137581</v>
      </c>
      <c r="Z3317" t="str">
        <f>HYPERLINK("Melting_Curves/meltCurve_tr_F5GYK2_F5GYK2_HUMAN_.pdf", "Melting_Curves/meltCurve_tr_F5GYK2_F5GYK2_HUMAN_.pdf")</f>
        <v>Melting_Curves/meltCurve_tr_F5GYK2_F5GYK2_HUMAN_.pdf</v>
      </c>
      <c r="AA3317" t="s">
        <v>14145</v>
      </c>
      <c r="AB3317" t="s">
        <v>17730</v>
      </c>
    </row>
    <row r="3318" spans="1:28" x14ac:dyDescent="0.25">
      <c r="A3318" t="s">
        <v>3322</v>
      </c>
      <c r="B3318">
        <v>0.98018197421672304</v>
      </c>
      <c r="C3318">
        <v>0.97671918101334898</v>
      </c>
      <c r="D3318">
        <v>0.94673257707132596</v>
      </c>
      <c r="E3318">
        <v>0.808252649411346</v>
      </c>
      <c r="F3318">
        <v>0.62699808668066903</v>
      </c>
      <c r="G3318">
        <v>0.156228042160377</v>
      </c>
      <c r="H3318">
        <v>8.3878237776202999E-2</v>
      </c>
      <c r="I3318">
        <v>6.8782233041262103E-2</v>
      </c>
      <c r="J3318">
        <v>7.1621853196638705E-2</v>
      </c>
      <c r="K3318">
        <v>5.7646181464653799E-2</v>
      </c>
      <c r="L3318">
        <v>1362.8353664203801</v>
      </c>
      <c r="M3318">
        <v>25.520476896832101</v>
      </c>
      <c r="N3318">
        <v>53.6198944714722</v>
      </c>
      <c r="O3318">
        <v>53.076987863490601</v>
      </c>
      <c r="P3318">
        <v>-0.114276429063091</v>
      </c>
      <c r="Q3318">
        <v>4.9332269465066698E-2</v>
      </c>
      <c r="R3318">
        <v>0.99326417114643994</v>
      </c>
      <c r="S3318" t="s">
        <v>6947</v>
      </c>
      <c r="T3318" t="s">
        <v>7256</v>
      </c>
      <c r="U3318" t="s">
        <v>7256</v>
      </c>
      <c r="V3318" t="s">
        <v>7256</v>
      </c>
      <c r="W3318">
        <v>10</v>
      </c>
      <c r="X3318" t="s">
        <v>10574</v>
      </c>
      <c r="Y3318">
        <v>0.48246064219003643</v>
      </c>
      <c r="Z3318" t="str">
        <f>HYPERLINK("Melting_Curves/meltCurve_tr_F5GYN4_F5GYN4_HUMAN_.pdf", "Melting_Curves/meltCurve_tr_F5GYN4_F5GYN4_HUMAN_.pdf")</f>
        <v>Melting_Curves/meltCurve_tr_F5GYN4_F5GYN4_HUMAN_.pdf</v>
      </c>
      <c r="AA3318" t="s">
        <v>14146</v>
      </c>
      <c r="AB3318" t="s">
        <v>17731</v>
      </c>
    </row>
    <row r="3319" spans="1:28" x14ac:dyDescent="0.25">
      <c r="A3319" t="s">
        <v>3323</v>
      </c>
      <c r="B3319">
        <v>0.98018197421672304</v>
      </c>
      <c r="C3319">
        <v>0.68304702508590798</v>
      </c>
      <c r="D3319">
        <v>0.851599220561848</v>
      </c>
      <c r="E3319">
        <v>0.69347130516389699</v>
      </c>
      <c r="F3319">
        <v>0.74045689944303905</v>
      </c>
      <c r="G3319">
        <v>0.54749392906738603</v>
      </c>
      <c r="H3319">
        <v>0.42330877406630102</v>
      </c>
      <c r="I3319">
        <v>0.37157434061389899</v>
      </c>
      <c r="J3319">
        <v>0.30406871320958301</v>
      </c>
      <c r="K3319">
        <v>0.260634506930354</v>
      </c>
      <c r="L3319">
        <v>317.43686204478303</v>
      </c>
      <c r="M3319">
        <v>5.4520238478736003</v>
      </c>
      <c r="N3319">
        <v>58.223674529160299</v>
      </c>
      <c r="O3319">
        <v>51.7893833950302</v>
      </c>
      <c r="P3319">
        <v>-2.6437787088808101E-2</v>
      </c>
      <c r="Q3319">
        <v>0</v>
      </c>
      <c r="R3319">
        <v>0.894362561834949</v>
      </c>
      <c r="S3319" t="s">
        <v>6948</v>
      </c>
      <c r="T3319" t="s">
        <v>7256</v>
      </c>
      <c r="U3319" t="s">
        <v>7256</v>
      </c>
      <c r="V3319" t="s">
        <v>7256</v>
      </c>
      <c r="W3319">
        <v>3</v>
      </c>
      <c r="X3319" t="s">
        <v>10575</v>
      </c>
      <c r="Y3319">
        <v>0.59117426095762204</v>
      </c>
      <c r="Z3319" t="str">
        <f>HYPERLINK("Melting_Curves/meltCurve_tr_F5GZ54_F5GZ54_HUMAN_.pdf", "Melting_Curves/meltCurve_tr_F5GZ54_F5GZ54_HUMAN_.pdf")</f>
        <v>Melting_Curves/meltCurve_tr_F5GZ54_F5GZ54_HUMAN_.pdf</v>
      </c>
      <c r="AA3319" t="s">
        <v>13148</v>
      </c>
      <c r="AB3319" t="s">
        <v>17732</v>
      </c>
    </row>
    <row r="3320" spans="1:28" x14ac:dyDescent="0.25">
      <c r="A3320" t="s">
        <v>3324</v>
      </c>
      <c r="B3320">
        <v>0.98018197421672304</v>
      </c>
      <c r="C3320">
        <v>0.98839804004801302</v>
      </c>
      <c r="D3320">
        <v>0.98148422519172296</v>
      </c>
      <c r="E3320">
        <v>0.82623179672714697</v>
      </c>
      <c r="F3320">
        <v>0.63020767505003095</v>
      </c>
      <c r="G3320">
        <v>0.421569684016603</v>
      </c>
      <c r="H3320">
        <v>0.46924064813940403</v>
      </c>
      <c r="I3320">
        <v>0.54232209444230095</v>
      </c>
      <c r="J3320">
        <v>0.54137572868927697</v>
      </c>
      <c r="K3320">
        <v>0.65051665394657898</v>
      </c>
      <c r="L3320">
        <v>1966.2489074536099</v>
      </c>
      <c r="M3320">
        <v>38.720573947944999</v>
      </c>
      <c r="O3320">
        <v>50.6455941143196</v>
      </c>
      <c r="P3320">
        <v>-9.0326075731766001E-2</v>
      </c>
      <c r="Q3320">
        <v>0.527423686041115</v>
      </c>
      <c r="R3320">
        <v>0.92580366654757795</v>
      </c>
      <c r="S3320" t="s">
        <v>6949</v>
      </c>
      <c r="T3320" t="s">
        <v>7256</v>
      </c>
      <c r="U3320" t="s">
        <v>7256</v>
      </c>
      <c r="V3320" t="s">
        <v>7256</v>
      </c>
      <c r="W3320">
        <v>10</v>
      </c>
      <c r="X3320" t="s">
        <v>10576</v>
      </c>
      <c r="Y3320">
        <v>0.69901462566639461</v>
      </c>
      <c r="Z3320" t="str">
        <f>HYPERLINK("Melting_Curves/meltCurve_tr_F5GZ78_F5GZ78_HUMAN_.pdf", "Melting_Curves/meltCurve_tr_F5GZ78_F5GZ78_HUMAN_.pdf")</f>
        <v>Melting_Curves/meltCurve_tr_F5GZ78_F5GZ78_HUMAN_.pdf</v>
      </c>
      <c r="AA3320" t="s">
        <v>14147</v>
      </c>
      <c r="AB3320" t="s">
        <v>17733</v>
      </c>
    </row>
    <row r="3321" spans="1:28" x14ac:dyDescent="0.25">
      <c r="A3321" t="s">
        <v>3325</v>
      </c>
      <c r="B3321">
        <v>0.98018197421672304</v>
      </c>
      <c r="C3321">
        <v>1.21366041204986</v>
      </c>
      <c r="D3321">
        <v>0.68092640836620499</v>
      </c>
      <c r="E3321">
        <v>0.69881387085192204</v>
      </c>
      <c r="F3321">
        <v>0.82242660312409399</v>
      </c>
      <c r="G3321">
        <v>0.60062519171518003</v>
      </c>
      <c r="H3321">
        <v>0.40336288931800202</v>
      </c>
      <c r="I3321">
        <v>0.16153521572895899</v>
      </c>
      <c r="J3321">
        <v>0.54932266139378705</v>
      </c>
      <c r="K3321">
        <v>0.558186207999819</v>
      </c>
      <c r="L3321">
        <v>648.84024246334695</v>
      </c>
      <c r="M3321">
        <v>12.525783104210801</v>
      </c>
      <c r="N3321">
        <v>59.446898805141103</v>
      </c>
      <c r="O3321">
        <v>50.533242402362497</v>
      </c>
      <c r="P3321">
        <v>-3.7177722118638797E-2</v>
      </c>
      <c r="Q3321">
        <v>0.40017245623578901</v>
      </c>
      <c r="R3321">
        <v>0.65525311413619902</v>
      </c>
      <c r="S3321" t="s">
        <v>6950</v>
      </c>
      <c r="T3321" t="s">
        <v>7256</v>
      </c>
      <c r="U3321" t="s">
        <v>7256</v>
      </c>
      <c r="V3321" t="s">
        <v>7256</v>
      </c>
      <c r="W3321">
        <v>3</v>
      </c>
      <c r="X3321" t="s">
        <v>10577</v>
      </c>
      <c r="Y3321">
        <v>0.6536761997112055</v>
      </c>
      <c r="Z3321" t="str">
        <f>HYPERLINK("Melting_Curves/meltCurve_tr_F5GZU5_F5GZU5_HUMAN_.pdf", "Melting_Curves/meltCurve_tr_F5GZU5_F5GZU5_HUMAN_.pdf")</f>
        <v>Melting_Curves/meltCurve_tr_F5GZU5_F5GZU5_HUMAN_.pdf</v>
      </c>
      <c r="AA3321" t="s">
        <v>14148</v>
      </c>
      <c r="AB3321" t="s">
        <v>17734</v>
      </c>
    </row>
    <row r="3322" spans="1:28" x14ac:dyDescent="0.25">
      <c r="A3322" t="s">
        <v>3326</v>
      </c>
      <c r="B3322">
        <v>0.98018197421672304</v>
      </c>
      <c r="C3322">
        <v>0.88041422318073503</v>
      </c>
      <c r="D3322">
        <v>0.83927624725108096</v>
      </c>
      <c r="E3322">
        <v>0.79425269016722699</v>
      </c>
      <c r="F3322">
        <v>0.63934799576258405</v>
      </c>
      <c r="G3322">
        <v>0.48838389508107399</v>
      </c>
      <c r="H3322">
        <v>0.39647436851790602</v>
      </c>
      <c r="I3322">
        <v>0.364875900462861</v>
      </c>
      <c r="J3322">
        <v>0.39807745966150199</v>
      </c>
      <c r="K3322">
        <v>0.28858195802931402</v>
      </c>
      <c r="L3322">
        <v>480.301440951686</v>
      </c>
      <c r="M3322">
        <v>8.9460578762696095</v>
      </c>
      <c r="N3322">
        <v>57.568780726049198</v>
      </c>
      <c r="O3322">
        <v>51.2093250982252</v>
      </c>
      <c r="P3322">
        <v>-3.3810957524032501E-2</v>
      </c>
      <c r="Q3322">
        <v>0.226407568044283</v>
      </c>
      <c r="R3322">
        <v>0.97934318042843604</v>
      </c>
      <c r="S3322" t="s">
        <v>6951</v>
      </c>
      <c r="T3322" t="s">
        <v>7256</v>
      </c>
      <c r="U3322" t="s">
        <v>7256</v>
      </c>
      <c r="V3322" t="s">
        <v>7256</v>
      </c>
      <c r="W3322">
        <v>8</v>
      </c>
      <c r="X3322" t="s">
        <v>10578</v>
      </c>
      <c r="Y3322">
        <v>0.60568141527896369</v>
      </c>
      <c r="Z3322" t="str">
        <f>HYPERLINK("Melting_Curves/meltCurve_tr_F5GZZ9_F5GZZ9_HUMAN_.pdf", "Melting_Curves/meltCurve_tr_F5GZZ9_F5GZZ9_HUMAN_.pdf")</f>
        <v>Melting_Curves/meltCurve_tr_F5GZZ9_F5GZZ9_HUMAN_.pdf</v>
      </c>
      <c r="AA3322" t="s">
        <v>14149</v>
      </c>
      <c r="AB3322" t="s">
        <v>17735</v>
      </c>
    </row>
    <row r="3323" spans="1:28" x14ac:dyDescent="0.25">
      <c r="A3323" t="s">
        <v>3327</v>
      </c>
      <c r="B3323">
        <v>0.98018197421672304</v>
      </c>
      <c r="C3323">
        <v>0.92888998266326905</v>
      </c>
      <c r="D3323">
        <v>0.79659549779491201</v>
      </c>
      <c r="E3323">
        <v>0.35965014995608402</v>
      </c>
      <c r="F3323">
        <v>0.20296020725255601</v>
      </c>
      <c r="G3323">
        <v>0.107118574412572</v>
      </c>
      <c r="H3323">
        <v>8.2640937328484002E-2</v>
      </c>
      <c r="I3323">
        <v>6.6066875356471405E-2</v>
      </c>
      <c r="J3323">
        <v>0.14054209299966</v>
      </c>
      <c r="K3323">
        <v>7.1152245416042897E-2</v>
      </c>
      <c r="L3323">
        <v>1116.6991458571299</v>
      </c>
      <c r="M3323">
        <v>23.124350368795099</v>
      </c>
      <c r="N3323">
        <v>48.692914311811101</v>
      </c>
      <c r="O3323">
        <v>47.934252932386201</v>
      </c>
      <c r="P3323">
        <v>-0.11012958878515</v>
      </c>
      <c r="Q3323">
        <v>8.6870227781321099E-2</v>
      </c>
      <c r="R3323">
        <v>0.996089832543124</v>
      </c>
      <c r="S3323" t="s">
        <v>6952</v>
      </c>
      <c r="T3323" t="s">
        <v>7256</v>
      </c>
      <c r="U3323" t="s">
        <v>7256</v>
      </c>
      <c r="V3323" t="s">
        <v>7256</v>
      </c>
      <c r="W3323">
        <v>6</v>
      </c>
      <c r="X3323" t="s">
        <v>10579</v>
      </c>
      <c r="Y3323">
        <v>0.34874028582952887</v>
      </c>
      <c r="Z3323" t="str">
        <f>HYPERLINK("Melting_Curves/meltCurve_tr_F5H012_F5H012_HUMAN_.pdf", "Melting_Curves/meltCurve_tr_F5H012_F5H012_HUMAN_.pdf")</f>
        <v>Melting_Curves/meltCurve_tr_F5H012_F5H012_HUMAN_.pdf</v>
      </c>
      <c r="AA3323" t="s">
        <v>14150</v>
      </c>
      <c r="AB3323" t="s">
        <v>17736</v>
      </c>
    </row>
    <row r="3324" spans="1:28" x14ac:dyDescent="0.25">
      <c r="A3324" t="s">
        <v>3328</v>
      </c>
      <c r="B3324">
        <v>0.98018197421672304</v>
      </c>
      <c r="C3324">
        <v>1.0612006013859501</v>
      </c>
      <c r="D3324">
        <v>0.99877711923144696</v>
      </c>
      <c r="E3324">
        <v>0.86423177981545096</v>
      </c>
      <c r="F3324">
        <v>0.782750999702717</v>
      </c>
      <c r="G3324">
        <v>0.48301465943598898</v>
      </c>
      <c r="H3324">
        <v>0.48787068743165302</v>
      </c>
      <c r="I3324">
        <v>0.5380396938823</v>
      </c>
      <c r="J3324">
        <v>0.40919967645133898</v>
      </c>
      <c r="K3324">
        <v>0.66312805207801095</v>
      </c>
      <c r="L3324">
        <v>1623.8541644669201</v>
      </c>
      <c r="M3324">
        <v>30.860392550490999</v>
      </c>
      <c r="O3324">
        <v>52.399895904796701</v>
      </c>
      <c r="P3324">
        <v>-7.1936338334143202E-2</v>
      </c>
      <c r="Q3324">
        <v>0.51142107339378595</v>
      </c>
      <c r="R3324">
        <v>0.90528509781840605</v>
      </c>
      <c r="S3324" t="s">
        <v>6953</v>
      </c>
      <c r="T3324" t="s">
        <v>7256</v>
      </c>
      <c r="U3324" t="s">
        <v>7256</v>
      </c>
      <c r="V3324" t="s">
        <v>7256</v>
      </c>
      <c r="W3324">
        <v>8</v>
      </c>
      <c r="X3324" t="s">
        <v>10580</v>
      </c>
      <c r="Y3324">
        <v>0.71991979264829931</v>
      </c>
      <c r="Z3324" t="str">
        <f>HYPERLINK("Melting_Curves/meltCurve_tr_F5H0B0_F5H0B0_HUMAN_.pdf", "Melting_Curves/meltCurve_tr_F5H0B0_F5H0B0_HUMAN_.pdf")</f>
        <v>Melting_Curves/meltCurve_tr_F5H0B0_F5H0B0_HUMAN_.pdf</v>
      </c>
      <c r="AA3324" t="s">
        <v>14151</v>
      </c>
      <c r="AB3324" t="s">
        <v>17737</v>
      </c>
    </row>
    <row r="3325" spans="1:28" x14ac:dyDescent="0.25">
      <c r="A3325" t="s">
        <v>3329</v>
      </c>
      <c r="B3325">
        <v>0.98018197421672304</v>
      </c>
      <c r="C3325">
        <v>0.88534816434889196</v>
      </c>
      <c r="D3325">
        <v>0.808889838736356</v>
      </c>
      <c r="E3325">
        <v>0.47498988992086399</v>
      </c>
      <c r="F3325">
        <v>0.20547479953757899</v>
      </c>
      <c r="G3325">
        <v>0.123091274700161</v>
      </c>
      <c r="H3325">
        <v>8.7341116648703795E-2</v>
      </c>
      <c r="I3325">
        <v>7.5751771447337607E-2</v>
      </c>
      <c r="J3325">
        <v>7.8829114218983004E-2</v>
      </c>
      <c r="K3325">
        <v>5.9295691765741801E-2</v>
      </c>
      <c r="L3325">
        <v>927.96864647491202</v>
      </c>
      <c r="M3325">
        <v>18.914573969928199</v>
      </c>
      <c r="N3325">
        <v>49.397564552300899</v>
      </c>
      <c r="O3325">
        <v>48.522511870076002</v>
      </c>
      <c r="P3325">
        <v>-9.1565248017596995E-2</v>
      </c>
      <c r="Q3325">
        <v>6.0450306383380101E-2</v>
      </c>
      <c r="R3325">
        <v>0.99525006309755004</v>
      </c>
      <c r="S3325" t="s">
        <v>6954</v>
      </c>
      <c r="T3325" t="s">
        <v>7256</v>
      </c>
      <c r="U3325" t="s">
        <v>7256</v>
      </c>
      <c r="V3325" t="s">
        <v>7256</v>
      </c>
      <c r="W3325">
        <v>14</v>
      </c>
      <c r="X3325" t="s">
        <v>10581</v>
      </c>
      <c r="Y3325">
        <v>0.35894891951912439</v>
      </c>
      <c r="Z3325" t="str">
        <f>HYPERLINK("Melting_Curves/meltCurve_tr_F5H0L8_F5H0L8_HUMAN_.pdf", "Melting_Curves/meltCurve_tr_F5H0L8_F5H0L8_HUMAN_.pdf")</f>
        <v>Melting_Curves/meltCurve_tr_F5H0L8_F5H0L8_HUMAN_.pdf</v>
      </c>
      <c r="AA3325" t="s">
        <v>14152</v>
      </c>
      <c r="AB3325" t="s">
        <v>17738</v>
      </c>
    </row>
    <row r="3326" spans="1:28" x14ac:dyDescent="0.25">
      <c r="A3326" t="s">
        <v>3330</v>
      </c>
      <c r="B3326">
        <v>0.98018197421672304</v>
      </c>
      <c r="C3326">
        <v>0.91451366011844504</v>
      </c>
      <c r="D3326">
        <v>0.79177437448697097</v>
      </c>
      <c r="E3326">
        <v>0.48042157693214499</v>
      </c>
      <c r="F3326">
        <v>0.26995996890747398</v>
      </c>
      <c r="G3326">
        <v>0.114940061732844</v>
      </c>
      <c r="H3326">
        <v>9.6926163072311805E-2</v>
      </c>
      <c r="I3326">
        <v>6.7505077813546602E-2</v>
      </c>
      <c r="J3326">
        <v>8.5830393182370901E-2</v>
      </c>
      <c r="K3326">
        <v>7.5597041550567803E-2</v>
      </c>
      <c r="L3326">
        <v>867.77525482157102</v>
      </c>
      <c r="M3326">
        <v>17.6236722470506</v>
      </c>
      <c r="N3326">
        <v>49.6117153704445</v>
      </c>
      <c r="O3326">
        <v>48.618338429775001</v>
      </c>
      <c r="P3326">
        <v>-8.5010677313082206E-2</v>
      </c>
      <c r="Q3326">
        <v>6.1976143040201798E-2</v>
      </c>
      <c r="R3326">
        <v>0.99868596289594402</v>
      </c>
      <c r="S3326" t="s">
        <v>6955</v>
      </c>
      <c r="T3326" t="s">
        <v>7256</v>
      </c>
      <c r="U3326" t="s">
        <v>7256</v>
      </c>
      <c r="V3326" t="s">
        <v>7256</v>
      </c>
      <c r="W3326">
        <v>3</v>
      </c>
      <c r="X3326" t="s">
        <v>10582</v>
      </c>
      <c r="Y3326">
        <v>0.36772603376487267</v>
      </c>
      <c r="Z3326" t="str">
        <f>HYPERLINK("Melting_Curves/meltCurve_tr_F5H157_F5H157_HUMAN_.pdf", "Melting_Curves/meltCurve_tr_F5H157_F5H157_HUMAN_.pdf")</f>
        <v>Melting_Curves/meltCurve_tr_F5H157_F5H157_HUMAN_.pdf</v>
      </c>
      <c r="AA3326" t="s">
        <v>14153</v>
      </c>
      <c r="AB3326" t="s">
        <v>17739</v>
      </c>
    </row>
    <row r="3327" spans="1:28" x14ac:dyDescent="0.25">
      <c r="A3327" t="s">
        <v>3331</v>
      </c>
      <c r="B3327">
        <v>0.98018197421672304</v>
      </c>
      <c r="C3327">
        <v>0.93760270911173504</v>
      </c>
      <c r="D3327">
        <v>0.949405383999811</v>
      </c>
      <c r="E3327">
        <v>0.86974798932845598</v>
      </c>
      <c r="F3327">
        <v>0.810806334227687</v>
      </c>
      <c r="G3327">
        <v>0.72901799558917302</v>
      </c>
      <c r="H3327">
        <v>0.43384491774787398</v>
      </c>
      <c r="I3327">
        <v>0.174054569034642</v>
      </c>
      <c r="J3327">
        <v>6.8040233399785197E-2</v>
      </c>
      <c r="K3327">
        <v>6.2207818781882099E-2</v>
      </c>
      <c r="L3327">
        <v>1004.12194258036</v>
      </c>
      <c r="M3327">
        <v>16.9363708190957</v>
      </c>
      <c r="N3327">
        <v>59.287905273829701</v>
      </c>
      <c r="O3327">
        <v>58.479848807381401</v>
      </c>
      <c r="P3327">
        <v>-7.2407133927994999E-2</v>
      </c>
      <c r="Q3327">
        <v>0</v>
      </c>
      <c r="R3327">
        <v>0.97576934035582397</v>
      </c>
      <c r="S3327" t="s">
        <v>6956</v>
      </c>
      <c r="T3327" t="s">
        <v>7256</v>
      </c>
      <c r="U3327" t="s">
        <v>7256</v>
      </c>
      <c r="V3327" t="s">
        <v>7256</v>
      </c>
      <c r="W3327">
        <v>18</v>
      </c>
      <c r="X3327" t="s">
        <v>10583</v>
      </c>
      <c r="Y3327">
        <v>0.65292624567529534</v>
      </c>
      <c r="Z3327" t="str">
        <f>HYPERLINK("Melting_Curves/meltCurve_tr_F5H1L4_F5H1L4_HUMAN_.pdf", "Melting_Curves/meltCurve_tr_F5H1L4_F5H1L4_HUMAN_.pdf")</f>
        <v>Melting_Curves/meltCurve_tr_F5H1L4_F5H1L4_HUMAN_.pdf</v>
      </c>
      <c r="AA3327" t="s">
        <v>14154</v>
      </c>
      <c r="AB3327" t="s">
        <v>17740</v>
      </c>
    </row>
    <row r="3328" spans="1:28" x14ac:dyDescent="0.25">
      <c r="A3328" t="s">
        <v>3332</v>
      </c>
      <c r="B3328">
        <v>0.98018197421672304</v>
      </c>
      <c r="C3328">
        <v>0.96260853953971803</v>
      </c>
      <c r="D3328">
        <v>0.85708600223359499</v>
      </c>
      <c r="E3328">
        <v>0.68647774999054501</v>
      </c>
      <c r="F3328">
        <v>0.26389932279299899</v>
      </c>
      <c r="G3328">
        <v>0.140644657980838</v>
      </c>
      <c r="H3328">
        <v>8.7977432729067301E-2</v>
      </c>
      <c r="I3328">
        <v>7.6140305250412599E-2</v>
      </c>
      <c r="J3328">
        <v>7.8564020186157699E-2</v>
      </c>
      <c r="K3328">
        <v>7.5999236287246599E-2</v>
      </c>
      <c r="L3328">
        <v>1246.85966187179</v>
      </c>
      <c r="M3328">
        <v>24.550107997269599</v>
      </c>
      <c r="N3328">
        <v>51.107312909602499</v>
      </c>
      <c r="O3328">
        <v>50.4549719408353</v>
      </c>
      <c r="P3328">
        <v>-0.113005281001803</v>
      </c>
      <c r="Q3328">
        <v>7.1027174912929703E-2</v>
      </c>
      <c r="R3328">
        <v>0.990509338616685</v>
      </c>
      <c r="S3328" t="s">
        <v>6957</v>
      </c>
      <c r="T3328" t="s">
        <v>7256</v>
      </c>
      <c r="U3328" t="s">
        <v>7256</v>
      </c>
      <c r="V3328" t="s">
        <v>7256</v>
      </c>
      <c r="W3328">
        <v>37</v>
      </c>
      <c r="X3328" t="s">
        <v>10584</v>
      </c>
      <c r="Y3328">
        <v>0.41377539668687541</v>
      </c>
      <c r="Z3328" t="str">
        <f>HYPERLINK("Melting_Curves/meltCurve_tr_F5H1X8_F5H1X8_HUMAN_.pdf", "Melting_Curves/meltCurve_tr_F5H1X8_F5H1X8_HUMAN_.pdf")</f>
        <v>Melting_Curves/meltCurve_tr_F5H1X8_F5H1X8_HUMAN_.pdf</v>
      </c>
      <c r="AA3328" t="s">
        <v>14155</v>
      </c>
      <c r="AB3328" t="s">
        <v>17741</v>
      </c>
    </row>
    <row r="3329" spans="1:28" x14ac:dyDescent="0.25">
      <c r="A3329" t="s">
        <v>3333</v>
      </c>
      <c r="B3329">
        <v>0.98018197421672304</v>
      </c>
      <c r="C3329">
        <v>0.99510208293056701</v>
      </c>
      <c r="D3329">
        <v>0.94150585940834397</v>
      </c>
      <c r="E3329">
        <v>0.81138255220099897</v>
      </c>
      <c r="F3329">
        <v>0.74079087320637504</v>
      </c>
      <c r="G3329">
        <v>0.58299709952432499</v>
      </c>
      <c r="H3329">
        <v>0.34502423081732198</v>
      </c>
      <c r="I3329">
        <v>0.21840890980559299</v>
      </c>
      <c r="J3329">
        <v>0.102305214334315</v>
      </c>
      <c r="K3329">
        <v>7.6583235497739002E-2</v>
      </c>
      <c r="L3329">
        <v>715.665502179393</v>
      </c>
      <c r="M3329">
        <v>12.4340381657646</v>
      </c>
      <c r="N3329">
        <v>57.556942622721799</v>
      </c>
      <c r="O3329">
        <v>56.1290008869696</v>
      </c>
      <c r="P3329">
        <v>-5.5393140772447398E-2</v>
      </c>
      <c r="Q3329">
        <v>0</v>
      </c>
      <c r="R3329">
        <v>0.99232009249567299</v>
      </c>
      <c r="S3329" t="s">
        <v>6958</v>
      </c>
      <c r="T3329" t="s">
        <v>7256</v>
      </c>
      <c r="U3329" t="s">
        <v>7256</v>
      </c>
      <c r="V3329" t="s">
        <v>7256</v>
      </c>
      <c r="W3329">
        <v>12</v>
      </c>
      <c r="X3329" t="s">
        <v>10585</v>
      </c>
      <c r="Y3329">
        <v>0.60000232674094633</v>
      </c>
      <c r="Z3329" t="str">
        <f>HYPERLINK("Melting_Curves/meltCurve_tr_F5H1Z6_F5H1Z6_HUMAN_.pdf", "Melting_Curves/meltCurve_tr_F5H1Z6_F5H1Z6_HUMAN_.pdf")</f>
        <v>Melting_Curves/meltCurve_tr_F5H1Z6_F5H1Z6_HUMAN_.pdf</v>
      </c>
      <c r="AA3329" t="s">
        <v>14156</v>
      </c>
      <c r="AB3329" t="s">
        <v>17742</v>
      </c>
    </row>
    <row r="3330" spans="1:28" x14ac:dyDescent="0.25">
      <c r="A3330" t="s">
        <v>3334</v>
      </c>
      <c r="B3330">
        <v>0.98018197421672304</v>
      </c>
      <c r="C3330">
        <v>0.93178645109923497</v>
      </c>
      <c r="D3330">
        <v>0.65646989812853795</v>
      </c>
      <c r="E3330">
        <v>0.26413287463983298</v>
      </c>
      <c r="F3330">
        <v>0.14679503313515599</v>
      </c>
      <c r="G3330">
        <v>9.6875338960058802E-2</v>
      </c>
      <c r="H3330">
        <v>6.4594064626150999E-2</v>
      </c>
      <c r="I3330">
        <v>3.9760329768290803E-2</v>
      </c>
      <c r="J3330">
        <v>3.0352321078211501E-2</v>
      </c>
      <c r="K3330">
        <v>4.2411905660754402E-2</v>
      </c>
      <c r="L3330">
        <v>1032.05831604738</v>
      </c>
      <c r="M3330">
        <v>21.820245825317201</v>
      </c>
      <c r="N3330">
        <v>47.522019738235599</v>
      </c>
      <c r="O3330">
        <v>46.906312928794499</v>
      </c>
      <c r="P3330">
        <v>-0.110620661617257</v>
      </c>
      <c r="Q3330">
        <v>4.8830566553390499E-2</v>
      </c>
      <c r="R3330">
        <v>0.99826122300946396</v>
      </c>
      <c r="S3330" t="s">
        <v>6959</v>
      </c>
      <c r="T3330" t="s">
        <v>7256</v>
      </c>
      <c r="U3330" t="s">
        <v>7256</v>
      </c>
      <c r="V3330" t="s">
        <v>7256</v>
      </c>
      <c r="W3330">
        <v>5</v>
      </c>
      <c r="X3330" t="s">
        <v>10586</v>
      </c>
      <c r="Y3330">
        <v>0.29160590484100057</v>
      </c>
      <c r="Z3330" t="str">
        <f>HYPERLINK("Melting_Curves/meltCurve_tr_F5H261_F5H261_HUMAN_.pdf", "Melting_Curves/meltCurve_tr_F5H261_F5H261_HUMAN_.pdf")</f>
        <v>Melting_Curves/meltCurve_tr_F5H261_F5H261_HUMAN_.pdf</v>
      </c>
      <c r="AA3330" t="s">
        <v>14157</v>
      </c>
      <c r="AB3330" t="s">
        <v>17743</v>
      </c>
    </row>
    <row r="3331" spans="1:28" x14ac:dyDescent="0.25">
      <c r="A3331" t="s">
        <v>3335</v>
      </c>
      <c r="B3331">
        <v>0.98018197421672304</v>
      </c>
      <c r="C3331">
        <v>0.94034546226724902</v>
      </c>
      <c r="D3331">
        <v>0.878166562604482</v>
      </c>
      <c r="E3331">
        <v>0.66024570907708702</v>
      </c>
      <c r="F3331">
        <v>0.60123831472648603</v>
      </c>
      <c r="G3331">
        <v>0.37286776082197598</v>
      </c>
      <c r="H3331">
        <v>0.31632618397503198</v>
      </c>
      <c r="I3331">
        <v>0.19739617564703599</v>
      </c>
      <c r="J3331">
        <v>0.38770165128870798</v>
      </c>
      <c r="K3331">
        <v>0.303304447313961</v>
      </c>
      <c r="L3331">
        <v>745.13996691703903</v>
      </c>
      <c r="M3331">
        <v>14.607457198503001</v>
      </c>
      <c r="N3331">
        <v>53.880208622125501</v>
      </c>
      <c r="O3331">
        <v>50.083514968793999</v>
      </c>
      <c r="P3331">
        <v>-5.32114597613597E-2</v>
      </c>
      <c r="Q3331">
        <v>0.27031289962897798</v>
      </c>
      <c r="R3331">
        <v>0.96363363881506903</v>
      </c>
      <c r="S3331" t="s">
        <v>6960</v>
      </c>
      <c r="T3331" t="s">
        <v>7256</v>
      </c>
      <c r="U3331" t="s">
        <v>7256</v>
      </c>
      <c r="V3331" t="s">
        <v>7256</v>
      </c>
      <c r="W3331">
        <v>6</v>
      </c>
      <c r="X3331" t="s">
        <v>10587</v>
      </c>
      <c r="Y3331">
        <v>0.55573327494390523</v>
      </c>
      <c r="Z3331" t="str">
        <f>HYPERLINK("Melting_Curves/meltCurve_tr_F5H2B9_F5H2B9_HUMAN_.pdf", "Melting_Curves/meltCurve_tr_F5H2B9_F5H2B9_HUMAN_.pdf")</f>
        <v>Melting_Curves/meltCurve_tr_F5H2B9_F5H2B9_HUMAN_.pdf</v>
      </c>
      <c r="AA3331" t="s">
        <v>14158</v>
      </c>
      <c r="AB3331" t="s">
        <v>17744</v>
      </c>
    </row>
    <row r="3332" spans="1:28" x14ac:dyDescent="0.25">
      <c r="A3332" t="s">
        <v>3336</v>
      </c>
      <c r="B3332">
        <v>0.98018197421672304</v>
      </c>
      <c r="C3332">
        <v>1.0298827673178901</v>
      </c>
      <c r="D3332">
        <v>0.93852393723497496</v>
      </c>
      <c r="E3332">
        <v>0.59316262461526403</v>
      </c>
      <c r="F3332">
        <v>0.52028116703850602</v>
      </c>
      <c r="G3332">
        <v>0.29432982329115998</v>
      </c>
      <c r="H3332">
        <v>0.28207159440976298</v>
      </c>
      <c r="I3332">
        <v>0.30105544121406103</v>
      </c>
      <c r="J3332">
        <v>0.50040838148008404</v>
      </c>
      <c r="K3332">
        <v>0.41025544579134898</v>
      </c>
      <c r="L3332">
        <v>1389.45775051483</v>
      </c>
      <c r="M3332">
        <v>28.151542916608701</v>
      </c>
      <c r="N3332">
        <v>51.752223800365101</v>
      </c>
      <c r="O3332">
        <v>49.109342066964999</v>
      </c>
      <c r="P3332">
        <v>-9.1120615214645304E-2</v>
      </c>
      <c r="Q3332">
        <v>0.36417918821220002</v>
      </c>
      <c r="R3332">
        <v>0.93861260659638901</v>
      </c>
      <c r="S3332" t="s">
        <v>6961</v>
      </c>
      <c r="T3332" t="s">
        <v>7256</v>
      </c>
      <c r="U3332" t="s">
        <v>7256</v>
      </c>
      <c r="V3332" t="s">
        <v>7256</v>
      </c>
      <c r="W3332">
        <v>2</v>
      </c>
      <c r="X3332" t="s">
        <v>10588</v>
      </c>
      <c r="Y3332">
        <v>0.56691066008428781</v>
      </c>
      <c r="Z3332" t="str">
        <f>HYPERLINK("Melting_Curves/meltCurve_tr_F5H2Q7_F5H2Q7_HUMAN_.pdf", "Melting_Curves/meltCurve_tr_F5H2Q7_F5H2Q7_HUMAN_.pdf")</f>
        <v>Melting_Curves/meltCurve_tr_F5H2Q7_F5H2Q7_HUMAN_.pdf</v>
      </c>
      <c r="AA3332" t="s">
        <v>14159</v>
      </c>
      <c r="AB3332" t="s">
        <v>17745</v>
      </c>
    </row>
    <row r="3333" spans="1:28" x14ac:dyDescent="0.25">
      <c r="A3333" t="s">
        <v>3337</v>
      </c>
      <c r="B3333">
        <v>0.98018197421672304</v>
      </c>
      <c r="C3333">
        <v>0.94850060850390805</v>
      </c>
      <c r="D3333">
        <v>0.94904788435858101</v>
      </c>
      <c r="E3333">
        <v>0.84994385847666198</v>
      </c>
      <c r="F3333">
        <v>0.80058843133396096</v>
      </c>
      <c r="G3333">
        <v>0.62522224305895002</v>
      </c>
      <c r="H3333">
        <v>0.497830603232012</v>
      </c>
      <c r="I3333">
        <v>0.53236200200677297</v>
      </c>
      <c r="J3333">
        <v>0.569298375955124</v>
      </c>
      <c r="K3333">
        <v>0.63000726124947903</v>
      </c>
      <c r="L3333">
        <v>999.84060191865797</v>
      </c>
      <c r="M3333">
        <v>19.067122472160499</v>
      </c>
      <c r="O3333">
        <v>51.871353795156601</v>
      </c>
      <c r="P3333">
        <v>-4.1449340785352402E-2</v>
      </c>
      <c r="Q3333">
        <v>0.54897255079629703</v>
      </c>
      <c r="R3333">
        <v>0.93916731523714203</v>
      </c>
      <c r="S3333" t="s">
        <v>6962</v>
      </c>
      <c r="T3333" t="s">
        <v>7256</v>
      </c>
      <c r="U3333" t="s">
        <v>7256</v>
      </c>
      <c r="V3333" t="s">
        <v>7256</v>
      </c>
      <c r="W3333">
        <v>8</v>
      </c>
      <c r="X3333" t="s">
        <v>10589</v>
      </c>
      <c r="Y3333">
        <v>0.74273404541813048</v>
      </c>
      <c r="Z3333" t="str">
        <f>HYPERLINK("Melting_Curves/meltCurve_tr_F5H345_F5H345_HUMAN_.pdf", "Melting_Curves/meltCurve_tr_F5H345_F5H345_HUMAN_.pdf")</f>
        <v>Melting_Curves/meltCurve_tr_F5H345_F5H345_HUMAN_.pdf</v>
      </c>
      <c r="AA3333" t="s">
        <v>14160</v>
      </c>
      <c r="AB3333" t="s">
        <v>17746</v>
      </c>
    </row>
    <row r="3334" spans="1:28" x14ac:dyDescent="0.25">
      <c r="A3334" t="s">
        <v>3338</v>
      </c>
      <c r="B3334">
        <v>0.98018197421672304</v>
      </c>
      <c r="C3334">
        <v>0.90780410328744099</v>
      </c>
      <c r="D3334">
        <v>0.83422650568956602</v>
      </c>
      <c r="E3334">
        <v>0.59047984718101199</v>
      </c>
      <c r="F3334">
        <v>0.189693353956565</v>
      </c>
      <c r="G3334">
        <v>9.08845468191605E-2</v>
      </c>
      <c r="H3334">
        <v>5.8226568681615701E-2</v>
      </c>
      <c r="I3334">
        <v>4.8396574126312798E-2</v>
      </c>
      <c r="J3334">
        <v>5.2223455010211403E-2</v>
      </c>
      <c r="K3334">
        <v>4.4460251888550399E-2</v>
      </c>
      <c r="L3334">
        <v>1074.98237180812</v>
      </c>
      <c r="M3334">
        <v>21.497009789540002</v>
      </c>
      <c r="N3334">
        <v>50.174488182896802</v>
      </c>
      <c r="O3334">
        <v>49.579462037600599</v>
      </c>
      <c r="P3334">
        <v>-0.104627301451604</v>
      </c>
      <c r="Q3334">
        <v>3.4798627576344901E-2</v>
      </c>
      <c r="R3334">
        <v>0.98900347632700703</v>
      </c>
      <c r="S3334" t="s">
        <v>6963</v>
      </c>
      <c r="T3334" t="s">
        <v>7256</v>
      </c>
      <c r="U3334" t="s">
        <v>7256</v>
      </c>
      <c r="V3334" t="s">
        <v>7256</v>
      </c>
      <c r="W3334">
        <v>20</v>
      </c>
      <c r="X3334" t="s">
        <v>10590</v>
      </c>
      <c r="Y3334">
        <v>0.36839037546495829</v>
      </c>
      <c r="Z3334" t="str">
        <f>HYPERLINK("Melting_Curves/meltCurve_tr_F5H365_F5H365_HUMAN_.pdf", "Melting_Curves/meltCurve_tr_F5H365_F5H365_HUMAN_.pdf")</f>
        <v>Melting_Curves/meltCurve_tr_F5H365_F5H365_HUMAN_.pdf</v>
      </c>
      <c r="AA3334" t="s">
        <v>14161</v>
      </c>
      <c r="AB3334" t="s">
        <v>17747</v>
      </c>
    </row>
    <row r="3335" spans="1:28" x14ac:dyDescent="0.25">
      <c r="A3335" t="s">
        <v>3339</v>
      </c>
      <c r="B3335">
        <v>0.98018197421672304</v>
      </c>
      <c r="C3335">
        <v>0.97585962657401104</v>
      </c>
      <c r="D3335">
        <v>0.89423123675956595</v>
      </c>
      <c r="E3335">
        <v>0.72444187129951798</v>
      </c>
      <c r="F3335">
        <v>2.3598864134869099E-2</v>
      </c>
      <c r="G3335">
        <v>0.108302311676442</v>
      </c>
      <c r="H3335">
        <v>7.3269789020068296E-2</v>
      </c>
      <c r="I3335">
        <v>5.51051638149209E-2</v>
      </c>
      <c r="J3335">
        <v>6.0906112296267002E-2</v>
      </c>
      <c r="K3335">
        <v>4.89754813069826E-2</v>
      </c>
      <c r="L3335">
        <v>12543.879824911</v>
      </c>
      <c r="M3335">
        <v>250</v>
      </c>
      <c r="N3335">
        <v>50.201963154846801</v>
      </c>
      <c r="O3335">
        <v>50.172311827872299</v>
      </c>
      <c r="P3335">
        <v>-1.16885601917153</v>
      </c>
      <c r="Q3335">
        <v>6.1692726341275803E-2</v>
      </c>
      <c r="R3335">
        <v>0.99055920576410095</v>
      </c>
      <c r="S3335" t="s">
        <v>6964</v>
      </c>
      <c r="T3335" t="s">
        <v>7256</v>
      </c>
      <c r="U3335" t="s">
        <v>7256</v>
      </c>
      <c r="V3335" t="s">
        <v>7256</v>
      </c>
      <c r="W3335">
        <v>3</v>
      </c>
      <c r="X3335" t="s">
        <v>10591</v>
      </c>
      <c r="Y3335">
        <v>0.38003414350826897</v>
      </c>
      <c r="Z3335" t="str">
        <f>HYPERLINK("Melting_Curves/meltCurve_tr_F5H442_F5H442_HUMAN_.pdf", "Melting_Curves/meltCurve_tr_F5H442_F5H442_HUMAN_.pdf")</f>
        <v>Melting_Curves/meltCurve_tr_F5H442_F5H442_HUMAN_.pdf</v>
      </c>
      <c r="AA3335" t="s">
        <v>14162</v>
      </c>
      <c r="AB3335" t="s">
        <v>17748</v>
      </c>
    </row>
    <row r="3336" spans="1:28" x14ac:dyDescent="0.25">
      <c r="A3336" t="s">
        <v>3340</v>
      </c>
      <c r="B3336">
        <v>0.98018197421672304</v>
      </c>
      <c r="C3336">
        <v>0.98263660630278404</v>
      </c>
      <c r="D3336">
        <v>0.87095462528919698</v>
      </c>
      <c r="E3336">
        <v>0.48179973395655201</v>
      </c>
      <c r="F3336">
        <v>0.14646991113493599</v>
      </c>
      <c r="G3336">
        <v>8.6972543925812898E-2</v>
      </c>
      <c r="H3336">
        <v>3.4267867347334398E-2</v>
      </c>
      <c r="I3336">
        <v>3.0527106512841899E-2</v>
      </c>
      <c r="J3336">
        <v>3.2770685433478698E-2</v>
      </c>
      <c r="K3336">
        <v>1.0689788943248501E-2</v>
      </c>
      <c r="L3336">
        <v>1284.62748486446</v>
      </c>
      <c r="M3336">
        <v>25.9083479959119</v>
      </c>
      <c r="N3336">
        <v>49.686848139088099</v>
      </c>
      <c r="O3336">
        <v>49.290965927654298</v>
      </c>
      <c r="P3336">
        <v>-0.12796122439455401</v>
      </c>
      <c r="Q3336">
        <v>2.6219899175187199E-2</v>
      </c>
      <c r="R3336">
        <v>0.99799384816174097</v>
      </c>
      <c r="S3336" t="s">
        <v>6965</v>
      </c>
      <c r="T3336" t="s">
        <v>7256</v>
      </c>
      <c r="U3336" t="s">
        <v>7256</v>
      </c>
      <c r="V3336" t="s">
        <v>7256</v>
      </c>
      <c r="W3336">
        <v>6</v>
      </c>
      <c r="X3336" t="s">
        <v>10592</v>
      </c>
      <c r="Y3336">
        <v>0.34535739585488778</v>
      </c>
      <c r="Z3336" t="str">
        <f>HYPERLINK("Melting_Curves/meltCurve_tr_F5H4G7_F5H4G7_HUMAN_.pdf", "Melting_Curves/meltCurve_tr_F5H4G7_F5H4G7_HUMAN_.pdf")</f>
        <v>Melting_Curves/meltCurve_tr_F5H4G7_F5H4G7_HUMAN_.pdf</v>
      </c>
      <c r="AA3336" t="s">
        <v>14163</v>
      </c>
      <c r="AB3336" t="s">
        <v>17749</v>
      </c>
    </row>
    <row r="3337" spans="1:28" x14ac:dyDescent="0.25">
      <c r="A3337" t="s">
        <v>3341</v>
      </c>
      <c r="B3337">
        <v>0.98018197421672304</v>
      </c>
      <c r="C3337">
        <v>0.78462033885961902</v>
      </c>
      <c r="D3337">
        <v>0.82752648577264298</v>
      </c>
      <c r="E3337">
        <v>0.78018826111492301</v>
      </c>
      <c r="F3337">
        <v>0.77707812453002201</v>
      </c>
      <c r="G3337">
        <v>0.65249294850793005</v>
      </c>
      <c r="H3337">
        <v>0.499239345923152</v>
      </c>
      <c r="I3337">
        <v>0.540281224985657</v>
      </c>
      <c r="J3337">
        <v>0.77256580624129301</v>
      </c>
      <c r="K3337">
        <v>0.71829296366203799</v>
      </c>
      <c r="L3337">
        <v>458.404372065171</v>
      </c>
      <c r="M3337">
        <v>10.018742003293299</v>
      </c>
      <c r="O3337">
        <v>44.0438681465033</v>
      </c>
      <c r="P3337">
        <v>-2.10474091954647E-2</v>
      </c>
      <c r="Q3337">
        <v>0.63006854415652602</v>
      </c>
      <c r="R3337">
        <v>0.56044185283662096</v>
      </c>
      <c r="S3337" t="s">
        <v>6966</v>
      </c>
      <c r="T3337" t="s">
        <v>7256</v>
      </c>
      <c r="U3337" t="s">
        <v>7256</v>
      </c>
      <c r="V3337" t="s">
        <v>7256</v>
      </c>
      <c r="W3337">
        <v>2</v>
      </c>
      <c r="X3337" t="s">
        <v>10593</v>
      </c>
      <c r="Y3337">
        <v>0.72461598559663376</v>
      </c>
      <c r="Z3337" t="str">
        <f>HYPERLINK("Melting_Curves/meltCurve_tr_F5H4J2_F5H4J2_HUMAN_.pdf", "Melting_Curves/meltCurve_tr_F5H4J2_F5H4J2_HUMAN_.pdf")</f>
        <v>Melting_Curves/meltCurve_tr_F5H4J2_F5H4J2_HUMAN_.pdf</v>
      </c>
      <c r="AA3337" t="s">
        <v>14164</v>
      </c>
      <c r="AB3337" t="s">
        <v>17750</v>
      </c>
    </row>
    <row r="3338" spans="1:28" x14ac:dyDescent="0.25">
      <c r="A3338" t="s">
        <v>3342</v>
      </c>
      <c r="B3338">
        <v>0.98018197421672304</v>
      </c>
      <c r="C3338">
        <v>0.81885834745636599</v>
      </c>
      <c r="D3338">
        <v>0.88982728053132698</v>
      </c>
      <c r="E3338">
        <v>0.54286767349382603</v>
      </c>
      <c r="F3338">
        <v>0.24540706744520599</v>
      </c>
      <c r="G3338">
        <v>0.203921490211117</v>
      </c>
      <c r="H3338">
        <v>9.05541290579399E-2</v>
      </c>
      <c r="I3338">
        <v>7.0201030131246497E-2</v>
      </c>
      <c r="J3338">
        <v>6.1724565940144201E-2</v>
      </c>
      <c r="K3338">
        <v>4.8690476115624298E-2</v>
      </c>
      <c r="L3338">
        <v>834.51103786630404</v>
      </c>
      <c r="M3338">
        <v>16.695441567466101</v>
      </c>
      <c r="N3338">
        <v>50.286913057951303</v>
      </c>
      <c r="O3338">
        <v>49.283765277578503</v>
      </c>
      <c r="P3338">
        <v>-8.0648914826770696E-2</v>
      </c>
      <c r="Q3338">
        <v>4.7783563713731901E-2</v>
      </c>
      <c r="R3338">
        <v>0.97810963056213696</v>
      </c>
      <c r="S3338" t="s">
        <v>6967</v>
      </c>
      <c r="T3338" t="s">
        <v>7256</v>
      </c>
      <c r="U3338" t="s">
        <v>7256</v>
      </c>
      <c r="V3338" t="s">
        <v>7256</v>
      </c>
      <c r="W3338">
        <v>4</v>
      </c>
      <c r="X3338" t="s">
        <v>10594</v>
      </c>
      <c r="Y3338">
        <v>0.38339908049908222</v>
      </c>
      <c r="Z3338" t="str">
        <f>HYPERLINK("Melting_Curves/meltCurve_tr_F5H5C2_F5H5C2_HUMAN_.pdf", "Melting_Curves/meltCurve_tr_F5H5C2_F5H5C2_HUMAN_.pdf")</f>
        <v>Melting_Curves/meltCurve_tr_F5H5C2_F5H5C2_HUMAN_.pdf</v>
      </c>
      <c r="AA3338" t="s">
        <v>14165</v>
      </c>
      <c r="AB3338" t="s">
        <v>17751</v>
      </c>
    </row>
    <row r="3339" spans="1:28" x14ac:dyDescent="0.25">
      <c r="A3339" t="s">
        <v>3343</v>
      </c>
      <c r="B3339">
        <v>0.98018197421672304</v>
      </c>
      <c r="C3339">
        <v>0.84857786623391596</v>
      </c>
      <c r="D3339">
        <v>0.80370018606398297</v>
      </c>
      <c r="E3339">
        <v>0.56004787423893998</v>
      </c>
      <c r="F3339">
        <v>0.33308286494515199</v>
      </c>
      <c r="G3339">
        <v>0.22224104413415799</v>
      </c>
      <c r="H3339">
        <v>0.153866522543089</v>
      </c>
      <c r="I3339">
        <v>0.103783593641764</v>
      </c>
      <c r="J3339">
        <v>0.10896676107422799</v>
      </c>
      <c r="K3339">
        <v>0.106835154848837</v>
      </c>
      <c r="L3339">
        <v>672.43065139195801</v>
      </c>
      <c r="M3339">
        <v>13.4698444062394</v>
      </c>
      <c r="N3339">
        <v>50.530660190505301</v>
      </c>
      <c r="O3339">
        <v>48.8594152366814</v>
      </c>
      <c r="P3339">
        <v>-6.3763709565088797E-2</v>
      </c>
      <c r="Q3339">
        <v>7.4977185839164601E-2</v>
      </c>
      <c r="R3339">
        <v>0.99380771216586195</v>
      </c>
      <c r="S3339" t="s">
        <v>6968</v>
      </c>
      <c r="T3339" t="s">
        <v>7256</v>
      </c>
      <c r="U3339" t="s">
        <v>7256</v>
      </c>
      <c r="V3339" t="s">
        <v>7256</v>
      </c>
      <c r="W3339">
        <v>2</v>
      </c>
      <c r="X3339" t="s">
        <v>10595</v>
      </c>
      <c r="Y3339">
        <v>0.40753844711364251</v>
      </c>
      <c r="Z3339" t="str">
        <f>HYPERLINK("Melting_Curves/meltCurve_tr_F5H5W4_F5H5W4_HUMAN_.pdf", "Melting_Curves/meltCurve_tr_F5H5W4_F5H5W4_HUMAN_.pdf")</f>
        <v>Melting_Curves/meltCurve_tr_F5H5W4_F5H5W4_HUMAN_.pdf</v>
      </c>
      <c r="AA3339" t="s">
        <v>14166</v>
      </c>
      <c r="AB3339" t="s">
        <v>17752</v>
      </c>
    </row>
    <row r="3340" spans="1:28" x14ac:dyDescent="0.25">
      <c r="A3340" t="s">
        <v>3344</v>
      </c>
      <c r="B3340">
        <v>0.98018197421672304</v>
      </c>
      <c r="C3340">
        <v>1.31715048959134</v>
      </c>
      <c r="D3340">
        <v>1.2692693375197399</v>
      </c>
      <c r="E3340">
        <v>0.88182194200136099</v>
      </c>
      <c r="F3340">
        <v>0.61194661152545804</v>
      </c>
      <c r="G3340">
        <v>0.22987281932131301</v>
      </c>
      <c r="H3340">
        <v>0.13326460423066699</v>
      </c>
      <c r="I3340">
        <v>0.17156122672507701</v>
      </c>
      <c r="J3340">
        <v>0.14627453698999199</v>
      </c>
      <c r="K3340">
        <v>0.21895075108293</v>
      </c>
      <c r="L3340">
        <v>1936.17656456496</v>
      </c>
      <c r="M3340">
        <v>36.4458118723269</v>
      </c>
      <c r="N3340">
        <v>53.718208725584397</v>
      </c>
      <c r="O3340">
        <v>52.965622354590799</v>
      </c>
      <c r="P3340">
        <v>-0.14351949545529299</v>
      </c>
      <c r="Q3340">
        <v>0.165711922340606</v>
      </c>
      <c r="R3340">
        <v>0.91242906065169005</v>
      </c>
      <c r="S3340" t="s">
        <v>6969</v>
      </c>
      <c r="T3340" t="s">
        <v>7256</v>
      </c>
      <c r="U3340" t="s">
        <v>7256</v>
      </c>
      <c r="V3340" t="s">
        <v>7256</v>
      </c>
      <c r="W3340">
        <v>1</v>
      </c>
      <c r="X3340" t="s">
        <v>10596</v>
      </c>
      <c r="Y3340">
        <v>0.53439408585173154</v>
      </c>
      <c r="Z3340" t="str">
        <f>HYPERLINK("Melting_Curves/meltCurve_tr_F5H604_F5H604_HUMAN_.pdf", "Melting_Curves/meltCurve_tr_F5H604_F5H604_HUMAN_.pdf")</f>
        <v>Melting_Curves/meltCurve_tr_F5H604_F5H604_HUMAN_.pdf</v>
      </c>
      <c r="AA3340" t="s">
        <v>14167</v>
      </c>
      <c r="AB3340" t="s">
        <v>17753</v>
      </c>
    </row>
    <row r="3341" spans="1:28" x14ac:dyDescent="0.25">
      <c r="A3341" t="s">
        <v>3345</v>
      </c>
      <c r="B3341">
        <v>0.98018197421672304</v>
      </c>
      <c r="C3341">
        <v>0.89090058339752598</v>
      </c>
      <c r="D3341">
        <v>0.49732345001086298</v>
      </c>
      <c r="E3341">
        <v>0.23380095899162101</v>
      </c>
      <c r="F3341">
        <v>0.14857876236577899</v>
      </c>
      <c r="G3341">
        <v>8.5744286483933702E-2</v>
      </c>
      <c r="H3341">
        <v>5.1433456141150601E-2</v>
      </c>
      <c r="I3341">
        <v>3.7612130173975897E-2</v>
      </c>
      <c r="J3341">
        <v>6.5855995084464797E-2</v>
      </c>
      <c r="K3341">
        <v>3.6948725151631501E-2</v>
      </c>
      <c r="L3341">
        <v>991.19606397703399</v>
      </c>
      <c r="M3341">
        <v>21.4781760337255</v>
      </c>
      <c r="N3341">
        <v>46.416555541442698</v>
      </c>
      <c r="O3341">
        <v>45.754516722463997</v>
      </c>
      <c r="P3341">
        <v>-0.11052507632653</v>
      </c>
      <c r="Q3341">
        <v>5.8225844887864399E-2</v>
      </c>
      <c r="R3341">
        <v>0.99342449518199705</v>
      </c>
      <c r="S3341" t="s">
        <v>6970</v>
      </c>
      <c r="T3341" t="s">
        <v>7256</v>
      </c>
      <c r="U3341" t="s">
        <v>7256</v>
      </c>
      <c r="V3341" t="s">
        <v>7256</v>
      </c>
      <c r="W3341">
        <v>9</v>
      </c>
      <c r="X3341" t="s">
        <v>10597</v>
      </c>
      <c r="Y3341">
        <v>0.26349990315722321</v>
      </c>
      <c r="Z3341" t="str">
        <f>HYPERLINK("Melting_Curves/meltCurve_tr_F5H698_F5H698_HUMAN_.pdf", "Melting_Curves/meltCurve_tr_F5H698_F5H698_HUMAN_.pdf")</f>
        <v>Melting_Curves/meltCurve_tr_F5H698_F5H698_HUMAN_.pdf</v>
      </c>
      <c r="AA3341" t="s">
        <v>14168</v>
      </c>
      <c r="AB3341" t="s">
        <v>17754</v>
      </c>
    </row>
    <row r="3342" spans="1:28" x14ac:dyDescent="0.25">
      <c r="A3342" t="s">
        <v>3346</v>
      </c>
      <c r="B3342">
        <v>0.98018197421672304</v>
      </c>
      <c r="C3342">
        <v>1.08150176469447</v>
      </c>
      <c r="D3342">
        <v>1.06985042177334</v>
      </c>
      <c r="E3342">
        <v>0.84757724558060799</v>
      </c>
      <c r="F3342">
        <v>0.72959401890104503</v>
      </c>
      <c r="G3342">
        <v>0.33477912089190298</v>
      </c>
      <c r="H3342">
        <v>7.7798649698978706E-2</v>
      </c>
      <c r="I3342">
        <v>4.5403402901747499E-2</v>
      </c>
      <c r="J3342">
        <v>5.5486708857567998E-2</v>
      </c>
      <c r="K3342">
        <v>5.8174132955405501E-2</v>
      </c>
      <c r="L3342">
        <v>1288.0294782563001</v>
      </c>
      <c r="M3342">
        <v>23.448861199504901</v>
      </c>
      <c r="N3342">
        <v>55.065436694921999</v>
      </c>
      <c r="O3342">
        <v>54.5345012884383</v>
      </c>
      <c r="P3342">
        <v>-0.104470068969558</v>
      </c>
      <c r="Q3342">
        <v>2.8162243105755099E-2</v>
      </c>
      <c r="R3342">
        <v>0.98882399562978296</v>
      </c>
      <c r="S3342" t="s">
        <v>6971</v>
      </c>
      <c r="T3342" t="s">
        <v>7256</v>
      </c>
      <c r="U3342" t="s">
        <v>7256</v>
      </c>
      <c r="V3342" t="s">
        <v>7256</v>
      </c>
      <c r="W3342">
        <v>5</v>
      </c>
      <c r="X3342" t="s">
        <v>10598</v>
      </c>
      <c r="Y3342">
        <v>0.52183524321638486</v>
      </c>
      <c r="Z3342" t="str">
        <f>HYPERLINK("Melting_Curves/meltCurve_tr_F5H715_F5H715_HUMAN_.pdf", "Melting_Curves/meltCurve_tr_F5H715_F5H715_HUMAN_.pdf")</f>
        <v>Melting_Curves/meltCurve_tr_F5H715_F5H715_HUMAN_.pdf</v>
      </c>
      <c r="AA3342" t="s">
        <v>14169</v>
      </c>
      <c r="AB3342" t="s">
        <v>17755</v>
      </c>
    </row>
    <row r="3343" spans="1:28" x14ac:dyDescent="0.25">
      <c r="A3343" t="s">
        <v>3347</v>
      </c>
      <c r="B3343">
        <v>0.98018197421672304</v>
      </c>
      <c r="C3343">
        <v>0.91110592011666702</v>
      </c>
      <c r="D3343">
        <v>0.90854634902930598</v>
      </c>
      <c r="E3343">
        <v>0.805338637889217</v>
      </c>
      <c r="F3343">
        <v>0.57419910611179503</v>
      </c>
      <c r="G3343">
        <v>0.37115532496484199</v>
      </c>
      <c r="H3343">
        <v>0.45235303531697602</v>
      </c>
      <c r="I3343">
        <v>0.48322203718735002</v>
      </c>
      <c r="J3343">
        <v>0.49537216439877202</v>
      </c>
      <c r="K3343">
        <v>0.62256177180872596</v>
      </c>
      <c r="L3343">
        <v>1803.11428876022</v>
      </c>
      <c r="M3343">
        <v>35.683302282759797</v>
      </c>
      <c r="N3343">
        <v>56.058276050241197</v>
      </c>
      <c r="O3343">
        <v>50.373132173896401</v>
      </c>
      <c r="P3343">
        <v>-9.1173162708178906E-2</v>
      </c>
      <c r="Q3343">
        <v>0.48517523223660503</v>
      </c>
      <c r="R3343">
        <v>0.88809878432256595</v>
      </c>
      <c r="S3343" t="s">
        <v>6972</v>
      </c>
      <c r="T3343" t="s">
        <v>7256</v>
      </c>
      <c r="U3343" t="s">
        <v>7256</v>
      </c>
      <c r="V3343" t="s">
        <v>7256</v>
      </c>
      <c r="W3343">
        <v>6</v>
      </c>
      <c r="X3343" t="s">
        <v>10599</v>
      </c>
      <c r="Y3343">
        <v>0.66816069742867379</v>
      </c>
      <c r="Z3343" t="str">
        <f>HYPERLINK("Melting_Curves/meltCurve_tr_F5H721_F5H721_HUMAN_.pdf", "Melting_Curves/meltCurve_tr_F5H721_F5H721_HUMAN_.pdf")</f>
        <v>Melting_Curves/meltCurve_tr_F5H721_F5H721_HUMAN_.pdf</v>
      </c>
      <c r="AA3343" t="s">
        <v>14170</v>
      </c>
      <c r="AB3343" t="s">
        <v>17756</v>
      </c>
    </row>
    <row r="3344" spans="1:28" x14ac:dyDescent="0.25">
      <c r="A3344" t="s">
        <v>3348</v>
      </c>
      <c r="B3344">
        <v>0.98018197421672304</v>
      </c>
      <c r="C3344">
        <v>0.65840218209196499</v>
      </c>
      <c r="D3344">
        <v>0.68466883122288902</v>
      </c>
      <c r="E3344">
        <v>0.69727790572181403</v>
      </c>
      <c r="F3344">
        <v>0.56481547731491499</v>
      </c>
      <c r="G3344">
        <v>0.48723853253421301</v>
      </c>
      <c r="H3344">
        <v>0.30947154839180002</v>
      </c>
      <c r="I3344">
        <v>0.109960424665377</v>
      </c>
      <c r="J3344">
        <v>0.149621605598418</v>
      </c>
      <c r="K3344">
        <v>0</v>
      </c>
      <c r="L3344">
        <v>396.17093607181198</v>
      </c>
      <c r="M3344">
        <v>7.4762635003049898</v>
      </c>
      <c r="N3344">
        <v>52.9904988760427</v>
      </c>
      <c r="O3344">
        <v>49.596398500323801</v>
      </c>
      <c r="P3344">
        <v>-3.77403397459787E-2</v>
      </c>
      <c r="Q3344">
        <v>0</v>
      </c>
      <c r="R3344">
        <v>0.880930104992387</v>
      </c>
      <c r="S3344" t="s">
        <v>6973</v>
      </c>
      <c r="T3344" t="s">
        <v>7256</v>
      </c>
      <c r="U3344" t="s">
        <v>7256</v>
      </c>
      <c r="V3344" t="s">
        <v>7256</v>
      </c>
      <c r="W3344">
        <v>17</v>
      </c>
      <c r="X3344" t="s">
        <v>10600</v>
      </c>
      <c r="Y3344">
        <v>0.47560503449541408</v>
      </c>
      <c r="Z3344" t="str">
        <f>HYPERLINK("Melting_Curves/meltCurve_tr_F5H780_F5H780_HUMAN_.pdf", "Melting_Curves/meltCurve_tr_F5H780_F5H780_HUMAN_.pdf")</f>
        <v>Melting_Curves/meltCurve_tr_F5H780_F5H780_HUMAN_.pdf</v>
      </c>
      <c r="AA3344" t="s">
        <v>14102</v>
      </c>
      <c r="AB3344" t="s">
        <v>17686</v>
      </c>
    </row>
    <row r="3345" spans="1:28" x14ac:dyDescent="0.25">
      <c r="A3345" t="s">
        <v>3349</v>
      </c>
      <c r="B3345">
        <v>0.98018197421672304</v>
      </c>
      <c r="C3345">
        <v>0.86963569609353197</v>
      </c>
      <c r="D3345">
        <v>0.91091112653942696</v>
      </c>
      <c r="E3345">
        <v>0.82495648439831204</v>
      </c>
      <c r="F3345">
        <v>0.71027337911115396</v>
      </c>
      <c r="G3345">
        <v>0.52685741137638098</v>
      </c>
      <c r="H3345">
        <v>0.49901560367905601</v>
      </c>
      <c r="I3345">
        <v>0.25447767102534502</v>
      </c>
      <c r="J3345">
        <v>0.22489042320035699</v>
      </c>
      <c r="K3345">
        <v>0.30903302095392599</v>
      </c>
      <c r="L3345">
        <v>501.71005134928299</v>
      </c>
      <c r="M3345">
        <v>8.7630517409896207</v>
      </c>
      <c r="N3345">
        <v>58.429558375393697</v>
      </c>
      <c r="O3345">
        <v>54.5061518109746</v>
      </c>
      <c r="P3345">
        <v>-3.6971472596129699E-2</v>
      </c>
      <c r="Q3345">
        <v>8.0888953488428603E-2</v>
      </c>
      <c r="R3345">
        <v>0.95779838523446104</v>
      </c>
      <c r="S3345" t="s">
        <v>6974</v>
      </c>
      <c r="T3345" t="s">
        <v>7256</v>
      </c>
      <c r="U3345" t="s">
        <v>7256</v>
      </c>
      <c r="V3345" t="s">
        <v>7256</v>
      </c>
      <c r="W3345">
        <v>1</v>
      </c>
      <c r="X3345" t="s">
        <v>10601</v>
      </c>
      <c r="Y3345">
        <v>0.62057347189727063</v>
      </c>
      <c r="Z3345" t="str">
        <f>HYPERLINK("Melting_Curves/meltCurve_tr_F5H7D6_F5H7D6_HUMAN_.pdf", "Melting_Curves/meltCurve_tr_F5H7D6_F5H7D6_HUMAN_.pdf")</f>
        <v>Melting_Curves/meltCurve_tr_F5H7D6_F5H7D6_HUMAN_.pdf</v>
      </c>
      <c r="AA3345" t="s">
        <v>14171</v>
      </c>
      <c r="AB3345" t="s">
        <v>17757</v>
      </c>
    </row>
    <row r="3346" spans="1:28" x14ac:dyDescent="0.25">
      <c r="A3346" t="s">
        <v>3350</v>
      </c>
      <c r="B3346">
        <v>0.98018197421672304</v>
      </c>
      <c r="C3346">
        <v>0.89606329584656497</v>
      </c>
      <c r="D3346">
        <v>0.67615487385540896</v>
      </c>
      <c r="E3346">
        <v>0.272097590224331</v>
      </c>
      <c r="F3346">
        <v>0.14615305483608301</v>
      </c>
      <c r="G3346">
        <v>8.5745349401763302E-2</v>
      </c>
      <c r="H3346">
        <v>6.4296914619763196E-2</v>
      </c>
      <c r="I3346">
        <v>5.1416308871375299E-2</v>
      </c>
      <c r="J3346">
        <v>4.89817881850306E-2</v>
      </c>
      <c r="K3346">
        <v>4.0086491085540903E-2</v>
      </c>
      <c r="L3346">
        <v>997.07982384726995</v>
      </c>
      <c r="M3346">
        <v>21.058435226008999</v>
      </c>
      <c r="N3346">
        <v>47.583681092136203</v>
      </c>
      <c r="O3346">
        <v>46.9274679444678</v>
      </c>
      <c r="P3346">
        <v>-0.106638493097047</v>
      </c>
      <c r="Q3346">
        <v>4.9475124031930301E-2</v>
      </c>
      <c r="R3346">
        <v>0.99954532304601496</v>
      </c>
      <c r="S3346" t="s">
        <v>6975</v>
      </c>
      <c r="T3346" t="s">
        <v>7256</v>
      </c>
      <c r="U3346" t="s">
        <v>7256</v>
      </c>
      <c r="V3346" t="s">
        <v>7256</v>
      </c>
      <c r="W3346">
        <v>4</v>
      </c>
      <c r="X3346" t="s">
        <v>10602</v>
      </c>
      <c r="Y3346">
        <v>0.29457551132530241</v>
      </c>
      <c r="Z3346" t="str">
        <f>HYPERLINK("Melting_Curves/meltCurve_tr_F5H7F6_F5H7F6_HUMAN_.pdf", "Melting_Curves/meltCurve_tr_F5H7F6_F5H7F6_HUMAN_.pdf")</f>
        <v>Melting_Curves/meltCurve_tr_F5H7F6_F5H7F6_HUMAN_.pdf</v>
      </c>
      <c r="AA3346" t="s">
        <v>14172</v>
      </c>
      <c r="AB3346" t="s">
        <v>17758</v>
      </c>
    </row>
    <row r="3347" spans="1:28" x14ac:dyDescent="0.25">
      <c r="A3347" t="s">
        <v>3351</v>
      </c>
      <c r="B3347">
        <v>0.98018197421672304</v>
      </c>
      <c r="C3347">
        <v>0.92889154141330299</v>
      </c>
      <c r="D3347">
        <v>0.53318775686599396</v>
      </c>
      <c r="E3347">
        <v>0.17967229791987199</v>
      </c>
      <c r="F3347">
        <v>9.5774021694777306E-2</v>
      </c>
      <c r="G3347">
        <v>6.3647453370424198E-2</v>
      </c>
      <c r="H3347">
        <v>3.8650604852492998E-2</v>
      </c>
      <c r="I3347">
        <v>2.85014146457543E-2</v>
      </c>
      <c r="J3347">
        <v>2.61333938699134E-2</v>
      </c>
      <c r="K3347">
        <v>2.2468545014695699E-2</v>
      </c>
      <c r="L3347">
        <v>1198.2396307146701</v>
      </c>
      <c r="M3347">
        <v>25.881157357296399</v>
      </c>
      <c r="N3347">
        <v>46.444666751508898</v>
      </c>
      <c r="O3347">
        <v>46.024008417966797</v>
      </c>
      <c r="P3347">
        <v>-0.13506165863620601</v>
      </c>
      <c r="Q3347">
        <v>3.9300141164172298E-2</v>
      </c>
      <c r="R3347">
        <v>0.99707664131859497</v>
      </c>
      <c r="S3347" t="s">
        <v>6976</v>
      </c>
      <c r="T3347" t="s">
        <v>7256</v>
      </c>
      <c r="U3347" t="s">
        <v>7256</v>
      </c>
      <c r="V3347" t="s">
        <v>7256</v>
      </c>
      <c r="W3347">
        <v>11</v>
      </c>
      <c r="X3347" t="s">
        <v>10603</v>
      </c>
      <c r="Y3347">
        <v>0.2490682462156702</v>
      </c>
      <c r="Z3347" t="str">
        <f>HYPERLINK("Melting_Curves/meltCurve_tr_F5H801_F5H801_HUMAN_.pdf", "Melting_Curves/meltCurve_tr_F5H801_F5H801_HUMAN_.pdf")</f>
        <v>Melting_Curves/meltCurve_tr_F5H801_F5H801_HUMAN_.pdf</v>
      </c>
      <c r="AA3347" t="s">
        <v>14173</v>
      </c>
      <c r="AB3347" t="s">
        <v>17759</v>
      </c>
    </row>
    <row r="3348" spans="1:28" x14ac:dyDescent="0.25">
      <c r="A3348" t="s">
        <v>3352</v>
      </c>
      <c r="B3348">
        <v>0.98018197421672304</v>
      </c>
      <c r="C3348">
        <v>0.88685740424269899</v>
      </c>
      <c r="D3348">
        <v>0.93021151873540497</v>
      </c>
      <c r="E3348">
        <v>0.82185655846172201</v>
      </c>
      <c r="F3348">
        <v>0.50640281467293302</v>
      </c>
      <c r="G3348">
        <v>0.119802937822892</v>
      </c>
      <c r="H3348">
        <v>5.5567076998539501E-2</v>
      </c>
      <c r="I3348">
        <v>3.9061756221089997E-2</v>
      </c>
      <c r="J3348">
        <v>6.08535291373416E-2</v>
      </c>
      <c r="K3348">
        <v>3.7364557872665898E-2</v>
      </c>
      <c r="L3348">
        <v>1429.0036672316501</v>
      </c>
      <c r="M3348">
        <v>27.081909820132701</v>
      </c>
      <c r="N3348">
        <v>52.906351074063402</v>
      </c>
      <c r="O3348">
        <v>52.480798668125303</v>
      </c>
      <c r="P3348">
        <v>-0.124537776880062</v>
      </c>
      <c r="Q3348">
        <v>3.4665136298566199E-2</v>
      </c>
      <c r="R3348">
        <v>0.98924592893869001</v>
      </c>
      <c r="S3348" t="s">
        <v>6977</v>
      </c>
      <c r="T3348" t="s">
        <v>7256</v>
      </c>
      <c r="U3348" t="s">
        <v>7256</v>
      </c>
      <c r="V3348" t="s">
        <v>7256</v>
      </c>
      <c r="W3348">
        <v>30</v>
      </c>
      <c r="X3348" t="s">
        <v>10604</v>
      </c>
      <c r="Y3348">
        <v>0.45306256382571958</v>
      </c>
      <c r="Z3348" t="str">
        <f>HYPERLINK("Melting_Curves/meltCurve_tr_F5H897_F5H897_HUMAN_.pdf", "Melting_Curves/meltCurve_tr_F5H897_F5H897_HUMAN_.pdf")</f>
        <v>Melting_Curves/meltCurve_tr_F5H897_F5H897_HUMAN_.pdf</v>
      </c>
      <c r="AA3348" t="s">
        <v>14174</v>
      </c>
      <c r="AB3348" t="s">
        <v>17760</v>
      </c>
    </row>
    <row r="3349" spans="1:28" x14ac:dyDescent="0.25">
      <c r="A3349" t="s">
        <v>3353</v>
      </c>
      <c r="B3349">
        <v>0.98018197421672304</v>
      </c>
      <c r="C3349">
        <v>0.99770256589759798</v>
      </c>
      <c r="D3349">
        <v>0.87030265664776696</v>
      </c>
      <c r="E3349">
        <v>0.77976046188731196</v>
      </c>
      <c r="F3349">
        <v>0.42074578643251398</v>
      </c>
      <c r="G3349">
        <v>0.27730577232223302</v>
      </c>
      <c r="H3349">
        <v>0.195361440505262</v>
      </c>
      <c r="I3349">
        <v>9.0054717835419407E-2</v>
      </c>
      <c r="J3349">
        <v>0.13625100265913501</v>
      </c>
      <c r="K3349">
        <v>0.19798178239237599</v>
      </c>
      <c r="L3349">
        <v>1069.9758606765799</v>
      </c>
      <c r="M3349">
        <v>20.6736113736996</v>
      </c>
      <c r="N3349">
        <v>52.597420108472598</v>
      </c>
      <c r="O3349">
        <v>51.278677494970403</v>
      </c>
      <c r="P3349">
        <v>-8.6596646110622996E-2</v>
      </c>
      <c r="Q3349">
        <v>0.14084973032332301</v>
      </c>
      <c r="R3349">
        <v>0.98417671083423097</v>
      </c>
      <c r="S3349" t="s">
        <v>6978</v>
      </c>
      <c r="T3349" t="s">
        <v>7256</v>
      </c>
      <c r="U3349" t="s">
        <v>7256</v>
      </c>
      <c r="V3349" t="s">
        <v>7256</v>
      </c>
      <c r="W3349">
        <v>1</v>
      </c>
      <c r="X3349" t="s">
        <v>10605</v>
      </c>
      <c r="Y3349">
        <v>0.48871475279671689</v>
      </c>
      <c r="Z3349" t="str">
        <f>HYPERLINK("Melting_Curves/meltCurve_tr_F5H8D7_F5H8D7_HUMAN_.pdf", "Melting_Curves/meltCurve_tr_F5H8D7_F5H8D7_HUMAN_.pdf")</f>
        <v>Melting_Curves/meltCurve_tr_F5H8D7_F5H8D7_HUMAN_.pdf</v>
      </c>
      <c r="AA3349" t="s">
        <v>14175</v>
      </c>
      <c r="AB3349" t="s">
        <v>17761</v>
      </c>
    </row>
    <row r="3350" spans="1:28" x14ac:dyDescent="0.25">
      <c r="A3350" t="s">
        <v>3354</v>
      </c>
      <c r="B3350">
        <v>0.98018197421672304</v>
      </c>
      <c r="C3350">
        <v>1.05244017842496</v>
      </c>
      <c r="D3350">
        <v>0.93473328468852401</v>
      </c>
      <c r="E3350">
        <v>0.78801682137884499</v>
      </c>
      <c r="F3350">
        <v>0.65791509831552097</v>
      </c>
      <c r="G3350">
        <v>0.27371530359791901</v>
      </c>
      <c r="H3350">
        <v>9.6129096403588202E-2</v>
      </c>
      <c r="I3350">
        <v>6.9359408615436199E-2</v>
      </c>
      <c r="J3350">
        <v>7.2981631947719797E-2</v>
      </c>
      <c r="K3350">
        <v>3.9981986264114103E-2</v>
      </c>
      <c r="L3350">
        <v>1039.3565950213299</v>
      </c>
      <c r="M3350">
        <v>19.217721904746401</v>
      </c>
      <c r="N3350">
        <v>54.2265259062806</v>
      </c>
      <c r="O3350">
        <v>53.507824911177302</v>
      </c>
      <c r="P3350">
        <v>-8.7569744595304297E-2</v>
      </c>
      <c r="Q3350">
        <v>2.4756629547587099E-2</v>
      </c>
      <c r="R3350">
        <v>0.99316329127178404</v>
      </c>
      <c r="S3350" t="s">
        <v>6979</v>
      </c>
      <c r="T3350" t="s">
        <v>7256</v>
      </c>
      <c r="U3350" t="s">
        <v>7256</v>
      </c>
      <c r="V3350" t="s">
        <v>7256</v>
      </c>
      <c r="W3350">
        <v>12</v>
      </c>
      <c r="X3350" t="s">
        <v>10606</v>
      </c>
      <c r="Y3350">
        <v>0.49667373856192681</v>
      </c>
      <c r="Z3350" t="str">
        <f>HYPERLINK("Melting_Curves/meltCurve_tr_F5H8H2_F5H8H2_HUMAN_.pdf", "Melting_Curves/meltCurve_tr_F5H8H2_F5H8H2_HUMAN_.pdf")</f>
        <v>Melting_Curves/meltCurve_tr_F5H8H2_F5H8H2_HUMAN_.pdf</v>
      </c>
      <c r="AA3350" t="s">
        <v>14176</v>
      </c>
      <c r="AB3350" t="s">
        <v>17762</v>
      </c>
    </row>
    <row r="3351" spans="1:28" x14ac:dyDescent="0.25">
      <c r="A3351" t="s">
        <v>3355</v>
      </c>
      <c r="B3351">
        <v>0.98018197421672304</v>
      </c>
      <c r="C3351">
        <v>0.88970191477621696</v>
      </c>
      <c r="D3351">
        <v>0.67598513197033006</v>
      </c>
      <c r="E3351">
        <v>0.487625841187107</v>
      </c>
      <c r="F3351">
        <v>0.23813675602489001</v>
      </c>
      <c r="G3351">
        <v>0.31874109168329601</v>
      </c>
      <c r="H3351">
        <v>0.37158358962337501</v>
      </c>
      <c r="I3351">
        <v>0.19398144065183101</v>
      </c>
      <c r="J3351">
        <v>0.62133974228133404</v>
      </c>
      <c r="K3351">
        <v>0.61725152379825399</v>
      </c>
      <c r="L3351">
        <v>1295.3773547682999</v>
      </c>
      <c r="M3351">
        <v>28.413947400749599</v>
      </c>
      <c r="N3351">
        <v>48.312003301459399</v>
      </c>
      <c r="O3351">
        <v>45.3654664822879</v>
      </c>
      <c r="P3351">
        <v>-9.4080356542970103E-2</v>
      </c>
      <c r="Q3351">
        <v>0.39917328765225202</v>
      </c>
      <c r="R3351">
        <v>0.71950699496595205</v>
      </c>
      <c r="S3351" t="s">
        <v>6980</v>
      </c>
      <c r="T3351" t="s">
        <v>7256</v>
      </c>
      <c r="U3351" t="s">
        <v>7256</v>
      </c>
      <c r="V3351" t="s">
        <v>7256</v>
      </c>
      <c r="W3351">
        <v>1</v>
      </c>
      <c r="X3351" t="s">
        <v>10607</v>
      </c>
      <c r="Y3351">
        <v>0.51533573154823786</v>
      </c>
      <c r="Z3351" t="str">
        <f>HYPERLINK("Melting_Curves/meltCurve_tr_F6RY50_F6RY50_HUMAN_.pdf", "Melting_Curves/meltCurve_tr_F6RY50_F6RY50_HUMAN_.pdf")</f>
        <v>Melting_Curves/meltCurve_tr_F6RY50_F6RY50_HUMAN_.pdf</v>
      </c>
      <c r="AA3351" t="s">
        <v>14177</v>
      </c>
      <c r="AB3351" t="s">
        <v>17763</v>
      </c>
    </row>
    <row r="3352" spans="1:28" x14ac:dyDescent="0.25">
      <c r="A3352" t="s">
        <v>3356</v>
      </c>
      <c r="B3352">
        <v>0.98018197421672304</v>
      </c>
      <c r="C3352">
        <v>0.93472743068117803</v>
      </c>
      <c r="D3352">
        <v>0.87209988791843596</v>
      </c>
      <c r="E3352">
        <v>0.62359745979289605</v>
      </c>
      <c r="F3352">
        <v>0.19820687752998001</v>
      </c>
      <c r="G3352">
        <v>0.13948825548011301</v>
      </c>
      <c r="H3352">
        <v>7.7709813184778598E-2</v>
      </c>
      <c r="I3352">
        <v>5.63424443784672E-2</v>
      </c>
      <c r="J3352">
        <v>6.00342735458224E-2</v>
      </c>
      <c r="K3352">
        <v>5.3131435406829602E-2</v>
      </c>
      <c r="L3352">
        <v>1258.82214234453</v>
      </c>
      <c r="M3352">
        <v>25.015138767351701</v>
      </c>
      <c r="N3352">
        <v>50.569437227899897</v>
      </c>
      <c r="O3352">
        <v>50.004127420560401</v>
      </c>
      <c r="P3352">
        <v>-0.11787416851014999</v>
      </c>
      <c r="Q3352">
        <v>5.7512235335976797E-2</v>
      </c>
      <c r="R3352">
        <v>0.99023373636587997</v>
      </c>
      <c r="S3352" t="s">
        <v>6981</v>
      </c>
      <c r="T3352" t="s">
        <v>7256</v>
      </c>
      <c r="U3352" t="s">
        <v>7256</v>
      </c>
      <c r="V3352" t="s">
        <v>7256</v>
      </c>
      <c r="W3352">
        <v>10</v>
      </c>
      <c r="X3352" t="s">
        <v>10608</v>
      </c>
      <c r="Y3352">
        <v>0.39024564036071768</v>
      </c>
      <c r="Z3352" t="str">
        <f>HYPERLINK("Melting_Curves/meltCurve_tr_F6T1Q0_F6T1Q0_HUMAN_.pdf", "Melting_Curves/meltCurve_tr_F6T1Q0_F6T1Q0_HUMAN_.pdf")</f>
        <v>Melting_Curves/meltCurve_tr_F6T1Q0_F6T1Q0_HUMAN_.pdf</v>
      </c>
      <c r="AA3352" t="s">
        <v>14178</v>
      </c>
      <c r="AB3352" t="s">
        <v>17764</v>
      </c>
    </row>
    <row r="3353" spans="1:28" x14ac:dyDescent="0.25">
      <c r="A3353" t="s">
        <v>3357</v>
      </c>
      <c r="B3353">
        <v>0.98018197421672304</v>
      </c>
      <c r="C3353">
        <v>0.94044278395106395</v>
      </c>
      <c r="D3353">
        <v>0.85503752740843297</v>
      </c>
      <c r="E3353">
        <v>0.71391134248246402</v>
      </c>
      <c r="F3353">
        <v>0.47880301424560401</v>
      </c>
      <c r="G3353">
        <v>0.23134363449783901</v>
      </c>
      <c r="H3353">
        <v>0.115280398303499</v>
      </c>
      <c r="I3353">
        <v>8.2428760421011202E-2</v>
      </c>
      <c r="J3353">
        <v>8.4841968285779695E-2</v>
      </c>
      <c r="K3353">
        <v>6.2106251297662E-2</v>
      </c>
      <c r="L3353">
        <v>787.41890469728401</v>
      </c>
      <c r="M3353">
        <v>15.039793191546</v>
      </c>
      <c r="N3353">
        <v>52.577825354557497</v>
      </c>
      <c r="O3353">
        <v>51.456248917175699</v>
      </c>
      <c r="P3353">
        <v>-7.0828676802828297E-2</v>
      </c>
      <c r="Q3353">
        <v>3.0780993750267702E-2</v>
      </c>
      <c r="R3353">
        <v>0.99657635395446698</v>
      </c>
      <c r="S3353" t="s">
        <v>6982</v>
      </c>
      <c r="T3353" t="s">
        <v>7256</v>
      </c>
      <c r="U3353" t="s">
        <v>7256</v>
      </c>
      <c r="V3353" t="s">
        <v>7256</v>
      </c>
      <c r="W3353">
        <v>8</v>
      </c>
      <c r="X3353" t="s">
        <v>10609</v>
      </c>
      <c r="Y3353">
        <v>0.45126979664294392</v>
      </c>
      <c r="Z3353" t="str">
        <f>HYPERLINK("Melting_Curves/meltCurve_tr_F6TR53_F6TR53_HUMAN_.pdf", "Melting_Curves/meltCurve_tr_F6TR53_F6TR53_HUMAN_.pdf")</f>
        <v>Melting_Curves/meltCurve_tr_F6TR53_F6TR53_HUMAN_.pdf</v>
      </c>
      <c r="AA3353" t="s">
        <v>14179</v>
      </c>
      <c r="AB3353" t="s">
        <v>17765</v>
      </c>
    </row>
    <row r="3354" spans="1:28" x14ac:dyDescent="0.25">
      <c r="A3354" t="s">
        <v>3358</v>
      </c>
      <c r="B3354">
        <v>0.98018197421672304</v>
      </c>
      <c r="C3354">
        <v>0.82761826664967497</v>
      </c>
      <c r="D3354">
        <v>0.90681481243148898</v>
      </c>
      <c r="E3354">
        <v>0.911920945179158</v>
      </c>
      <c r="F3354">
        <v>0.74666039211828505</v>
      </c>
      <c r="G3354">
        <v>0.66569271486466597</v>
      </c>
      <c r="H3354">
        <v>0.46889705586230301</v>
      </c>
      <c r="I3354">
        <v>0.23538875478472801</v>
      </c>
      <c r="J3354">
        <v>6.3983824874478401E-2</v>
      </c>
      <c r="K3354">
        <v>5.5880446916902103E-2</v>
      </c>
      <c r="L3354">
        <v>809.760863011835</v>
      </c>
      <c r="M3354">
        <v>13.754124754819101</v>
      </c>
      <c r="N3354">
        <v>58.874038115297097</v>
      </c>
      <c r="O3354">
        <v>57.6713478683738</v>
      </c>
      <c r="P3354">
        <v>-5.9631323720464403E-2</v>
      </c>
      <c r="Q3354">
        <v>0</v>
      </c>
      <c r="R3354">
        <v>0.94713388012698796</v>
      </c>
      <c r="S3354" t="s">
        <v>6983</v>
      </c>
      <c r="T3354" t="s">
        <v>7256</v>
      </c>
      <c r="U3354" t="s">
        <v>7256</v>
      </c>
      <c r="V3354" t="s">
        <v>7256</v>
      </c>
      <c r="W3354">
        <v>5</v>
      </c>
      <c r="X3354" t="s">
        <v>10610</v>
      </c>
      <c r="Y3354">
        <v>0.63947483938202565</v>
      </c>
      <c r="Z3354" t="str">
        <f>HYPERLINK("Melting_Curves/meltCurve_tr_F6XY72_F6XY72_HUMAN_.pdf", "Melting_Curves/meltCurve_tr_F6XY72_F6XY72_HUMAN_.pdf")</f>
        <v>Melting_Curves/meltCurve_tr_F6XY72_F6XY72_HUMAN_.pdf</v>
      </c>
      <c r="AA3354" t="s">
        <v>11584</v>
      </c>
      <c r="AB3354" t="s">
        <v>17766</v>
      </c>
    </row>
    <row r="3355" spans="1:28" x14ac:dyDescent="0.25">
      <c r="A3355" t="s">
        <v>3359</v>
      </c>
      <c r="B3355">
        <v>0.98018197421672304</v>
      </c>
      <c r="C3355">
        <v>0.97998007340785698</v>
      </c>
      <c r="D3355">
        <v>0.91237816378018699</v>
      </c>
      <c r="E3355">
        <v>0.75843560852044101</v>
      </c>
      <c r="F3355">
        <v>0.52199863477489505</v>
      </c>
      <c r="G3355">
        <v>0.26498450794955403</v>
      </c>
      <c r="H3355">
        <v>0.18753296913421599</v>
      </c>
      <c r="I3355">
        <v>0.165612669758084</v>
      </c>
      <c r="J3355">
        <v>0.209978988004589</v>
      </c>
      <c r="K3355">
        <v>0.22077939107585101</v>
      </c>
      <c r="L3355">
        <v>1121.5385226524099</v>
      </c>
      <c r="M3355">
        <v>21.593287163523801</v>
      </c>
      <c r="N3355">
        <v>53.040564824174197</v>
      </c>
      <c r="O3355">
        <v>51.499901160441503</v>
      </c>
      <c r="P3355">
        <v>-8.5886374142539301E-2</v>
      </c>
      <c r="Q3355">
        <v>0.180664843937764</v>
      </c>
      <c r="R3355">
        <v>0.99442008525258196</v>
      </c>
      <c r="S3355" t="s">
        <v>6984</v>
      </c>
      <c r="T3355" t="s">
        <v>7256</v>
      </c>
      <c r="U3355" t="s">
        <v>7256</v>
      </c>
      <c r="V3355" t="s">
        <v>7256</v>
      </c>
      <c r="W3355">
        <v>10</v>
      </c>
      <c r="X3355" t="s">
        <v>10611</v>
      </c>
      <c r="Y3355">
        <v>0.51660049794765195</v>
      </c>
      <c r="Z3355" t="str">
        <f>HYPERLINK("Melting_Curves/meltCurve_tr_F8VQP2_F8VQP2_HUMAN_.pdf", "Melting_Curves/meltCurve_tr_F8VQP2_F8VQP2_HUMAN_.pdf")</f>
        <v>Melting_Curves/meltCurve_tr_F8VQP2_F8VQP2_HUMAN_.pdf</v>
      </c>
      <c r="AA3355" t="s">
        <v>14180</v>
      </c>
      <c r="AB3355" t="s">
        <v>17767</v>
      </c>
    </row>
    <row r="3356" spans="1:28" x14ac:dyDescent="0.25">
      <c r="A3356" t="s">
        <v>3360</v>
      </c>
      <c r="B3356">
        <v>0.98018197421672304</v>
      </c>
      <c r="C3356">
        <v>0.96589409467653697</v>
      </c>
      <c r="D3356">
        <v>0.90529315013501699</v>
      </c>
      <c r="E3356">
        <v>0.77210614306964198</v>
      </c>
      <c r="F3356">
        <v>0.74507750646947601</v>
      </c>
      <c r="G3356">
        <v>0.66035770512392999</v>
      </c>
      <c r="H3356">
        <v>0.42539791244366398</v>
      </c>
      <c r="I3356">
        <v>0.49486488951855401</v>
      </c>
      <c r="J3356">
        <v>0.43877195947956699</v>
      </c>
      <c r="K3356">
        <v>0.68022710541804099</v>
      </c>
      <c r="L3356">
        <v>725.45429585154102</v>
      </c>
      <c r="M3356">
        <v>14.1256866552656</v>
      </c>
      <c r="O3356">
        <v>50.360694437010402</v>
      </c>
      <c r="P3356">
        <v>-3.4896197728053698E-2</v>
      </c>
      <c r="Q3356">
        <v>0.50241794428744602</v>
      </c>
      <c r="R3356">
        <v>0.84924748976589604</v>
      </c>
      <c r="S3356" t="s">
        <v>6985</v>
      </c>
      <c r="T3356" t="s">
        <v>7256</v>
      </c>
      <c r="U3356" t="s">
        <v>7256</v>
      </c>
      <c r="V3356" t="s">
        <v>7256</v>
      </c>
      <c r="W3356">
        <v>3</v>
      </c>
      <c r="X3356" t="s">
        <v>10612</v>
      </c>
      <c r="Y3356">
        <v>0.70328554273821031</v>
      </c>
      <c r="Z3356" t="str">
        <f>HYPERLINK("Melting_Curves/meltCurve_tr_F8VQR7_F8VQR7_HUMAN_.pdf", "Melting_Curves/meltCurve_tr_F8VQR7_F8VQR7_HUMAN_.pdf")</f>
        <v>Melting_Curves/meltCurve_tr_F8VQR7_F8VQR7_HUMAN_.pdf</v>
      </c>
      <c r="AA3356" t="s">
        <v>14181</v>
      </c>
      <c r="AB3356" t="s">
        <v>17768</v>
      </c>
    </row>
    <row r="3357" spans="1:28" x14ac:dyDescent="0.25">
      <c r="A3357" t="s">
        <v>3361</v>
      </c>
      <c r="B3357">
        <v>0.98018197421672304</v>
      </c>
      <c r="C3357">
        <v>0.93747116463594904</v>
      </c>
      <c r="D3357">
        <v>0.68078055208791299</v>
      </c>
      <c r="E3357">
        <v>0.23733736062397101</v>
      </c>
      <c r="F3357">
        <v>0.103786923767432</v>
      </c>
      <c r="G3357">
        <v>7.1079815323154105E-2</v>
      </c>
      <c r="H3357">
        <v>4.4673368620853297E-2</v>
      </c>
      <c r="I3357">
        <v>3.9676190435842501E-2</v>
      </c>
      <c r="J3357">
        <v>4.25043371210682E-2</v>
      </c>
      <c r="K3357">
        <v>3.4774045551080802E-2</v>
      </c>
      <c r="L3357">
        <v>1179.8839283146101</v>
      </c>
      <c r="M3357">
        <v>24.9507075017735</v>
      </c>
      <c r="N3357">
        <v>47.457278583944898</v>
      </c>
      <c r="O3357">
        <v>46.987976297083797</v>
      </c>
      <c r="P3357">
        <v>-0.12711896889163901</v>
      </c>
      <c r="Q3357">
        <v>4.24350298095173E-2</v>
      </c>
      <c r="R3357">
        <v>0.99966694484221696</v>
      </c>
      <c r="S3357" t="s">
        <v>6986</v>
      </c>
      <c r="T3357" t="s">
        <v>7256</v>
      </c>
      <c r="U3357" t="s">
        <v>7256</v>
      </c>
      <c r="V3357" t="s">
        <v>7256</v>
      </c>
      <c r="W3357">
        <v>3</v>
      </c>
      <c r="X3357" t="s">
        <v>10613</v>
      </c>
      <c r="Y3357">
        <v>0.28362396034647791</v>
      </c>
      <c r="Z3357" t="str">
        <f>HYPERLINK("Melting_Curves/meltCurve_tr_F8VQX6_F8VQX6_HUMAN_.pdf", "Melting_Curves/meltCurve_tr_F8VQX6_F8VQX6_HUMAN_.pdf")</f>
        <v>Melting_Curves/meltCurve_tr_F8VQX6_F8VQX6_HUMAN_.pdf</v>
      </c>
      <c r="AA3357" t="s">
        <v>14182</v>
      </c>
      <c r="AB3357" t="s">
        <v>17769</v>
      </c>
    </row>
    <row r="3358" spans="1:28" x14ac:dyDescent="0.25">
      <c r="A3358" t="s">
        <v>3362</v>
      </c>
      <c r="B3358">
        <v>0.98018197421672304</v>
      </c>
      <c r="C3358">
        <v>0.90491627311659795</v>
      </c>
      <c r="D3358">
        <v>0.726302415760817</v>
      </c>
      <c r="E3358">
        <v>0.498018364222931</v>
      </c>
      <c r="F3358">
        <v>0.29017891827346698</v>
      </c>
      <c r="G3358">
        <v>0.13209305329634699</v>
      </c>
      <c r="H3358">
        <v>6.9496122359481105E-2</v>
      </c>
      <c r="I3358">
        <v>5.9774171331422099E-2</v>
      </c>
      <c r="J3358">
        <v>6.3892592495434899E-2</v>
      </c>
      <c r="K3358">
        <v>3.7345367242487201E-2</v>
      </c>
      <c r="L3358">
        <v>711.94770833099597</v>
      </c>
      <c r="M3358">
        <v>14.403372471491</v>
      </c>
      <c r="N3358">
        <v>49.592976336833701</v>
      </c>
      <c r="O3358">
        <v>48.505721825035003</v>
      </c>
      <c r="P3358">
        <v>-7.2520190340253907E-2</v>
      </c>
      <c r="Q3358">
        <v>2.32210593493123E-2</v>
      </c>
      <c r="R3358">
        <v>0.99817517656327304</v>
      </c>
      <c r="S3358" t="s">
        <v>6987</v>
      </c>
      <c r="T3358" t="s">
        <v>7256</v>
      </c>
      <c r="U3358" t="s">
        <v>7256</v>
      </c>
      <c r="V3358" t="s">
        <v>7256</v>
      </c>
      <c r="W3358">
        <v>3</v>
      </c>
      <c r="X3358" t="s">
        <v>10614</v>
      </c>
      <c r="Y3358">
        <v>0.35578824841759732</v>
      </c>
      <c r="Z3358" t="str">
        <f>HYPERLINK("Melting_Curves/meltCurve_tr_F8VQY6_F8VQY6_HUMAN_.pdf", "Melting_Curves/meltCurve_tr_F8VQY6_F8VQY6_HUMAN_.pdf")</f>
        <v>Melting_Curves/meltCurve_tr_F8VQY6_F8VQY6_HUMAN_.pdf</v>
      </c>
      <c r="AA3358" t="s">
        <v>14183</v>
      </c>
      <c r="AB3358" t="s">
        <v>17770</v>
      </c>
    </row>
    <row r="3359" spans="1:28" x14ac:dyDescent="0.25">
      <c r="A3359" t="s">
        <v>3363</v>
      </c>
      <c r="B3359">
        <v>0.98018197421672304</v>
      </c>
      <c r="C3359">
        <v>0.96504351464183502</v>
      </c>
      <c r="D3359">
        <v>0.89688551263080796</v>
      </c>
      <c r="E3359">
        <v>0.70944505288764104</v>
      </c>
      <c r="F3359">
        <v>0.57974905584529501</v>
      </c>
      <c r="G3359">
        <v>0.432959021362048</v>
      </c>
      <c r="H3359">
        <v>0.29783901931823697</v>
      </c>
      <c r="I3359">
        <v>0.25922013424922302</v>
      </c>
      <c r="J3359">
        <v>0.20632307894691401</v>
      </c>
      <c r="K3359">
        <v>0.107201488685845</v>
      </c>
      <c r="L3359">
        <v>548.73824886438103</v>
      </c>
      <c r="M3359">
        <v>10.0593574047478</v>
      </c>
      <c r="N3359">
        <v>55.207790975135097</v>
      </c>
      <c r="O3359">
        <v>52.525792137535703</v>
      </c>
      <c r="P3359">
        <v>-4.5195822953591903E-2</v>
      </c>
      <c r="Q3359">
        <v>5.6473279717728198E-2</v>
      </c>
      <c r="R3359">
        <v>0.99496079527526005</v>
      </c>
      <c r="S3359" t="s">
        <v>6988</v>
      </c>
      <c r="T3359" t="s">
        <v>7256</v>
      </c>
      <c r="U3359" t="s">
        <v>7256</v>
      </c>
      <c r="V3359" t="s">
        <v>7256</v>
      </c>
      <c r="W3359">
        <v>6</v>
      </c>
      <c r="X3359" t="s">
        <v>10615</v>
      </c>
      <c r="Y3359">
        <v>0.54029999605644008</v>
      </c>
      <c r="Z3359" t="str">
        <f>HYPERLINK("Melting_Curves/meltCurve_tr_F8VRR3_F8VRR3_HUMAN_.pdf", "Melting_Curves/meltCurve_tr_F8VRR3_F8VRR3_HUMAN_.pdf")</f>
        <v>Melting_Curves/meltCurve_tr_F8VRR3_F8VRR3_HUMAN_.pdf</v>
      </c>
      <c r="AA3359" t="s">
        <v>14184</v>
      </c>
      <c r="AB3359" t="s">
        <v>17771</v>
      </c>
    </row>
    <row r="3360" spans="1:28" x14ac:dyDescent="0.25">
      <c r="A3360" t="s">
        <v>3364</v>
      </c>
      <c r="B3360">
        <v>0.98018197421672304</v>
      </c>
      <c r="C3360">
        <v>0.98415856231162302</v>
      </c>
      <c r="D3360">
        <v>0.85974147145206603</v>
      </c>
      <c r="E3360">
        <v>0.741991747237423</v>
      </c>
      <c r="F3360">
        <v>0.48532564403762202</v>
      </c>
      <c r="G3360">
        <v>0.25361659925337898</v>
      </c>
      <c r="H3360">
        <v>7.49432516642103E-2</v>
      </c>
      <c r="I3360">
        <v>3.44760622289439E-2</v>
      </c>
      <c r="J3360">
        <v>8.3033228927250999E-2</v>
      </c>
      <c r="K3360">
        <v>1.7289601417639501E-2</v>
      </c>
      <c r="L3360">
        <v>830.95755710361198</v>
      </c>
      <c r="M3360">
        <v>15.719310387394</v>
      </c>
      <c r="N3360">
        <v>52.862221851752103</v>
      </c>
      <c r="O3360">
        <v>52.028874695069398</v>
      </c>
      <c r="P3360">
        <v>-7.5538017025558402E-2</v>
      </c>
      <c r="Q3360">
        <v>0</v>
      </c>
      <c r="R3360">
        <v>0.99439196827972698</v>
      </c>
      <c r="S3360" t="s">
        <v>6989</v>
      </c>
      <c r="T3360" t="s">
        <v>7256</v>
      </c>
      <c r="U3360" t="s">
        <v>7256</v>
      </c>
      <c r="V3360" t="s">
        <v>7256</v>
      </c>
      <c r="W3360">
        <v>4</v>
      </c>
      <c r="X3360" t="s">
        <v>10616</v>
      </c>
      <c r="Y3360">
        <v>0.44897208124461713</v>
      </c>
      <c r="Z3360" t="str">
        <f>HYPERLINK("Melting_Curves/meltCurve_tr_F8VSC5_F8VSC5_HUMAN_.pdf", "Melting_Curves/meltCurve_tr_F8VSC5_F8VSC5_HUMAN_.pdf")</f>
        <v>Melting_Curves/meltCurve_tr_F8VSC5_F8VSC5_HUMAN_.pdf</v>
      </c>
      <c r="AA3360" t="s">
        <v>14185</v>
      </c>
      <c r="AB3360" t="s">
        <v>17772</v>
      </c>
    </row>
    <row r="3361" spans="1:28" x14ac:dyDescent="0.25">
      <c r="A3361" t="s">
        <v>3365</v>
      </c>
      <c r="B3361">
        <v>0.98018197421672304</v>
      </c>
      <c r="C3361">
        <v>0.78038972134269302</v>
      </c>
      <c r="D3361">
        <v>0.82584412508400795</v>
      </c>
      <c r="E3361">
        <v>0.67894786679165398</v>
      </c>
      <c r="F3361">
        <v>0.52821130766743696</v>
      </c>
      <c r="G3361">
        <v>0.36308427568087098</v>
      </c>
      <c r="H3361">
        <v>0.27991089785575501</v>
      </c>
      <c r="I3361">
        <v>0.23559194979506301</v>
      </c>
      <c r="J3361">
        <v>0.265116176513298</v>
      </c>
      <c r="K3361">
        <v>0.28923779256773302</v>
      </c>
      <c r="L3361">
        <v>510.61381935644698</v>
      </c>
      <c r="M3361">
        <v>10.0240749439537</v>
      </c>
      <c r="N3361">
        <v>53.3890943385085</v>
      </c>
      <c r="O3361">
        <v>49.036000998888902</v>
      </c>
      <c r="P3361">
        <v>-4.1703002728233102E-2</v>
      </c>
      <c r="Q3361">
        <v>0.18437823311028601</v>
      </c>
      <c r="R3361">
        <v>0.96453796623256305</v>
      </c>
      <c r="S3361" t="s">
        <v>6990</v>
      </c>
      <c r="T3361" t="s">
        <v>7256</v>
      </c>
      <c r="U3361" t="s">
        <v>7256</v>
      </c>
      <c r="V3361" t="s">
        <v>7256</v>
      </c>
      <c r="W3361">
        <v>1</v>
      </c>
      <c r="X3361" t="s">
        <v>10617</v>
      </c>
      <c r="Y3361">
        <v>0.51577488337405619</v>
      </c>
      <c r="Z3361" t="str">
        <f>HYPERLINK("Melting_Curves/meltCurve_tr_F8VSL3_F8VSL3_HUMAN_.pdf", "Melting_Curves/meltCurve_tr_F8VSL3_F8VSL3_HUMAN_.pdf")</f>
        <v>Melting_Curves/meltCurve_tr_F8VSL3_F8VSL3_HUMAN_.pdf</v>
      </c>
      <c r="AA3361" t="s">
        <v>14186</v>
      </c>
      <c r="AB3361" t="s">
        <v>17773</v>
      </c>
    </row>
    <row r="3362" spans="1:28" x14ac:dyDescent="0.25">
      <c r="A3362" t="s">
        <v>3366</v>
      </c>
      <c r="B3362">
        <v>0.98018197421672304</v>
      </c>
      <c r="C3362">
        <v>0.89114072340261397</v>
      </c>
      <c r="D3362">
        <v>0.67266841003524802</v>
      </c>
      <c r="E3362">
        <v>0.46672691391560001</v>
      </c>
      <c r="F3362">
        <v>0.25178078395423198</v>
      </c>
      <c r="G3362">
        <v>0.131243491498783</v>
      </c>
      <c r="H3362">
        <v>7.2182790926220902E-2</v>
      </c>
      <c r="I3362">
        <v>5.5035992049243802E-2</v>
      </c>
      <c r="J3362">
        <v>7.3970609178024199E-2</v>
      </c>
      <c r="K3362">
        <v>2.11628158673881E-2</v>
      </c>
      <c r="L3362">
        <v>688.65158853627395</v>
      </c>
      <c r="M3362">
        <v>14.108701978497299</v>
      </c>
      <c r="N3362">
        <v>48.982541889885198</v>
      </c>
      <c r="O3362">
        <v>47.861219195379803</v>
      </c>
      <c r="P3362">
        <v>-7.1923057476371302E-2</v>
      </c>
      <c r="Q3362">
        <v>2.41817028545438E-2</v>
      </c>
      <c r="R3362">
        <v>0.99609037321913896</v>
      </c>
      <c r="S3362" t="s">
        <v>6991</v>
      </c>
      <c r="T3362" t="s">
        <v>7256</v>
      </c>
      <c r="U3362" t="s">
        <v>7256</v>
      </c>
      <c r="V3362" t="s">
        <v>7256</v>
      </c>
      <c r="W3362">
        <v>2</v>
      </c>
      <c r="X3362" t="s">
        <v>10618</v>
      </c>
      <c r="Y3362">
        <v>0.33797248618024678</v>
      </c>
      <c r="Z3362" t="str">
        <f>HYPERLINK("Melting_Curves/meltCurve_tr_F8VUA6_F8VUA6_HUMAN_.pdf", "Melting_Curves/meltCurve_tr_F8VUA6_F8VUA6_HUMAN_.pdf")</f>
        <v>Melting_Curves/meltCurve_tr_F8VUA6_F8VUA6_HUMAN_.pdf</v>
      </c>
      <c r="AA3362" t="s">
        <v>14187</v>
      </c>
      <c r="AB3362" t="s">
        <v>17774</v>
      </c>
    </row>
    <row r="3363" spans="1:28" x14ac:dyDescent="0.25">
      <c r="A3363" t="s">
        <v>3367</v>
      </c>
      <c r="B3363">
        <v>0.98018197421672304</v>
      </c>
      <c r="C3363">
        <v>0.865135716072713</v>
      </c>
      <c r="D3363">
        <v>0.95885738174146196</v>
      </c>
      <c r="E3363">
        <v>0.88233190411481799</v>
      </c>
      <c r="F3363">
        <v>0.99759874121414704</v>
      </c>
      <c r="G3363">
        <v>0.72948953012585704</v>
      </c>
      <c r="H3363">
        <v>0.67357619163316296</v>
      </c>
      <c r="I3363">
        <v>0.71514356194215101</v>
      </c>
      <c r="J3363">
        <v>0.82551272762043304</v>
      </c>
      <c r="K3363">
        <v>0.69753449954442204</v>
      </c>
      <c r="L3363">
        <v>422.72589496623101</v>
      </c>
      <c r="M3363">
        <v>7.7068448299208603</v>
      </c>
      <c r="O3363">
        <v>51.5242607381225</v>
      </c>
      <c r="P3363">
        <v>-1.2869833041376601E-2</v>
      </c>
      <c r="Q3363">
        <v>0.656280673583714</v>
      </c>
      <c r="R3363">
        <v>0.58498764151023297</v>
      </c>
      <c r="S3363" t="s">
        <v>6992</v>
      </c>
      <c r="T3363" t="s">
        <v>7256</v>
      </c>
      <c r="U3363" t="s">
        <v>7256</v>
      </c>
      <c r="V3363" t="s">
        <v>7256</v>
      </c>
      <c r="W3363">
        <v>5</v>
      </c>
      <c r="X3363" t="s">
        <v>10619</v>
      </c>
      <c r="Y3363">
        <v>0.83616457657950283</v>
      </c>
      <c r="Z3363" t="str">
        <f>HYPERLINK("Melting_Curves/meltCurve_tr_F8VVL1_F8VVL1_HUMAN_.pdf", "Melting_Curves/meltCurve_tr_F8VVL1_F8VVL1_HUMAN_.pdf")</f>
        <v>Melting_Curves/meltCurve_tr_F8VVL1_F8VVL1_HUMAN_.pdf</v>
      </c>
      <c r="AA3363" t="s">
        <v>14188</v>
      </c>
      <c r="AB3363" t="s">
        <v>17775</v>
      </c>
    </row>
    <row r="3364" spans="1:28" x14ac:dyDescent="0.25">
      <c r="A3364" t="s">
        <v>3368</v>
      </c>
      <c r="B3364">
        <v>0.98018197421672304</v>
      </c>
      <c r="C3364">
        <v>0.94681312515572502</v>
      </c>
      <c r="D3364">
        <v>0.74177863695318402</v>
      </c>
      <c r="E3364">
        <v>0.27488325959821602</v>
      </c>
      <c r="F3364">
        <v>0.108136974696513</v>
      </c>
      <c r="G3364">
        <v>9.0016725495286706E-2</v>
      </c>
      <c r="H3364">
        <v>4.7829183023346003E-2</v>
      </c>
      <c r="I3364">
        <v>3.5246879661408E-2</v>
      </c>
      <c r="J3364">
        <v>3.6018804138077697E-2</v>
      </c>
      <c r="K3364">
        <v>4.47421862360095E-2</v>
      </c>
      <c r="L3364">
        <v>1213.14339532389</v>
      </c>
      <c r="M3364">
        <v>25.398606582257699</v>
      </c>
      <c r="N3364">
        <v>47.940732082618197</v>
      </c>
      <c r="O3364">
        <v>47.471026077031802</v>
      </c>
      <c r="P3364">
        <v>-0.12778795169918</v>
      </c>
      <c r="Q3364">
        <v>4.4648619853375003E-2</v>
      </c>
      <c r="R3364">
        <v>0.99903413394445995</v>
      </c>
      <c r="S3364" t="s">
        <v>6993</v>
      </c>
      <c r="T3364" t="s">
        <v>7256</v>
      </c>
      <c r="U3364" t="s">
        <v>7256</v>
      </c>
      <c r="V3364" t="s">
        <v>7256</v>
      </c>
      <c r="W3364">
        <v>2</v>
      </c>
      <c r="X3364" t="s">
        <v>10620</v>
      </c>
      <c r="Y3364">
        <v>0.30006936794233058</v>
      </c>
      <c r="Z3364" t="str">
        <f>HYPERLINK("Melting_Curves/meltCurve_tr_F8VVM2_F8VVM2_HUMAN_.pdf", "Melting_Curves/meltCurve_tr_F8VVM2_F8VVM2_HUMAN_.pdf")</f>
        <v>Melting_Curves/meltCurve_tr_F8VVM2_F8VVM2_HUMAN_.pdf</v>
      </c>
      <c r="AA3364" t="s">
        <v>14189</v>
      </c>
      <c r="AB3364" t="s">
        <v>17776</v>
      </c>
    </row>
    <row r="3365" spans="1:28" x14ac:dyDescent="0.25">
      <c r="A3365" t="s">
        <v>3369</v>
      </c>
      <c r="B3365">
        <v>0.98018197421672304</v>
      </c>
      <c r="C3365">
        <v>0.94086364706804904</v>
      </c>
      <c r="D3365">
        <v>0.81664772896262505</v>
      </c>
      <c r="E3365">
        <v>0.52131165711542504</v>
      </c>
      <c r="F3365">
        <v>0.22086741988476799</v>
      </c>
      <c r="G3365">
        <v>0.137685395646753</v>
      </c>
      <c r="H3365">
        <v>8.61030285231493E-2</v>
      </c>
      <c r="I3365">
        <v>7.4700878777022195E-2</v>
      </c>
      <c r="J3365">
        <v>7.2995110064096397E-2</v>
      </c>
      <c r="K3365">
        <v>5.5195121587911199E-2</v>
      </c>
      <c r="L3365">
        <v>970.31090123695697</v>
      </c>
      <c r="M3365">
        <v>19.595473236758298</v>
      </c>
      <c r="N3365">
        <v>49.842058310290497</v>
      </c>
      <c r="O3365">
        <v>49.010048333969202</v>
      </c>
      <c r="P3365">
        <v>-9.3965574048852002E-2</v>
      </c>
      <c r="Q3365">
        <v>5.9967621806964702E-2</v>
      </c>
      <c r="R3365">
        <v>0.99716075973860596</v>
      </c>
      <c r="S3365" t="s">
        <v>6994</v>
      </c>
      <c r="T3365" t="s">
        <v>7256</v>
      </c>
      <c r="U3365" t="s">
        <v>7256</v>
      </c>
      <c r="V3365" t="s">
        <v>7256</v>
      </c>
      <c r="W3365">
        <v>16</v>
      </c>
      <c r="X3365" t="s">
        <v>10621</v>
      </c>
      <c r="Y3365">
        <v>0.37184020812451041</v>
      </c>
      <c r="Z3365" t="str">
        <f>HYPERLINK("Melting_Curves/meltCurve_tr_F8VWA6_F8VWA6_HUMAN_.pdf", "Melting_Curves/meltCurve_tr_F8VWA6_F8VWA6_HUMAN_.pdf")</f>
        <v>Melting_Curves/meltCurve_tr_F8VWA6_F8VWA6_HUMAN_.pdf</v>
      </c>
      <c r="AA3365" t="s">
        <v>14190</v>
      </c>
      <c r="AB3365" t="s">
        <v>17777</v>
      </c>
    </row>
    <row r="3366" spans="1:28" x14ac:dyDescent="0.25">
      <c r="A3366" t="s">
        <v>3370</v>
      </c>
      <c r="B3366">
        <v>0.98018197421672304</v>
      </c>
      <c r="C3366">
        <v>0.96373368021318095</v>
      </c>
      <c r="D3366">
        <v>0.83292173120629198</v>
      </c>
      <c r="E3366">
        <v>0.82266019045308403</v>
      </c>
      <c r="F3366">
        <v>0.64100583263670696</v>
      </c>
      <c r="G3366">
        <v>0.45186484159601098</v>
      </c>
      <c r="H3366">
        <v>0.35384414260540198</v>
      </c>
      <c r="I3366">
        <v>0.34768727240210401</v>
      </c>
      <c r="J3366">
        <v>0.34101428742499701</v>
      </c>
      <c r="K3366">
        <v>0.374679511977838</v>
      </c>
      <c r="L3366">
        <v>736.65149536837703</v>
      </c>
      <c r="M3366">
        <v>14.076131494465599</v>
      </c>
      <c r="N3366">
        <v>56.199301434537603</v>
      </c>
      <c r="O3366">
        <v>51.3110953935631</v>
      </c>
      <c r="P3366">
        <v>-4.7318710688523898E-2</v>
      </c>
      <c r="Q3366">
        <v>0.31013422066617902</v>
      </c>
      <c r="R3366">
        <v>0.97752114035683602</v>
      </c>
      <c r="S3366" t="s">
        <v>6995</v>
      </c>
      <c r="T3366" t="s">
        <v>7256</v>
      </c>
      <c r="U3366" t="s">
        <v>7256</v>
      </c>
      <c r="V3366" t="s">
        <v>7256</v>
      </c>
      <c r="W3366">
        <v>1</v>
      </c>
      <c r="X3366" t="s">
        <v>10622</v>
      </c>
      <c r="Y3366">
        <v>0.61045674802157146</v>
      </c>
      <c r="Z3366" t="str">
        <f>HYPERLINK("Melting_Curves/meltCurve_tr_F8VWH9_F8VWH9_HUMAN_.pdf", "Melting_Curves/meltCurve_tr_F8VWH9_F8VWH9_HUMAN_.pdf")</f>
        <v>Melting_Curves/meltCurve_tr_F8VWH9_F8VWH9_HUMAN_.pdf</v>
      </c>
      <c r="AA3366" t="s">
        <v>14191</v>
      </c>
      <c r="AB3366" t="s">
        <v>17778</v>
      </c>
    </row>
    <row r="3367" spans="1:28" x14ac:dyDescent="0.25">
      <c r="A3367" t="s">
        <v>3371</v>
      </c>
      <c r="B3367">
        <v>0.98018197421672304</v>
      </c>
      <c r="C3367">
        <v>0.90139409790779501</v>
      </c>
      <c r="D3367">
        <v>0.88447377016346196</v>
      </c>
      <c r="E3367">
        <v>0.59562358983341401</v>
      </c>
      <c r="F3367">
        <v>0.32443321615412202</v>
      </c>
      <c r="G3367">
        <v>0.16393596104397901</v>
      </c>
      <c r="H3367">
        <v>0.140926251832865</v>
      </c>
      <c r="I3367">
        <v>9.2255933386090005E-2</v>
      </c>
      <c r="J3367">
        <v>0.194949501233742</v>
      </c>
      <c r="K3367">
        <v>4.6984218095477003E-2</v>
      </c>
      <c r="L3367">
        <v>981.49996388225497</v>
      </c>
      <c r="M3367">
        <v>19.525037550278501</v>
      </c>
      <c r="N3367">
        <v>50.8547383096532</v>
      </c>
      <c r="O3367">
        <v>49.750387558416897</v>
      </c>
      <c r="P3367">
        <v>-8.8235145835911397E-2</v>
      </c>
      <c r="Q3367">
        <v>0.10072888855616099</v>
      </c>
      <c r="R3367">
        <v>0.98579311546426795</v>
      </c>
      <c r="S3367" t="s">
        <v>6996</v>
      </c>
      <c r="T3367" t="s">
        <v>7256</v>
      </c>
      <c r="U3367" t="s">
        <v>7256</v>
      </c>
      <c r="V3367" t="s">
        <v>7256</v>
      </c>
      <c r="W3367">
        <v>4</v>
      </c>
      <c r="X3367" t="s">
        <v>10623</v>
      </c>
      <c r="Y3367">
        <v>0.42164229295760619</v>
      </c>
      <c r="Z3367" t="str">
        <f>HYPERLINK("Melting_Curves/meltCurve_tr_F8VXY3_F8VXY3_HUMAN_.pdf", "Melting_Curves/meltCurve_tr_F8VXY3_F8VXY3_HUMAN_.pdf")</f>
        <v>Melting_Curves/meltCurve_tr_F8VXY3_F8VXY3_HUMAN_.pdf</v>
      </c>
      <c r="AA3367" t="s">
        <v>14192</v>
      </c>
      <c r="AB3367" t="s">
        <v>17779</v>
      </c>
    </row>
    <row r="3368" spans="1:28" x14ac:dyDescent="0.25">
      <c r="A3368" t="s">
        <v>3372</v>
      </c>
      <c r="B3368">
        <v>0.98018197421672304</v>
      </c>
      <c r="C3368">
        <v>1.0330796984778701</v>
      </c>
      <c r="D3368">
        <v>0.87028821495471897</v>
      </c>
      <c r="E3368">
        <v>0.66968805958175603</v>
      </c>
      <c r="F3368">
        <v>0.48501716199827499</v>
      </c>
      <c r="G3368">
        <v>0.31356502459506502</v>
      </c>
      <c r="H3368">
        <v>0.16503581904796699</v>
      </c>
      <c r="I3368">
        <v>0.13063729518376299</v>
      </c>
      <c r="J3368">
        <v>7.4798068797063202E-2</v>
      </c>
      <c r="K3368">
        <v>6.2662168836223595E-2</v>
      </c>
      <c r="L3368">
        <v>718.59491197622003</v>
      </c>
      <c r="M3368">
        <v>13.652055107822701</v>
      </c>
      <c r="N3368">
        <v>52.949472114991103</v>
      </c>
      <c r="O3368">
        <v>51.5455315302641</v>
      </c>
      <c r="P3368">
        <v>-6.3655421538165294E-2</v>
      </c>
      <c r="Q3368">
        <v>3.8775053678052701E-2</v>
      </c>
      <c r="R3368">
        <v>0.99462010237144804</v>
      </c>
      <c r="S3368" t="s">
        <v>6997</v>
      </c>
      <c r="T3368" t="s">
        <v>7256</v>
      </c>
      <c r="U3368" t="s">
        <v>7256</v>
      </c>
      <c r="V3368" t="s">
        <v>7256</v>
      </c>
      <c r="W3368">
        <v>2</v>
      </c>
      <c r="X3368" t="s">
        <v>10624</v>
      </c>
      <c r="Y3368">
        <v>0.46757857926589969</v>
      </c>
      <c r="Z3368" t="str">
        <f>HYPERLINK("Melting_Curves/meltCurve_tr_F8VYH9_F8VYH9_HUMAN_.pdf", "Melting_Curves/meltCurve_tr_F8VYH9_F8VYH9_HUMAN_.pdf")</f>
        <v>Melting_Curves/meltCurve_tr_F8VYH9_F8VYH9_HUMAN_.pdf</v>
      </c>
      <c r="AA3368" t="s">
        <v>14193</v>
      </c>
      <c r="AB3368" t="s">
        <v>17780</v>
      </c>
    </row>
    <row r="3369" spans="1:28" x14ac:dyDescent="0.25">
      <c r="A3369" t="s">
        <v>3373</v>
      </c>
      <c r="B3369">
        <v>0.98018197421672304</v>
      </c>
      <c r="C3369">
        <v>0.98153397785734398</v>
      </c>
      <c r="D3369">
        <v>0.92587456332866602</v>
      </c>
      <c r="E3369">
        <v>0.80612098919707198</v>
      </c>
      <c r="F3369">
        <v>0.70988087407943901</v>
      </c>
      <c r="G3369">
        <v>0.52656633907866701</v>
      </c>
      <c r="H3369">
        <v>0.51667414144650503</v>
      </c>
      <c r="I3369">
        <v>0.57041129203713503</v>
      </c>
      <c r="J3369">
        <v>0.57823640729747305</v>
      </c>
      <c r="K3369">
        <v>0.76601716552774102</v>
      </c>
      <c r="L3369">
        <v>1233.98685344301</v>
      </c>
      <c r="M3369">
        <v>24.672537652630599</v>
      </c>
      <c r="O3369">
        <v>49.6894977725266</v>
      </c>
      <c r="P3369">
        <v>-5.0508362256694098E-2</v>
      </c>
      <c r="Q3369">
        <v>0.59311853009947602</v>
      </c>
      <c r="R3369">
        <v>0.84559835523019</v>
      </c>
      <c r="S3369" t="s">
        <v>6998</v>
      </c>
      <c r="T3369" t="s">
        <v>7256</v>
      </c>
      <c r="U3369" t="s">
        <v>7256</v>
      </c>
      <c r="V3369" t="s">
        <v>7256</v>
      </c>
      <c r="W3369">
        <v>3</v>
      </c>
      <c r="X3369" t="s">
        <v>10625</v>
      </c>
      <c r="Y3369">
        <v>0.73267834633126394</v>
      </c>
      <c r="Z3369" t="str">
        <f>HYPERLINK("Melting_Curves/meltCurve_tr_F8VZJ2_F8VZJ2_HUMAN_.pdf", "Melting_Curves/meltCurve_tr_F8VZJ2_F8VZJ2_HUMAN_.pdf")</f>
        <v>Melting_Curves/meltCurve_tr_F8VZJ2_F8VZJ2_HUMAN_.pdf</v>
      </c>
      <c r="AA3369" t="s">
        <v>14194</v>
      </c>
      <c r="AB3369" t="s">
        <v>17781</v>
      </c>
    </row>
    <row r="3370" spans="1:28" x14ac:dyDescent="0.25">
      <c r="A3370" t="s">
        <v>3374</v>
      </c>
      <c r="B3370">
        <v>0.98018197421672304</v>
      </c>
      <c r="C3370">
        <v>0.97833140165811805</v>
      </c>
      <c r="D3370">
        <v>0.91382031455811397</v>
      </c>
      <c r="E3370">
        <v>0.72844404583405598</v>
      </c>
      <c r="F3370">
        <v>0.57624101719578102</v>
      </c>
      <c r="G3370">
        <v>0.33096519789502099</v>
      </c>
      <c r="H3370">
        <v>0.26709093631269898</v>
      </c>
      <c r="I3370">
        <v>0.25582796506441302</v>
      </c>
      <c r="J3370">
        <v>0.27865641717255901</v>
      </c>
      <c r="K3370">
        <v>0.30400412592209303</v>
      </c>
      <c r="L3370">
        <v>981.10495103893504</v>
      </c>
      <c r="M3370">
        <v>19.014489331991701</v>
      </c>
      <c r="N3370">
        <v>53.635998245418101</v>
      </c>
      <c r="O3370">
        <v>51.037212034604003</v>
      </c>
      <c r="P3370">
        <v>-6.9182604685466595E-2</v>
      </c>
      <c r="Q3370">
        <v>0.25725126588323799</v>
      </c>
      <c r="R3370">
        <v>0.99278163859255397</v>
      </c>
      <c r="S3370" t="s">
        <v>6999</v>
      </c>
      <c r="T3370" t="s">
        <v>7256</v>
      </c>
      <c r="U3370" t="s">
        <v>7256</v>
      </c>
      <c r="V3370" t="s">
        <v>7256</v>
      </c>
      <c r="W3370">
        <v>5</v>
      </c>
      <c r="X3370" t="s">
        <v>10626</v>
      </c>
      <c r="Y3370">
        <v>0.55566964366423166</v>
      </c>
      <c r="Z3370" t="str">
        <f>HYPERLINK("Melting_Curves/meltCurve_tr_F8W038_F8W038_HUMAN_.pdf", "Melting_Curves/meltCurve_tr_F8W038_F8W038_HUMAN_.pdf")</f>
        <v>Melting_Curves/meltCurve_tr_F8W038_F8W038_HUMAN_.pdf</v>
      </c>
      <c r="AA3370" t="s">
        <v>14195</v>
      </c>
      <c r="AB3370" t="s">
        <v>17782</v>
      </c>
    </row>
    <row r="3371" spans="1:28" x14ac:dyDescent="0.25">
      <c r="A3371" t="s">
        <v>3375</v>
      </c>
      <c r="B3371">
        <v>0.98018197421672304</v>
      </c>
      <c r="C3371">
        <v>0.99527100322609097</v>
      </c>
      <c r="D3371">
        <v>0.74520359744248599</v>
      </c>
      <c r="E3371">
        <v>0.62974418878011595</v>
      </c>
      <c r="F3371">
        <v>0.494044741335529</v>
      </c>
      <c r="G3371">
        <v>0.16786177700966701</v>
      </c>
      <c r="H3371">
        <v>0.11224232004324</v>
      </c>
      <c r="I3371">
        <v>9.1411229230396407E-2</v>
      </c>
      <c r="J3371">
        <v>8.7438203471494905E-2</v>
      </c>
      <c r="K3371">
        <v>7.1778665534856206E-2</v>
      </c>
      <c r="L3371">
        <v>687.16335613825902</v>
      </c>
      <c r="M3371">
        <v>13.3383406254947</v>
      </c>
      <c r="N3371">
        <v>51.719967066155697</v>
      </c>
      <c r="O3371">
        <v>50.401232906120001</v>
      </c>
      <c r="P3371">
        <v>-6.44913842195739E-2</v>
      </c>
      <c r="Q3371">
        <v>2.5388262717325399E-2</v>
      </c>
      <c r="R3371">
        <v>0.98218614262082604</v>
      </c>
      <c r="S3371" t="s">
        <v>7000</v>
      </c>
      <c r="T3371" t="s">
        <v>7256</v>
      </c>
      <c r="U3371" t="s">
        <v>7256</v>
      </c>
      <c r="V3371" t="s">
        <v>7256</v>
      </c>
      <c r="W3371">
        <v>1</v>
      </c>
      <c r="X3371" t="s">
        <v>10627</v>
      </c>
      <c r="Y3371">
        <v>0.42607748216937918</v>
      </c>
      <c r="Z3371" t="str">
        <f>HYPERLINK("Melting_Curves/meltCurve_tr_F8W1Q3_F8W1Q3_HUMAN_.pdf", "Melting_Curves/meltCurve_tr_F8W1Q3_F8W1Q3_HUMAN_.pdf")</f>
        <v>Melting_Curves/meltCurve_tr_F8W1Q3_F8W1Q3_HUMAN_.pdf</v>
      </c>
      <c r="AA3371" t="s">
        <v>14196</v>
      </c>
      <c r="AB3371" t="s">
        <v>17783</v>
      </c>
    </row>
    <row r="3372" spans="1:28" x14ac:dyDescent="0.25">
      <c r="A3372" t="s">
        <v>3376</v>
      </c>
      <c r="B3372">
        <v>0.98018197421672304</v>
      </c>
      <c r="C3372">
        <v>0.98043148553182002</v>
      </c>
      <c r="D3372">
        <v>0.81485553923309795</v>
      </c>
      <c r="E3372">
        <v>0.65372392934213297</v>
      </c>
      <c r="F3372">
        <v>0.60433613222279503</v>
      </c>
      <c r="G3372">
        <v>0.41007447377079798</v>
      </c>
      <c r="H3372">
        <v>0.47492428252677299</v>
      </c>
      <c r="I3372">
        <v>0.523762910181654</v>
      </c>
      <c r="J3372">
        <v>0.554413036726076</v>
      </c>
      <c r="K3372">
        <v>0.82974713280735501</v>
      </c>
      <c r="L3372">
        <v>1251.6500771015701</v>
      </c>
      <c r="M3372">
        <v>26.771281888576699</v>
      </c>
      <c r="O3372">
        <v>46.4949253729147</v>
      </c>
      <c r="P3372">
        <v>-6.2600656417081096E-2</v>
      </c>
      <c r="Q3372">
        <v>0.56511861619168902</v>
      </c>
      <c r="R3372">
        <v>0.72019272299554804</v>
      </c>
      <c r="S3372" t="s">
        <v>7001</v>
      </c>
      <c r="T3372" t="s">
        <v>7256</v>
      </c>
      <c r="U3372" t="s">
        <v>7256</v>
      </c>
      <c r="V3372" t="s">
        <v>7256</v>
      </c>
      <c r="W3372">
        <v>8</v>
      </c>
      <c r="X3372" t="s">
        <v>10628</v>
      </c>
      <c r="Y3372">
        <v>0.66637099872418737</v>
      </c>
      <c r="Z3372" t="str">
        <f>HYPERLINK("Melting_Curves/meltCurve_tr_F8W1R7_F8W1R7_HUMAN_.pdf", "Melting_Curves/meltCurve_tr_F8W1R7_F8W1R7_HUMAN_.pdf")</f>
        <v>Melting_Curves/meltCurve_tr_F8W1R7_F8W1R7_HUMAN_.pdf</v>
      </c>
      <c r="AA3372" t="s">
        <v>14197</v>
      </c>
      <c r="AB3372" t="s">
        <v>17784</v>
      </c>
    </row>
    <row r="3373" spans="1:28" x14ac:dyDescent="0.25">
      <c r="A3373" t="s">
        <v>3377</v>
      </c>
      <c r="B3373">
        <v>0.98018197421672304</v>
      </c>
      <c r="C3373">
        <v>0.90607638822987702</v>
      </c>
      <c r="D3373">
        <v>0.76744193148333895</v>
      </c>
      <c r="E3373">
        <v>0.60458402487989704</v>
      </c>
      <c r="F3373">
        <v>0.380841308631863</v>
      </c>
      <c r="G3373">
        <v>0.230511773166443</v>
      </c>
      <c r="H3373">
        <v>0.178372150953475</v>
      </c>
      <c r="I3373">
        <v>0.17751374676894699</v>
      </c>
      <c r="J3373">
        <v>0.186145750128411</v>
      </c>
      <c r="K3373">
        <v>0.152647757365037</v>
      </c>
      <c r="L3373">
        <v>705.85741795429306</v>
      </c>
      <c r="M3373">
        <v>14.179521566018201</v>
      </c>
      <c r="N3373">
        <v>50.9306345670784</v>
      </c>
      <c r="O3373">
        <v>48.821334413165403</v>
      </c>
      <c r="P3373">
        <v>-6.2666397226850204E-2</v>
      </c>
      <c r="Q3373">
        <v>0.13704509051535499</v>
      </c>
      <c r="R3373">
        <v>0.99431846632319498</v>
      </c>
      <c r="S3373" t="s">
        <v>7002</v>
      </c>
      <c r="T3373" t="s">
        <v>7256</v>
      </c>
      <c r="U3373" t="s">
        <v>7256</v>
      </c>
      <c r="V3373" t="s">
        <v>7256</v>
      </c>
      <c r="W3373">
        <v>1</v>
      </c>
      <c r="X3373" t="s">
        <v>10629</v>
      </c>
      <c r="Y3373">
        <v>0.44126976338160723</v>
      </c>
      <c r="Z3373" t="str">
        <f>HYPERLINK("Melting_Curves/meltCurve_tr_F8W6K3_F8W6K3_HUMAN_.pdf", "Melting_Curves/meltCurve_tr_F8W6K3_F8W6K3_HUMAN_.pdf")</f>
        <v>Melting_Curves/meltCurve_tr_F8W6K3_F8W6K3_HUMAN_.pdf</v>
      </c>
      <c r="AA3373" t="s">
        <v>14198</v>
      </c>
      <c r="AB3373" t="s">
        <v>17785</v>
      </c>
    </row>
    <row r="3374" spans="1:28" x14ac:dyDescent="0.25">
      <c r="A3374" t="s">
        <v>3378</v>
      </c>
      <c r="B3374">
        <v>0.98018197421672304</v>
      </c>
      <c r="C3374">
        <v>0.98533821338308902</v>
      </c>
      <c r="D3374">
        <v>0.91200082571270003</v>
      </c>
      <c r="E3374">
        <v>0.61309070489453299</v>
      </c>
      <c r="F3374">
        <v>0.19752441884392</v>
      </c>
      <c r="G3374">
        <v>0.11843021477712801</v>
      </c>
      <c r="H3374">
        <v>7.9430988825787904E-2</v>
      </c>
      <c r="I3374">
        <v>6.6888402637315297E-2</v>
      </c>
      <c r="J3374">
        <v>5.6089817451779697E-2</v>
      </c>
      <c r="K3374">
        <v>3.8808728588618301E-2</v>
      </c>
      <c r="L3374">
        <v>1542.01881832256</v>
      </c>
      <c r="M3374">
        <v>30.596319314744601</v>
      </c>
      <c r="N3374">
        <v>50.615084331602397</v>
      </c>
      <c r="O3374">
        <v>50.185015291496597</v>
      </c>
      <c r="P3374">
        <v>-0.14308011061029</v>
      </c>
      <c r="Q3374">
        <v>6.1268389476712697E-2</v>
      </c>
      <c r="R3374">
        <v>0.99639750086863299</v>
      </c>
      <c r="S3374" t="s">
        <v>7003</v>
      </c>
      <c r="T3374" t="s">
        <v>7256</v>
      </c>
      <c r="U3374" t="s">
        <v>7256</v>
      </c>
      <c r="V3374" t="s">
        <v>7256</v>
      </c>
      <c r="W3374">
        <v>11</v>
      </c>
      <c r="X3374" t="s">
        <v>10630</v>
      </c>
      <c r="Y3374">
        <v>0.3922756946548554</v>
      </c>
      <c r="Z3374" t="str">
        <f>HYPERLINK("Melting_Curves/meltCurve_tr_F8W720_F8W720_HUMAN_.pdf", "Melting_Curves/meltCurve_tr_F8W720_F8W720_HUMAN_.pdf")</f>
        <v>Melting_Curves/meltCurve_tr_F8W720_F8W720_HUMAN_.pdf</v>
      </c>
      <c r="AA3374" t="s">
        <v>14199</v>
      </c>
      <c r="AB3374" t="s">
        <v>17786</v>
      </c>
    </row>
    <row r="3375" spans="1:28" x14ac:dyDescent="0.25">
      <c r="A3375" t="s">
        <v>3379</v>
      </c>
      <c r="B3375">
        <v>0.98018197421672304</v>
      </c>
      <c r="C3375">
        <v>0.86600601944960798</v>
      </c>
      <c r="D3375">
        <v>0.81792634260601604</v>
      </c>
      <c r="E3375">
        <v>0.67827704830059798</v>
      </c>
      <c r="F3375">
        <v>0.54989024191989899</v>
      </c>
      <c r="G3375">
        <v>0.42918222554646901</v>
      </c>
      <c r="H3375">
        <v>0.28269539837428098</v>
      </c>
      <c r="I3375">
        <v>0.24034988784179501</v>
      </c>
      <c r="J3375">
        <v>0.26706486912810101</v>
      </c>
      <c r="K3375">
        <v>0.26084212544283902</v>
      </c>
      <c r="L3375">
        <v>520.02883945730105</v>
      </c>
      <c r="M3375">
        <v>10.032373059282</v>
      </c>
      <c r="N3375">
        <v>54.115218826878802</v>
      </c>
      <c r="O3375">
        <v>49.901856982076097</v>
      </c>
      <c r="P3375">
        <v>-4.1617274205585003E-2</v>
      </c>
      <c r="Q3375">
        <v>0.172366487845421</v>
      </c>
      <c r="R3375">
        <v>0.98970240670113996</v>
      </c>
      <c r="S3375" t="s">
        <v>7004</v>
      </c>
      <c r="T3375" t="s">
        <v>7256</v>
      </c>
      <c r="U3375" t="s">
        <v>7256</v>
      </c>
      <c r="V3375" t="s">
        <v>7256</v>
      </c>
      <c r="W3375">
        <v>2</v>
      </c>
      <c r="X3375" t="s">
        <v>10631</v>
      </c>
      <c r="Y3375">
        <v>0.53067773826035192</v>
      </c>
      <c r="Z3375" t="str">
        <f>HYPERLINK("Melting_Curves/meltCurve_tr_F8W785_F8W785_HUMAN_.pdf", "Melting_Curves/meltCurve_tr_F8W785_F8W785_HUMAN_.pdf")</f>
        <v>Melting_Curves/meltCurve_tr_F8W785_F8W785_HUMAN_.pdf</v>
      </c>
      <c r="AA3375" t="s">
        <v>14200</v>
      </c>
      <c r="AB3375" t="s">
        <v>17787</v>
      </c>
    </row>
    <row r="3376" spans="1:28" x14ac:dyDescent="0.25">
      <c r="A3376" t="s">
        <v>3380</v>
      </c>
      <c r="B3376">
        <v>0.98018197421672304</v>
      </c>
      <c r="C3376">
        <v>0.95572657930411997</v>
      </c>
      <c r="D3376">
        <v>0.84105025634252495</v>
      </c>
      <c r="E3376">
        <v>0.72690805467923003</v>
      </c>
      <c r="F3376">
        <v>0.65090566769940805</v>
      </c>
      <c r="G3376">
        <v>0.49407427785692898</v>
      </c>
      <c r="H3376">
        <v>0.41975292740912301</v>
      </c>
      <c r="I3376">
        <v>0.38419622502526901</v>
      </c>
      <c r="J3376">
        <v>0.34279482169791697</v>
      </c>
      <c r="K3376">
        <v>0.25086984951422597</v>
      </c>
      <c r="L3376">
        <v>466.20518194601499</v>
      </c>
      <c r="M3376">
        <v>8.5566975544339492</v>
      </c>
      <c r="N3376">
        <v>57.495795454924298</v>
      </c>
      <c r="O3376">
        <v>51.753108715615397</v>
      </c>
      <c r="P3376">
        <v>-3.3898690693686999E-2</v>
      </c>
      <c r="Q3376">
        <v>0.18060802415844901</v>
      </c>
      <c r="R3376">
        <v>0.99244532183270295</v>
      </c>
      <c r="S3376" t="s">
        <v>7005</v>
      </c>
      <c r="T3376" t="s">
        <v>7256</v>
      </c>
      <c r="U3376" t="s">
        <v>7256</v>
      </c>
      <c r="V3376" t="s">
        <v>7256</v>
      </c>
      <c r="W3376">
        <v>70</v>
      </c>
      <c r="X3376" t="s">
        <v>10632</v>
      </c>
      <c r="Y3376">
        <v>0.60093880020303581</v>
      </c>
      <c r="Z3376" t="str">
        <f>HYPERLINK("Melting_Curves/meltCurve_tr_F8W7S5_F8W7S5_HUMAN_.pdf", "Melting_Curves/meltCurve_tr_F8W7S5_F8W7S5_HUMAN_.pdf")</f>
        <v>Melting_Curves/meltCurve_tr_F8W7S5_F8W7S5_HUMAN_.pdf</v>
      </c>
      <c r="AA3376" t="s">
        <v>13606</v>
      </c>
      <c r="AB3376" t="s">
        <v>17182</v>
      </c>
    </row>
    <row r="3377" spans="1:28" x14ac:dyDescent="0.25">
      <c r="A3377" t="s">
        <v>3381</v>
      </c>
      <c r="B3377">
        <v>0.98018197421672304</v>
      </c>
      <c r="C3377">
        <v>0.86831573866106404</v>
      </c>
      <c r="D3377">
        <v>0.59958952335587401</v>
      </c>
      <c r="E3377">
        <v>0.77944835397986301</v>
      </c>
      <c r="F3377">
        <v>0.36360134067051197</v>
      </c>
      <c r="G3377">
        <v>0.44371938981571701</v>
      </c>
      <c r="H3377">
        <v>0.27894248078721501</v>
      </c>
      <c r="I3377">
        <v>0.259710533378261</v>
      </c>
      <c r="J3377">
        <v>0.33529576974005398</v>
      </c>
      <c r="K3377">
        <v>0.471782559459127</v>
      </c>
      <c r="L3377">
        <v>572.39308461929295</v>
      </c>
      <c r="M3377">
        <v>12.0038034664277</v>
      </c>
      <c r="N3377">
        <v>52.105054042990098</v>
      </c>
      <c r="O3377">
        <v>46.418741484342597</v>
      </c>
      <c r="P3377">
        <v>-4.4009762316542501E-2</v>
      </c>
      <c r="Q3377">
        <v>0.31942037720300298</v>
      </c>
      <c r="R3377">
        <v>0.80924456415276003</v>
      </c>
      <c r="S3377" t="s">
        <v>7006</v>
      </c>
      <c r="T3377" t="s">
        <v>7256</v>
      </c>
      <c r="U3377" t="s">
        <v>7256</v>
      </c>
      <c r="V3377" t="s">
        <v>7256</v>
      </c>
      <c r="W3377">
        <v>1</v>
      </c>
      <c r="X3377" t="s">
        <v>10633</v>
      </c>
      <c r="Y3377">
        <v>0.5209361287080132</v>
      </c>
      <c r="Z3377" t="str">
        <f>HYPERLINK("Melting_Curves/meltCurve_tr_F8W8I6_F8W8I6_HUMAN_.pdf", "Melting_Curves/meltCurve_tr_F8W8I6_F8W8I6_HUMAN_.pdf")</f>
        <v>Melting_Curves/meltCurve_tr_F8W8I6_F8W8I6_HUMAN_.pdf</v>
      </c>
      <c r="AA3377" t="s">
        <v>14201</v>
      </c>
      <c r="AB3377" t="s">
        <v>17788</v>
      </c>
    </row>
    <row r="3378" spans="1:28" x14ac:dyDescent="0.25">
      <c r="A3378" t="s">
        <v>3382</v>
      </c>
      <c r="B3378">
        <v>0.98018197421672304</v>
      </c>
      <c r="C3378">
        <v>0.90916330233431397</v>
      </c>
      <c r="D3378">
        <v>0.88951739368587401</v>
      </c>
      <c r="E3378">
        <v>0.74362500090003203</v>
      </c>
      <c r="F3378">
        <v>0.56143320292677401</v>
      </c>
      <c r="G3378">
        <v>0.37506662241118899</v>
      </c>
      <c r="H3378">
        <v>0.40318982392463798</v>
      </c>
      <c r="I3378">
        <v>0.40593473207555802</v>
      </c>
      <c r="J3378">
        <v>0.50067414280577405</v>
      </c>
      <c r="K3378">
        <v>0.57816782102979802</v>
      </c>
      <c r="L3378">
        <v>1109.79663072481</v>
      </c>
      <c r="M3378">
        <v>22.3760520558398</v>
      </c>
      <c r="N3378">
        <v>55.268902566127302</v>
      </c>
      <c r="O3378">
        <v>49.2064762859412</v>
      </c>
      <c r="P3378">
        <v>-6.2564733413757095E-2</v>
      </c>
      <c r="Q3378">
        <v>0.44967486856597</v>
      </c>
      <c r="R3378">
        <v>0.90824688952662302</v>
      </c>
      <c r="S3378" t="s">
        <v>7007</v>
      </c>
      <c r="T3378" t="s">
        <v>7256</v>
      </c>
      <c r="U3378" t="s">
        <v>7256</v>
      </c>
      <c r="V3378" t="s">
        <v>7256</v>
      </c>
      <c r="W3378">
        <v>10</v>
      </c>
      <c r="X3378" t="s">
        <v>10634</v>
      </c>
      <c r="Y3378">
        <v>0.63186516368700107</v>
      </c>
      <c r="Z3378" t="str">
        <f>HYPERLINK("Melting_Curves/meltCurve_tr_F8W8M4_F8W8M4_HUMAN_.pdf", "Melting_Curves/meltCurve_tr_F8W8M4_F8W8M4_HUMAN_.pdf")</f>
        <v>Melting_Curves/meltCurve_tr_F8W8M4_F8W8M4_HUMAN_.pdf</v>
      </c>
      <c r="AA3378" t="s">
        <v>14202</v>
      </c>
      <c r="AB3378" t="s">
        <v>17789</v>
      </c>
    </row>
    <row r="3379" spans="1:28" x14ac:dyDescent="0.25">
      <c r="A3379" t="s">
        <v>3383</v>
      </c>
      <c r="B3379">
        <v>0.98018197421672304</v>
      </c>
      <c r="C3379">
        <v>1.0813914499970401</v>
      </c>
      <c r="D3379">
        <v>0.78675938650015498</v>
      </c>
      <c r="E3379">
        <v>0.35760551830183301</v>
      </c>
      <c r="F3379">
        <v>0.21665979977032199</v>
      </c>
      <c r="G3379">
        <v>0.133632424771153</v>
      </c>
      <c r="H3379">
        <v>7.8690212783155605E-2</v>
      </c>
      <c r="I3379">
        <v>7.1244439935956194E-2</v>
      </c>
      <c r="J3379">
        <v>9.5220674259338597E-2</v>
      </c>
      <c r="K3379">
        <v>6.7034157213459997E-2</v>
      </c>
      <c r="L3379">
        <v>1239.34587963581</v>
      </c>
      <c r="M3379">
        <v>25.579561777778199</v>
      </c>
      <c r="N3379">
        <v>48.820396720158101</v>
      </c>
      <c r="O3379">
        <v>48.157434454256801</v>
      </c>
      <c r="P3379">
        <v>-0.121098718314058</v>
      </c>
      <c r="Q3379">
        <v>8.8064074223671296E-2</v>
      </c>
      <c r="R3379">
        <v>0.98828308137436205</v>
      </c>
      <c r="S3379" t="s">
        <v>7008</v>
      </c>
      <c r="T3379" t="s">
        <v>7256</v>
      </c>
      <c r="U3379" t="s">
        <v>7256</v>
      </c>
      <c r="V3379" t="s">
        <v>7256</v>
      </c>
      <c r="W3379">
        <v>1</v>
      </c>
      <c r="X3379" t="s">
        <v>10635</v>
      </c>
      <c r="Y3379">
        <v>0.35262864779822228</v>
      </c>
      <c r="Z3379" t="str">
        <f>HYPERLINK("Melting_Curves/meltCurve_tr_F8W8V8_F8W8V8_HUMAN_.pdf", "Melting_Curves/meltCurve_tr_F8W8V8_F8W8V8_HUMAN_.pdf")</f>
        <v>Melting_Curves/meltCurve_tr_F8W8V8_F8W8V8_HUMAN_.pdf</v>
      </c>
      <c r="AA3379" t="s">
        <v>14203</v>
      </c>
      <c r="AB3379" t="s">
        <v>17790</v>
      </c>
    </row>
    <row r="3380" spans="1:28" x14ac:dyDescent="0.25">
      <c r="A3380" t="s">
        <v>3384</v>
      </c>
      <c r="B3380">
        <v>0.98018197421672304</v>
      </c>
      <c r="C3380">
        <v>0.85990247690123001</v>
      </c>
      <c r="D3380">
        <v>0.83567898160993104</v>
      </c>
      <c r="E3380">
        <v>0.59192331902624795</v>
      </c>
      <c r="F3380">
        <v>0.43165728475793702</v>
      </c>
      <c r="G3380">
        <v>0.27093699219513501</v>
      </c>
      <c r="H3380">
        <v>0.18254880086755901</v>
      </c>
      <c r="I3380">
        <v>0.164787122395814</v>
      </c>
      <c r="J3380">
        <v>0.179145460918227</v>
      </c>
      <c r="K3380">
        <v>9.6346107021273206E-2</v>
      </c>
      <c r="L3380">
        <v>623.34833868309897</v>
      </c>
      <c r="M3380">
        <v>12.275510654164499</v>
      </c>
      <c r="N3380">
        <v>51.650153123877601</v>
      </c>
      <c r="O3380">
        <v>49.488623336155698</v>
      </c>
      <c r="P3380">
        <v>-5.6230549226389502E-2</v>
      </c>
      <c r="Q3380">
        <v>9.3427837824249904E-2</v>
      </c>
      <c r="R3380">
        <v>0.99301455707646602</v>
      </c>
      <c r="S3380" t="s">
        <v>7009</v>
      </c>
      <c r="T3380" t="s">
        <v>7256</v>
      </c>
      <c r="U3380" t="s">
        <v>7256</v>
      </c>
      <c r="V3380" t="s">
        <v>7256</v>
      </c>
      <c r="W3380">
        <v>4</v>
      </c>
      <c r="X3380" t="s">
        <v>10636</v>
      </c>
      <c r="Y3380">
        <v>0.44816298511529867</v>
      </c>
      <c r="Z3380" t="str">
        <f>HYPERLINK("Melting_Curves/meltCurve_tr_F8W914_F8W914_HUMAN_.pdf", "Melting_Curves/meltCurve_tr_F8W914_F8W914_HUMAN_.pdf")</f>
        <v>Melting_Curves/meltCurve_tr_F8W914_F8W914_HUMAN_.pdf</v>
      </c>
      <c r="AA3380" t="s">
        <v>14204</v>
      </c>
      <c r="AB3380" t="s">
        <v>17791</v>
      </c>
    </row>
    <row r="3381" spans="1:28" x14ac:dyDescent="0.25">
      <c r="A3381" t="s">
        <v>3385</v>
      </c>
      <c r="B3381">
        <v>0.98018197421672304</v>
      </c>
      <c r="C3381">
        <v>0.96825435405188598</v>
      </c>
      <c r="D3381">
        <v>0.78478917132652104</v>
      </c>
      <c r="E3381">
        <v>0.53635564108136202</v>
      </c>
      <c r="F3381">
        <v>0.234828729283272</v>
      </c>
      <c r="G3381">
        <v>0.12530065675261601</v>
      </c>
      <c r="H3381">
        <v>9.2434691165461103E-2</v>
      </c>
      <c r="I3381">
        <v>6.6875658513692399E-2</v>
      </c>
      <c r="J3381">
        <v>9.0132638879178606E-2</v>
      </c>
      <c r="K3381">
        <v>6.0882947344949603E-2</v>
      </c>
      <c r="L3381">
        <v>937.97054985676505</v>
      </c>
      <c r="M3381">
        <v>18.938618031367099</v>
      </c>
      <c r="N3381">
        <v>49.870381501830799</v>
      </c>
      <c r="O3381">
        <v>48.984606938362703</v>
      </c>
      <c r="P3381">
        <v>-9.0749205864029195E-2</v>
      </c>
      <c r="Q3381">
        <v>6.1149445898428398E-2</v>
      </c>
      <c r="R3381">
        <v>0.99552172432320796</v>
      </c>
      <c r="S3381" t="s">
        <v>7010</v>
      </c>
      <c r="T3381" t="s">
        <v>7256</v>
      </c>
      <c r="U3381" t="s">
        <v>7256</v>
      </c>
      <c r="V3381" t="s">
        <v>7256</v>
      </c>
      <c r="W3381">
        <v>9</v>
      </c>
      <c r="X3381" t="s">
        <v>10637</v>
      </c>
      <c r="Y3381">
        <v>0.37388513886281849</v>
      </c>
      <c r="Z3381" t="str">
        <f>HYPERLINK("Melting_Curves/meltCurve_tr_F8W9S7_F8W9S7_HUMAN_.pdf", "Melting_Curves/meltCurve_tr_F8W9S7_F8W9S7_HUMAN_.pdf")</f>
        <v>Melting_Curves/meltCurve_tr_F8W9S7_F8W9S7_HUMAN_.pdf</v>
      </c>
      <c r="AA3381" t="s">
        <v>14205</v>
      </c>
      <c r="AB3381" t="s">
        <v>17792</v>
      </c>
    </row>
    <row r="3382" spans="1:28" x14ac:dyDescent="0.25">
      <c r="A3382" t="s">
        <v>3386</v>
      </c>
      <c r="B3382">
        <v>0.98018197421672304</v>
      </c>
      <c r="C3382">
        <v>0.96517740467965596</v>
      </c>
      <c r="D3382">
        <v>0.89182789423771702</v>
      </c>
      <c r="E3382">
        <v>0.61283942098556898</v>
      </c>
      <c r="F3382">
        <v>0.20800406701611099</v>
      </c>
      <c r="G3382">
        <v>0.10788800148365101</v>
      </c>
      <c r="H3382">
        <v>6.5469178540922796E-2</v>
      </c>
      <c r="I3382">
        <v>4.9383032098155998E-2</v>
      </c>
      <c r="J3382">
        <v>5.3980790795573101E-2</v>
      </c>
      <c r="K3382">
        <v>3.3533784665269101E-2</v>
      </c>
      <c r="L3382">
        <v>1354.79772756683</v>
      </c>
      <c r="M3382">
        <v>26.872418356161401</v>
      </c>
      <c r="N3382">
        <v>50.601730472142101</v>
      </c>
      <c r="O3382">
        <v>50.139212107856999</v>
      </c>
      <c r="P3382">
        <v>-0.127695344737766</v>
      </c>
      <c r="Q3382">
        <v>4.6981355605738802E-2</v>
      </c>
      <c r="R3382">
        <v>0.99582400571882002</v>
      </c>
      <c r="S3382" t="s">
        <v>7011</v>
      </c>
      <c r="T3382" t="s">
        <v>7256</v>
      </c>
      <c r="U3382" t="s">
        <v>7256</v>
      </c>
      <c r="V3382" t="s">
        <v>7256</v>
      </c>
      <c r="W3382">
        <v>14</v>
      </c>
      <c r="X3382" t="s">
        <v>10638</v>
      </c>
      <c r="Y3382">
        <v>0.38527189024639358</v>
      </c>
      <c r="Z3382" t="str">
        <f>HYPERLINK("Melting_Curves/meltCurve_tr_F8W9X7_F8W9X7_HUMAN_.pdf", "Melting_Curves/meltCurve_tr_F8W9X7_F8W9X7_HUMAN_.pdf")</f>
        <v>Melting_Curves/meltCurve_tr_F8W9X7_F8W9X7_HUMAN_.pdf</v>
      </c>
      <c r="AA3382" t="s">
        <v>14206</v>
      </c>
      <c r="AB3382" t="s">
        <v>17793</v>
      </c>
    </row>
    <row r="3383" spans="1:28" x14ac:dyDescent="0.25">
      <c r="A3383" t="s">
        <v>3387</v>
      </c>
      <c r="B3383">
        <v>0.98018197421672304</v>
      </c>
      <c r="C3383">
        <v>1.0255251647715</v>
      </c>
      <c r="D3383">
        <v>0.88465607520769596</v>
      </c>
      <c r="E3383">
        <v>0.62658327383968604</v>
      </c>
      <c r="F3383">
        <v>0.33396564788148703</v>
      </c>
      <c r="G3383">
        <v>0.20615570110825401</v>
      </c>
      <c r="H3383">
        <v>0.14537304668760601</v>
      </c>
      <c r="I3383">
        <v>0.142133121210717</v>
      </c>
      <c r="J3383">
        <v>0.165185832074489</v>
      </c>
      <c r="K3383">
        <v>0.152569879975435</v>
      </c>
      <c r="L3383">
        <v>1176.3443735220101</v>
      </c>
      <c r="M3383">
        <v>23.362203231232499</v>
      </c>
      <c r="N3383">
        <v>51.107465523421403</v>
      </c>
      <c r="O3383">
        <v>49.987882042042699</v>
      </c>
      <c r="P3383">
        <v>-9.9790121916998598E-2</v>
      </c>
      <c r="Q3383">
        <v>0.14593517939379699</v>
      </c>
      <c r="R3383">
        <v>0.99673355239348604</v>
      </c>
      <c r="S3383" t="s">
        <v>7012</v>
      </c>
      <c r="T3383" t="s">
        <v>7256</v>
      </c>
      <c r="U3383" t="s">
        <v>7256</v>
      </c>
      <c r="V3383" t="s">
        <v>7256</v>
      </c>
      <c r="W3383">
        <v>2</v>
      </c>
      <c r="X3383" t="s">
        <v>10639</v>
      </c>
      <c r="Y3383">
        <v>0.44942367128803101</v>
      </c>
      <c r="Z3383" t="str">
        <f>HYPERLINK("Melting_Curves/meltCurve_tr_F8WAS3_F8WAS3_HUMAN_.pdf", "Melting_Curves/meltCurve_tr_F8WAS3_F8WAS3_HUMAN_.pdf")</f>
        <v>Melting_Curves/meltCurve_tr_F8WAS3_F8WAS3_HUMAN_.pdf</v>
      </c>
      <c r="AA3383" t="s">
        <v>14207</v>
      </c>
      <c r="AB3383" t="s">
        <v>17794</v>
      </c>
    </row>
    <row r="3384" spans="1:28" x14ac:dyDescent="0.25">
      <c r="A3384" t="s">
        <v>3388</v>
      </c>
      <c r="B3384">
        <v>0.98018197421672304</v>
      </c>
      <c r="C3384">
        <v>0.85405378461848902</v>
      </c>
      <c r="D3384">
        <v>0.94279388527406305</v>
      </c>
      <c r="E3384">
        <v>0.72342550149685103</v>
      </c>
      <c r="F3384">
        <v>0.93068754307068102</v>
      </c>
      <c r="G3384">
        <v>0.61521753281844105</v>
      </c>
      <c r="H3384">
        <v>0.65216741472858197</v>
      </c>
      <c r="I3384">
        <v>0.69494119482587902</v>
      </c>
      <c r="J3384">
        <v>0.62853136233977802</v>
      </c>
      <c r="K3384">
        <v>0.49106720373373403</v>
      </c>
      <c r="L3384">
        <v>243.92609068369401</v>
      </c>
      <c r="M3384">
        <v>3.2974659566439199</v>
      </c>
      <c r="O3384">
        <v>56.674246413962102</v>
      </c>
      <c r="P3384">
        <v>-1.4886107539424801E-2</v>
      </c>
      <c r="Q3384">
        <v>0</v>
      </c>
      <c r="R3384">
        <v>0.74228599764240499</v>
      </c>
      <c r="S3384" t="s">
        <v>7013</v>
      </c>
      <c r="T3384" t="s">
        <v>7256</v>
      </c>
      <c r="U3384" t="s">
        <v>7256</v>
      </c>
      <c r="V3384" t="s">
        <v>7256</v>
      </c>
      <c r="W3384">
        <v>1</v>
      </c>
      <c r="X3384" t="s">
        <v>10640</v>
      </c>
      <c r="Y3384">
        <v>0.75351284813329067</v>
      </c>
      <c r="Z3384" t="str">
        <f>HYPERLINK("Melting_Curves/meltCurve_tr_F8WBM7_F8WBM7_HUMAN_.pdf", "Melting_Curves/meltCurve_tr_F8WBM7_F8WBM7_HUMAN_.pdf")</f>
        <v>Melting_Curves/meltCurve_tr_F8WBM7_F8WBM7_HUMAN_.pdf</v>
      </c>
      <c r="AA3384" t="s">
        <v>14208</v>
      </c>
      <c r="AB3384" t="s">
        <v>17795</v>
      </c>
    </row>
    <row r="3385" spans="1:28" x14ac:dyDescent="0.25">
      <c r="A3385" t="s">
        <v>3389</v>
      </c>
      <c r="B3385">
        <v>0.98018197421672304</v>
      </c>
      <c r="C3385">
        <v>0.96028787055387399</v>
      </c>
      <c r="D3385">
        <v>0.88024070963863699</v>
      </c>
      <c r="E3385">
        <v>0.72441883143562502</v>
      </c>
      <c r="F3385">
        <v>0.60321864910702105</v>
      </c>
      <c r="G3385">
        <v>0.41118233617323402</v>
      </c>
      <c r="H3385">
        <v>0.28253139265695598</v>
      </c>
      <c r="I3385">
        <v>0.203730881927534</v>
      </c>
      <c r="J3385">
        <v>0.172307062470725</v>
      </c>
      <c r="K3385">
        <v>0.15932725012610199</v>
      </c>
      <c r="L3385">
        <v>604.691242248094</v>
      </c>
      <c r="M3385">
        <v>11.1927624443417</v>
      </c>
      <c r="N3385">
        <v>54.895627125600903</v>
      </c>
      <c r="O3385">
        <v>52.3867428244263</v>
      </c>
      <c r="P3385">
        <v>-4.9086565295414497E-2</v>
      </c>
      <c r="Q3385">
        <v>8.1308433438100902E-2</v>
      </c>
      <c r="R3385">
        <v>0.99927023199738496</v>
      </c>
      <c r="S3385" t="s">
        <v>7014</v>
      </c>
      <c r="T3385" t="s">
        <v>7256</v>
      </c>
      <c r="U3385" t="s">
        <v>7256</v>
      </c>
      <c r="V3385" t="s">
        <v>7256</v>
      </c>
      <c r="W3385">
        <v>1</v>
      </c>
      <c r="X3385" t="s">
        <v>10641</v>
      </c>
      <c r="Y3385">
        <v>0.53623304929512983</v>
      </c>
      <c r="Z3385" t="str">
        <f>HYPERLINK("Melting_Curves/meltCurve_tr_F8WCM7_F8WCM7_HUMAN_.pdf", "Melting_Curves/meltCurve_tr_F8WCM7_F8WCM7_HUMAN_.pdf")</f>
        <v>Melting_Curves/meltCurve_tr_F8WCM7_F8WCM7_HUMAN_.pdf</v>
      </c>
      <c r="AA3385" t="s">
        <v>14209</v>
      </c>
      <c r="AB3385" t="s">
        <v>17796</v>
      </c>
    </row>
    <row r="3386" spans="1:28" x14ac:dyDescent="0.25">
      <c r="A3386" t="s">
        <v>3390</v>
      </c>
      <c r="B3386">
        <v>0.98018197421672304</v>
      </c>
      <c r="C3386">
        <v>0.91285866060778398</v>
      </c>
      <c r="D3386">
        <v>0.89545180932680302</v>
      </c>
      <c r="E3386">
        <v>0.76723051921725505</v>
      </c>
      <c r="F3386">
        <v>0.60809966572137597</v>
      </c>
      <c r="G3386">
        <v>0.41540309693072502</v>
      </c>
      <c r="H3386">
        <v>0.337650139396871</v>
      </c>
      <c r="I3386">
        <v>0.29018308796736902</v>
      </c>
      <c r="J3386">
        <v>0.398655112272709</v>
      </c>
      <c r="K3386">
        <v>0.33436702014498099</v>
      </c>
      <c r="L3386">
        <v>810.15453944515195</v>
      </c>
      <c r="M3386">
        <v>15.681898406552</v>
      </c>
      <c r="N3386">
        <v>55.066944604751498</v>
      </c>
      <c r="O3386">
        <v>50.843561179323501</v>
      </c>
      <c r="P3386">
        <v>-5.31780433424466E-2</v>
      </c>
      <c r="Q3386">
        <v>0.31040706222943099</v>
      </c>
      <c r="R3386">
        <v>0.97855425596740198</v>
      </c>
      <c r="S3386" t="s">
        <v>7015</v>
      </c>
      <c r="T3386" t="s">
        <v>7256</v>
      </c>
      <c r="U3386" t="s">
        <v>7256</v>
      </c>
      <c r="V3386" t="s">
        <v>7256</v>
      </c>
      <c r="W3386">
        <v>1</v>
      </c>
      <c r="X3386" t="s">
        <v>10642</v>
      </c>
      <c r="Y3386">
        <v>0.59299845009787289</v>
      </c>
      <c r="Z3386" t="str">
        <f>HYPERLINK("Melting_Curves/meltCurve_tr_F8WF49_F8WF49_HUMAN_.pdf", "Melting_Curves/meltCurve_tr_F8WF49_F8WF49_HUMAN_.pdf")</f>
        <v>Melting_Curves/meltCurve_tr_F8WF49_F8WF49_HUMAN_.pdf</v>
      </c>
      <c r="AA3386" t="s">
        <v>14210</v>
      </c>
      <c r="AB3386" t="s">
        <v>17797</v>
      </c>
    </row>
    <row r="3387" spans="1:28" x14ac:dyDescent="0.25">
      <c r="A3387" t="s">
        <v>3391</v>
      </c>
      <c r="B3387">
        <v>0.98018197421672304</v>
      </c>
      <c r="C3387">
        <v>1.0598258569583301</v>
      </c>
      <c r="D3387">
        <v>0.91674115929573097</v>
      </c>
      <c r="E3387">
        <v>0.64178222407529295</v>
      </c>
      <c r="F3387">
        <v>0.50722247560024103</v>
      </c>
      <c r="G3387">
        <v>0.35664943582188902</v>
      </c>
      <c r="H3387">
        <v>0.26611357157068399</v>
      </c>
      <c r="I3387">
        <v>0.22227184506856401</v>
      </c>
      <c r="J3387">
        <v>0.28796766999614598</v>
      </c>
      <c r="K3387">
        <v>0.26054093745747903</v>
      </c>
      <c r="L3387">
        <v>982.61088402911901</v>
      </c>
      <c r="M3387">
        <v>19.3608817835925</v>
      </c>
      <c r="N3387">
        <v>52.670842697178301</v>
      </c>
      <c r="O3387">
        <v>50.220232058203599</v>
      </c>
      <c r="P3387">
        <v>-7.1999101751983804E-2</v>
      </c>
      <c r="Q3387">
        <v>0.25299307810725902</v>
      </c>
      <c r="R3387">
        <v>0.98706056035629897</v>
      </c>
      <c r="S3387" t="s">
        <v>7016</v>
      </c>
      <c r="T3387" t="s">
        <v>7256</v>
      </c>
      <c r="U3387" t="s">
        <v>7256</v>
      </c>
      <c r="V3387" t="s">
        <v>7256</v>
      </c>
      <c r="W3387">
        <v>6</v>
      </c>
      <c r="X3387" t="s">
        <v>10643</v>
      </c>
      <c r="Y3387">
        <v>0.53175992395814986</v>
      </c>
      <c r="Z3387" t="str">
        <f>HYPERLINK("Melting_Curves/meltCurve_tr_F8WJN3_F8WJN3_HUMAN_.pdf", "Melting_Curves/meltCurve_tr_F8WJN3_F8WJN3_HUMAN_.pdf")</f>
        <v>Melting_Curves/meltCurve_tr_F8WJN3_F8WJN3_HUMAN_.pdf</v>
      </c>
      <c r="AA3387" t="s">
        <v>14211</v>
      </c>
      <c r="AB3387" t="s">
        <v>17798</v>
      </c>
    </row>
    <row r="3388" spans="1:28" x14ac:dyDescent="0.25">
      <c r="A3388" t="s">
        <v>3392</v>
      </c>
      <c r="B3388">
        <v>0.98018197421672304</v>
      </c>
      <c r="C3388">
        <v>0.93923155429239902</v>
      </c>
      <c r="D3388">
        <v>0.89464024586685098</v>
      </c>
      <c r="E3388">
        <v>0.73749561499654204</v>
      </c>
      <c r="F3388">
        <v>0.48329233905432201</v>
      </c>
      <c r="G3388">
        <v>0.26702375305468901</v>
      </c>
      <c r="H3388">
        <v>0.16206305706351001</v>
      </c>
      <c r="I3388">
        <v>0.124976539254994</v>
      </c>
      <c r="J3388">
        <v>0.120582979421335</v>
      </c>
      <c r="K3388">
        <v>0.117949963587131</v>
      </c>
      <c r="L3388">
        <v>872.02982924684204</v>
      </c>
      <c r="M3388">
        <v>16.694490055796599</v>
      </c>
      <c r="N3388">
        <v>52.886321861773801</v>
      </c>
      <c r="O3388">
        <v>51.502368330053898</v>
      </c>
      <c r="P3388">
        <v>-7.3508014322502299E-2</v>
      </c>
      <c r="Q3388">
        <v>9.2973652426336498E-2</v>
      </c>
      <c r="R3388">
        <v>0.99736103217158201</v>
      </c>
      <c r="S3388" t="s">
        <v>7017</v>
      </c>
      <c r="T3388" t="s">
        <v>7256</v>
      </c>
      <c r="U3388" t="s">
        <v>7256</v>
      </c>
      <c r="V3388" t="s">
        <v>7256</v>
      </c>
      <c r="W3388">
        <v>9</v>
      </c>
      <c r="X3388" t="s">
        <v>10644</v>
      </c>
      <c r="Y3388">
        <v>0.47990509310425927</v>
      </c>
      <c r="Z3388" t="str">
        <f>HYPERLINK("Melting_Curves/meltCurve_tr_G3V0E8_G3V0E8_HUMAN_.pdf", "Melting_Curves/meltCurve_tr_G3V0E8_G3V0E8_HUMAN_.pdf")</f>
        <v>Melting_Curves/meltCurve_tr_G3V0E8_G3V0E8_HUMAN_.pdf</v>
      </c>
      <c r="AA3388" t="s">
        <v>14212</v>
      </c>
      <c r="AB3388" t="s">
        <v>17799</v>
      </c>
    </row>
    <row r="3389" spans="1:28" x14ac:dyDescent="0.25">
      <c r="A3389" t="s">
        <v>3393</v>
      </c>
      <c r="B3389">
        <v>0.98018197421672304</v>
      </c>
      <c r="C3389">
        <v>0.94521573801289205</v>
      </c>
      <c r="D3389">
        <v>0.87298748557044903</v>
      </c>
      <c r="E3389">
        <v>0.73697753773380603</v>
      </c>
      <c r="F3389">
        <v>0.51798126159681701</v>
      </c>
      <c r="G3389">
        <v>0.25046935664514203</v>
      </c>
      <c r="H3389">
        <v>0.23497305368152499</v>
      </c>
      <c r="I3389">
        <v>0.20670843226653801</v>
      </c>
      <c r="J3389">
        <v>0.19232029867865599</v>
      </c>
      <c r="K3389">
        <v>0.20579470895273799</v>
      </c>
      <c r="L3389">
        <v>921.694093764542</v>
      </c>
      <c r="M3389">
        <v>17.844756542965701</v>
      </c>
      <c r="N3389">
        <v>52.957167027091899</v>
      </c>
      <c r="O3389">
        <v>51.015153580166398</v>
      </c>
      <c r="P3389">
        <v>-7.1881126352777505E-2</v>
      </c>
      <c r="Q3389">
        <v>0.17805782591741501</v>
      </c>
      <c r="R3389">
        <v>0.99174157151252795</v>
      </c>
      <c r="S3389" t="s">
        <v>7018</v>
      </c>
      <c r="T3389" t="s">
        <v>7256</v>
      </c>
      <c r="U3389" t="s">
        <v>7256</v>
      </c>
      <c r="V3389" t="s">
        <v>7256</v>
      </c>
      <c r="W3389">
        <v>4</v>
      </c>
      <c r="X3389" t="s">
        <v>10645</v>
      </c>
      <c r="Y3389">
        <v>0.51121376458443002</v>
      </c>
      <c r="Z3389" t="str">
        <f>HYPERLINK("Melting_Curves/meltCurve_tr_G3V1D4_G3V1D4_HUMAN_.pdf", "Melting_Curves/meltCurve_tr_G3V1D4_G3V1D4_HUMAN_.pdf")</f>
        <v>Melting_Curves/meltCurve_tr_G3V1D4_G3V1D4_HUMAN_.pdf</v>
      </c>
      <c r="AA3389" t="s">
        <v>14213</v>
      </c>
      <c r="AB3389" t="s">
        <v>17800</v>
      </c>
    </row>
    <row r="3390" spans="1:28" x14ac:dyDescent="0.25">
      <c r="A3390" t="s">
        <v>3394</v>
      </c>
      <c r="B3390">
        <v>0.98018197421672304</v>
      </c>
      <c r="C3390">
        <v>0.93571919459071895</v>
      </c>
      <c r="D3390">
        <v>0.878547581280685</v>
      </c>
      <c r="E3390">
        <v>0.66061068216852903</v>
      </c>
      <c r="F3390">
        <v>0.27501972742031799</v>
      </c>
      <c r="G3390">
        <v>0.12449484140879701</v>
      </c>
      <c r="H3390">
        <v>9.0889670603009495E-2</v>
      </c>
      <c r="I3390">
        <v>6.2731481953062301E-2</v>
      </c>
      <c r="J3390">
        <v>9.9485084770569998E-2</v>
      </c>
      <c r="K3390">
        <v>7.2163912801866098E-2</v>
      </c>
      <c r="L3390">
        <v>1232.26145753984</v>
      </c>
      <c r="M3390">
        <v>24.304566948637</v>
      </c>
      <c r="N3390">
        <v>51.021756564590497</v>
      </c>
      <c r="O3390">
        <v>50.361319644768301</v>
      </c>
      <c r="P3390">
        <v>-0.112100425920607</v>
      </c>
      <c r="Q3390">
        <v>7.0883920671093101E-2</v>
      </c>
      <c r="R3390">
        <v>0.992881105609562</v>
      </c>
      <c r="S3390" t="s">
        <v>7019</v>
      </c>
      <c r="T3390" t="s">
        <v>7256</v>
      </c>
      <c r="U3390" t="s">
        <v>7256</v>
      </c>
      <c r="V3390" t="s">
        <v>7256</v>
      </c>
      <c r="W3390">
        <v>9</v>
      </c>
      <c r="X3390" t="s">
        <v>10646</v>
      </c>
      <c r="Y3390">
        <v>0.41114002120476761</v>
      </c>
      <c r="Z3390" t="str">
        <f>HYPERLINK("Melting_Curves/meltCurve_tr_G3V1J5_G3V1J5_HUMAN_.pdf", "Melting_Curves/meltCurve_tr_G3V1J5_G3V1J5_HUMAN_.pdf")</f>
        <v>Melting_Curves/meltCurve_tr_G3V1J5_G3V1J5_HUMAN_.pdf</v>
      </c>
      <c r="AA3390" t="s">
        <v>14214</v>
      </c>
      <c r="AB3390" t="s">
        <v>17801</v>
      </c>
    </row>
    <row r="3391" spans="1:28" x14ac:dyDescent="0.25">
      <c r="A3391" t="s">
        <v>3395</v>
      </c>
      <c r="B3391">
        <v>0.98018197421672304</v>
      </c>
      <c r="C3391">
        <v>0.89810125679341801</v>
      </c>
      <c r="D3391">
        <v>0.80659791826841198</v>
      </c>
      <c r="E3391">
        <v>0.660818648819823</v>
      </c>
      <c r="F3391">
        <v>0.51052925478583</v>
      </c>
      <c r="G3391">
        <v>0.25155619492732001</v>
      </c>
      <c r="H3391">
        <v>0.16621834461575799</v>
      </c>
      <c r="I3391">
        <v>0.13660698579439701</v>
      </c>
      <c r="J3391">
        <v>0.19170797429869199</v>
      </c>
      <c r="K3391">
        <v>0.15244523003128899</v>
      </c>
      <c r="L3391">
        <v>662.13666463237405</v>
      </c>
      <c r="M3391">
        <v>12.881142187402199</v>
      </c>
      <c r="N3391">
        <v>52.319186963420201</v>
      </c>
      <c r="O3391">
        <v>50.211952960536799</v>
      </c>
      <c r="P3391">
        <v>-5.7672487779886997E-2</v>
      </c>
      <c r="Q3391">
        <v>0.10091260938871099</v>
      </c>
      <c r="R3391">
        <v>0.98737171715702099</v>
      </c>
      <c r="S3391" t="s">
        <v>7020</v>
      </c>
      <c r="T3391" t="s">
        <v>7256</v>
      </c>
      <c r="U3391" t="s">
        <v>7256</v>
      </c>
      <c r="V3391" t="s">
        <v>7256</v>
      </c>
      <c r="W3391">
        <v>2</v>
      </c>
      <c r="X3391" t="s">
        <v>10647</v>
      </c>
      <c r="Y3391">
        <v>0.46855128875582353</v>
      </c>
      <c r="Z3391" t="str">
        <f>HYPERLINK("Melting_Curves/meltCurve_tr_G3V1P3_G3V1P3_HUMAN_.pdf", "Melting_Curves/meltCurve_tr_G3V1P3_G3V1P3_HUMAN_.pdf")</f>
        <v>Melting_Curves/meltCurve_tr_G3V1P3_G3V1P3_HUMAN_.pdf</v>
      </c>
      <c r="AA3391" t="s">
        <v>14215</v>
      </c>
      <c r="AB3391" t="s">
        <v>17802</v>
      </c>
    </row>
    <row r="3392" spans="1:28" x14ac:dyDescent="0.25">
      <c r="A3392" t="s">
        <v>3396</v>
      </c>
      <c r="B3392">
        <v>0.98018197421672304</v>
      </c>
      <c r="C3392">
        <v>0.79002833164867703</v>
      </c>
      <c r="D3392">
        <v>0.79869212953004598</v>
      </c>
      <c r="E3392">
        <v>0.73663437050777303</v>
      </c>
      <c r="F3392">
        <v>0.574407273613046</v>
      </c>
      <c r="G3392">
        <v>0.27577297349843899</v>
      </c>
      <c r="H3392">
        <v>0.192511198186057</v>
      </c>
      <c r="I3392">
        <v>0.123642149021937</v>
      </c>
      <c r="J3392">
        <v>8.7404010625042203E-2</v>
      </c>
      <c r="K3392">
        <v>6.3997303009607695E-2</v>
      </c>
      <c r="L3392">
        <v>562.98961459828297</v>
      </c>
      <c r="M3392">
        <v>10.584952638276601</v>
      </c>
      <c r="N3392">
        <v>53.187729704741201</v>
      </c>
      <c r="O3392">
        <v>51.394636793976701</v>
      </c>
      <c r="P3392">
        <v>-5.1508746158835397E-2</v>
      </c>
      <c r="Q3392">
        <v>0</v>
      </c>
      <c r="R3392">
        <v>0.96909729727286897</v>
      </c>
      <c r="S3392" t="s">
        <v>7021</v>
      </c>
      <c r="T3392" t="s">
        <v>7256</v>
      </c>
      <c r="U3392" t="s">
        <v>7256</v>
      </c>
      <c r="V3392" t="s">
        <v>7256</v>
      </c>
      <c r="W3392">
        <v>23</v>
      </c>
      <c r="X3392" t="s">
        <v>10648</v>
      </c>
      <c r="Y3392">
        <v>0.47141006756295079</v>
      </c>
      <c r="Z3392" t="str">
        <f>HYPERLINK("Melting_Curves/meltCurve_tr_G3V1Q4_G3V1Q4_HUMAN_.pdf", "Melting_Curves/meltCurve_tr_G3V1Q4_G3V1Q4_HUMAN_.pdf")</f>
        <v>Melting_Curves/meltCurve_tr_G3V1Q4_G3V1Q4_HUMAN_.pdf</v>
      </c>
      <c r="AA3392" t="s">
        <v>12486</v>
      </c>
      <c r="AB3392" t="s">
        <v>17803</v>
      </c>
    </row>
    <row r="3393" spans="1:28" x14ac:dyDescent="0.25">
      <c r="A3393" t="s">
        <v>3397</v>
      </c>
      <c r="B3393">
        <v>0.98018197421672304</v>
      </c>
      <c r="C3393">
        <v>0.94274457996540795</v>
      </c>
      <c r="D3393">
        <v>0.63308412197176001</v>
      </c>
      <c r="E3393">
        <v>0.32131365861593703</v>
      </c>
      <c r="F3393">
        <v>0.164687314985037</v>
      </c>
      <c r="G3393">
        <v>0.109144311937937</v>
      </c>
      <c r="H3393">
        <v>5.8963066442039497E-2</v>
      </c>
      <c r="I3393">
        <v>4.9604827247693599E-2</v>
      </c>
      <c r="J3393">
        <v>5.5833748369958101E-2</v>
      </c>
      <c r="K3393">
        <v>3.8875191493393801E-2</v>
      </c>
      <c r="L3393">
        <v>927.12046356578503</v>
      </c>
      <c r="M3393">
        <v>19.529328299037299</v>
      </c>
      <c r="N3393">
        <v>47.739746184357699</v>
      </c>
      <c r="O3393">
        <v>46.983861825380899</v>
      </c>
      <c r="P3393">
        <v>-9.8551887350214598E-2</v>
      </c>
      <c r="Q3393">
        <v>5.1644930426395501E-2</v>
      </c>
      <c r="R3393">
        <v>0.99639382807467203</v>
      </c>
      <c r="S3393" t="s">
        <v>7022</v>
      </c>
      <c r="T3393" t="s">
        <v>7256</v>
      </c>
      <c r="U3393" t="s">
        <v>7256</v>
      </c>
      <c r="V3393" t="s">
        <v>7256</v>
      </c>
      <c r="W3393">
        <v>7</v>
      </c>
      <c r="X3393" t="s">
        <v>10649</v>
      </c>
      <c r="Y3393">
        <v>0.30226685866528141</v>
      </c>
      <c r="Z3393" t="str">
        <f>HYPERLINK("Melting_Curves/meltCurve_tr_G3V1Y8_G3V1Y8_HUMAN_.pdf", "Melting_Curves/meltCurve_tr_G3V1Y8_G3V1Y8_HUMAN_.pdf")</f>
        <v>Melting_Curves/meltCurve_tr_G3V1Y8_G3V1Y8_HUMAN_.pdf</v>
      </c>
      <c r="AA3393" t="s">
        <v>14216</v>
      </c>
      <c r="AB3393" t="s">
        <v>17804</v>
      </c>
    </row>
    <row r="3394" spans="1:28" x14ac:dyDescent="0.25">
      <c r="A3394" t="s">
        <v>3398</v>
      </c>
      <c r="B3394">
        <v>0.98018197421672304</v>
      </c>
      <c r="C3394">
        <v>0.93222763925595598</v>
      </c>
      <c r="D3394">
        <v>0.78584242892304401</v>
      </c>
      <c r="E3394">
        <v>0.71626435863735805</v>
      </c>
      <c r="F3394">
        <v>0.52411676922917305</v>
      </c>
      <c r="G3394">
        <v>0.193554490508275</v>
      </c>
      <c r="H3394">
        <v>9.52028431571003E-2</v>
      </c>
      <c r="I3394">
        <v>5.9821371593255498E-2</v>
      </c>
      <c r="J3394">
        <v>7.0486921677926306E-2</v>
      </c>
      <c r="K3394">
        <v>5.4792599010106198E-2</v>
      </c>
      <c r="L3394">
        <v>723.97174007479498</v>
      </c>
      <c r="M3394">
        <v>13.7881655810137</v>
      </c>
      <c r="N3394">
        <v>52.5067667120571</v>
      </c>
      <c r="O3394">
        <v>51.439253974157502</v>
      </c>
      <c r="P3394">
        <v>-6.7021311925656704E-2</v>
      </c>
      <c r="Q3394">
        <v>0</v>
      </c>
      <c r="R3394">
        <v>0.98498988023635003</v>
      </c>
      <c r="S3394" t="s">
        <v>7023</v>
      </c>
      <c r="T3394" t="s">
        <v>7256</v>
      </c>
      <c r="U3394" t="s">
        <v>7256</v>
      </c>
      <c r="V3394" t="s">
        <v>7256</v>
      </c>
      <c r="W3394">
        <v>2</v>
      </c>
      <c r="X3394" t="s">
        <v>10650</v>
      </c>
      <c r="Y3394">
        <v>0.44161314054894102</v>
      </c>
      <c r="Z3394" t="str">
        <f>HYPERLINK("Melting_Curves/meltCurve_tr_G3V2A6_G3V2A6_HUMAN_.pdf", "Melting_Curves/meltCurve_tr_G3V2A6_G3V2A6_HUMAN_.pdf")</f>
        <v>Melting_Curves/meltCurve_tr_G3V2A6_G3V2A6_HUMAN_.pdf</v>
      </c>
      <c r="AA3394" t="s">
        <v>13716</v>
      </c>
      <c r="AB3394" t="s">
        <v>17805</v>
      </c>
    </row>
    <row r="3395" spans="1:28" x14ac:dyDescent="0.25">
      <c r="A3395" t="s">
        <v>3399</v>
      </c>
      <c r="B3395">
        <v>0.98018197421672304</v>
      </c>
      <c r="C3395">
        <v>0.90128507101759403</v>
      </c>
      <c r="D3395">
        <v>0.949451581217718</v>
      </c>
      <c r="E3395">
        <v>0.66550548304864399</v>
      </c>
      <c r="F3395">
        <v>0.49572924048637101</v>
      </c>
      <c r="G3395">
        <v>0.275845662192227</v>
      </c>
      <c r="H3395">
        <v>0.154164666504464</v>
      </c>
      <c r="I3395">
        <v>0.14212675878605099</v>
      </c>
      <c r="J3395">
        <v>0.16941393424217699</v>
      </c>
      <c r="K3395">
        <v>5.5977720879284397E-2</v>
      </c>
      <c r="L3395">
        <v>800.26060442736298</v>
      </c>
      <c r="M3395">
        <v>15.348500289414799</v>
      </c>
      <c r="N3395">
        <v>52.770610230527403</v>
      </c>
      <c r="O3395">
        <v>51.278314081997003</v>
      </c>
      <c r="P3395">
        <v>-6.8559882734629193E-2</v>
      </c>
      <c r="Q3395">
        <v>8.3869006112217898E-2</v>
      </c>
      <c r="R3395">
        <v>0.98878884501744901</v>
      </c>
      <c r="S3395" t="s">
        <v>7024</v>
      </c>
      <c r="T3395" t="s">
        <v>7256</v>
      </c>
      <c r="U3395" t="s">
        <v>7256</v>
      </c>
      <c r="V3395" t="s">
        <v>7256</v>
      </c>
      <c r="W3395">
        <v>3</v>
      </c>
      <c r="X3395" t="s">
        <v>10651</v>
      </c>
      <c r="Y3395">
        <v>0.47425732808403592</v>
      </c>
      <c r="Z3395" t="str">
        <f>HYPERLINK("Melting_Curves/meltCurve_tr_G3V2S0_G3V2S0_HUMAN_.pdf", "Melting_Curves/meltCurve_tr_G3V2S0_G3V2S0_HUMAN_.pdf")</f>
        <v>Melting_Curves/meltCurve_tr_G3V2S0_G3V2S0_HUMAN_.pdf</v>
      </c>
      <c r="AA3395" t="s">
        <v>13716</v>
      </c>
      <c r="AB3395" t="s">
        <v>17805</v>
      </c>
    </row>
    <row r="3396" spans="1:28" x14ac:dyDescent="0.25">
      <c r="A3396" t="s">
        <v>3400</v>
      </c>
      <c r="B3396">
        <v>0.98018197421672304</v>
      </c>
      <c r="C3396">
        <v>0.93772640631447801</v>
      </c>
      <c r="D3396">
        <v>1.00521871598097</v>
      </c>
      <c r="E3396">
        <v>0.89133578539556801</v>
      </c>
      <c r="F3396">
        <v>0.88917711819652301</v>
      </c>
      <c r="G3396">
        <v>0.721665482106434</v>
      </c>
      <c r="H3396">
        <v>0.60868059249732398</v>
      </c>
      <c r="I3396">
        <v>0.71187706835930697</v>
      </c>
      <c r="J3396">
        <v>0.58668463355485001</v>
      </c>
      <c r="K3396">
        <v>0.769037681560783</v>
      </c>
      <c r="L3396">
        <v>1231.4601960585301</v>
      </c>
      <c r="M3396">
        <v>23.0839028024889</v>
      </c>
      <c r="O3396">
        <v>52.951646534355902</v>
      </c>
      <c r="P3396">
        <v>-3.6559128261941298E-2</v>
      </c>
      <c r="Q3396">
        <v>0.66455767033316504</v>
      </c>
      <c r="R3396">
        <v>0.83993581429324105</v>
      </c>
      <c r="S3396" t="s">
        <v>7025</v>
      </c>
      <c r="T3396" t="s">
        <v>7256</v>
      </c>
      <c r="U3396" t="s">
        <v>7256</v>
      </c>
      <c r="V3396" t="s">
        <v>7256</v>
      </c>
      <c r="W3396">
        <v>1</v>
      </c>
      <c r="X3396" t="s">
        <v>10652</v>
      </c>
      <c r="Y3396">
        <v>0.8173797010465933</v>
      </c>
      <c r="Z3396" t="str">
        <f>HYPERLINK("Melting_Curves/meltCurve_tr_G3V2T6_G3V2T6_HUMAN_.pdf", "Melting_Curves/meltCurve_tr_G3V2T6_G3V2T6_HUMAN_.pdf")</f>
        <v>Melting_Curves/meltCurve_tr_G3V2T6_G3V2T6_HUMAN_.pdf</v>
      </c>
      <c r="AB3396" t="s">
        <v>17729</v>
      </c>
    </row>
    <row r="3397" spans="1:28" x14ac:dyDescent="0.25">
      <c r="A3397" t="s">
        <v>3401</v>
      </c>
      <c r="B3397">
        <v>0.98018197421672304</v>
      </c>
      <c r="C3397">
        <v>0.90307406957966296</v>
      </c>
      <c r="D3397">
        <v>0.92853934911843194</v>
      </c>
      <c r="E3397">
        <v>0.78259402894874497</v>
      </c>
      <c r="F3397">
        <v>0.64693392759988699</v>
      </c>
      <c r="G3397">
        <v>0.51801394119588495</v>
      </c>
      <c r="H3397">
        <v>0.34496022522372599</v>
      </c>
      <c r="I3397">
        <v>0.28681189353578701</v>
      </c>
      <c r="J3397">
        <v>0.245661997085803</v>
      </c>
      <c r="K3397">
        <v>0.28899289015556001</v>
      </c>
      <c r="L3397">
        <v>616.65149367072001</v>
      </c>
      <c r="M3397">
        <v>11.345290449761199</v>
      </c>
      <c r="N3397">
        <v>56.654913836885697</v>
      </c>
      <c r="O3397">
        <v>52.746566357366902</v>
      </c>
      <c r="P3397">
        <v>-4.3856275458358601E-2</v>
      </c>
      <c r="Q3397">
        <v>0.18465712760050701</v>
      </c>
      <c r="R3397">
        <v>0.98885072747595604</v>
      </c>
      <c r="S3397" t="s">
        <v>7026</v>
      </c>
      <c r="T3397" t="s">
        <v>7256</v>
      </c>
      <c r="U3397" t="s">
        <v>7256</v>
      </c>
      <c r="V3397" t="s">
        <v>7256</v>
      </c>
      <c r="W3397">
        <v>1</v>
      </c>
      <c r="X3397" t="s">
        <v>10653</v>
      </c>
      <c r="Y3397">
        <v>0.59625657453778047</v>
      </c>
      <c r="Z3397" t="str">
        <f>HYPERLINK("Melting_Curves/meltCurve_tr_G3V357_G3V357_HUMAN_.pdf", "Melting_Curves/meltCurve_tr_G3V357_G3V357_HUMAN_.pdf")</f>
        <v>Melting_Curves/meltCurve_tr_G3V357_G3V357_HUMAN_.pdf</v>
      </c>
      <c r="AA3397" t="s">
        <v>14217</v>
      </c>
      <c r="AB3397" t="s">
        <v>17806</v>
      </c>
    </row>
    <row r="3398" spans="1:28" x14ac:dyDescent="0.25">
      <c r="A3398" t="s">
        <v>3402</v>
      </c>
      <c r="B3398">
        <v>0.98018197421672304</v>
      </c>
      <c r="C3398">
        <v>0.95917054169170002</v>
      </c>
      <c r="D3398">
        <v>1.1608315698617</v>
      </c>
      <c r="E3398">
        <v>0.77389494871647002</v>
      </c>
      <c r="F3398">
        <v>0.646252768206665</v>
      </c>
      <c r="G3398">
        <v>0.32202743209253698</v>
      </c>
      <c r="H3398">
        <v>8.9019442792517806E-2</v>
      </c>
      <c r="I3398">
        <v>5.2764508440157502E-2</v>
      </c>
      <c r="J3398">
        <v>0.115872461177692</v>
      </c>
      <c r="K3398">
        <v>8.2057356649461302E-2</v>
      </c>
      <c r="L3398">
        <v>1165.1704652916101</v>
      </c>
      <c r="M3398">
        <v>21.569742607439</v>
      </c>
      <c r="N3398">
        <v>54.342764704417398</v>
      </c>
      <c r="O3398">
        <v>53.560868819606803</v>
      </c>
      <c r="P3398">
        <v>-9.4605868858994802E-2</v>
      </c>
      <c r="Q3398">
        <v>6.0341072509419801E-2</v>
      </c>
      <c r="R3398">
        <v>0.97102997944200498</v>
      </c>
      <c r="S3398" t="s">
        <v>7027</v>
      </c>
      <c r="T3398" t="s">
        <v>7256</v>
      </c>
      <c r="U3398" t="s">
        <v>7256</v>
      </c>
      <c r="V3398" t="s">
        <v>7256</v>
      </c>
      <c r="W3398">
        <v>1</v>
      </c>
      <c r="X3398" t="s">
        <v>10654</v>
      </c>
      <c r="Y3398">
        <v>0.51070709096506928</v>
      </c>
      <c r="Z3398" t="str">
        <f>HYPERLINK("Melting_Curves/meltCurve_tr_G3V394_G3V394_HUMAN_.pdf", "Melting_Curves/meltCurve_tr_G3V394_G3V394_HUMAN_.pdf")</f>
        <v>Melting_Curves/meltCurve_tr_G3V394_G3V394_HUMAN_.pdf</v>
      </c>
      <c r="AA3398" t="s">
        <v>14218</v>
      </c>
      <c r="AB3398" t="s">
        <v>17807</v>
      </c>
    </row>
    <row r="3399" spans="1:28" x14ac:dyDescent="0.25">
      <c r="A3399" t="s">
        <v>3403</v>
      </c>
      <c r="B3399">
        <v>0.98018197421672304</v>
      </c>
      <c r="C3399">
        <v>0.89346388192371196</v>
      </c>
      <c r="D3399">
        <v>0.79692916928020596</v>
      </c>
      <c r="E3399">
        <v>0.669164369241388</v>
      </c>
      <c r="F3399">
        <v>0.682118438158132</v>
      </c>
      <c r="G3399">
        <v>0.57102585654902704</v>
      </c>
      <c r="H3399">
        <v>0.38974498459469198</v>
      </c>
      <c r="I3399">
        <v>0.40805579883715698</v>
      </c>
      <c r="J3399">
        <v>0.393633998628938</v>
      </c>
      <c r="K3399">
        <v>0.27272952429095498</v>
      </c>
      <c r="L3399">
        <v>347.18931966455398</v>
      </c>
      <c r="M3399">
        <v>6.1314140849241499</v>
      </c>
      <c r="N3399">
        <v>58.582658362883897</v>
      </c>
      <c r="O3399">
        <v>51.488867496643103</v>
      </c>
      <c r="P3399">
        <v>-2.7093384132595301E-2</v>
      </c>
      <c r="Q3399">
        <v>9.2646943714248906E-2</v>
      </c>
      <c r="R3399">
        <v>0.96961107314832895</v>
      </c>
      <c r="S3399" t="s">
        <v>7028</v>
      </c>
      <c r="T3399" t="s">
        <v>7256</v>
      </c>
      <c r="U3399" t="s">
        <v>7256</v>
      </c>
      <c r="V3399" t="s">
        <v>7256</v>
      </c>
      <c r="W3399">
        <v>1</v>
      </c>
      <c r="X3399" t="s">
        <v>10655</v>
      </c>
      <c r="Y3399">
        <v>0.60311905525131737</v>
      </c>
      <c r="Z3399" t="str">
        <f>HYPERLINK("Melting_Curves/meltCurve_tr_G3V3D2_G3V3D2_HUMAN_.pdf", "Melting_Curves/meltCurve_tr_G3V3D2_G3V3D2_HUMAN_.pdf")</f>
        <v>Melting_Curves/meltCurve_tr_G3V3D2_G3V3D2_HUMAN_.pdf</v>
      </c>
      <c r="AA3399" t="s">
        <v>14219</v>
      </c>
      <c r="AB3399" t="s">
        <v>17808</v>
      </c>
    </row>
    <row r="3400" spans="1:28" x14ac:dyDescent="0.25">
      <c r="A3400" t="s">
        <v>3404</v>
      </c>
      <c r="B3400">
        <v>0.98018197421672304</v>
      </c>
      <c r="C3400">
        <v>0.96969485366675701</v>
      </c>
      <c r="D3400">
        <v>0.90059236818557897</v>
      </c>
      <c r="E3400">
        <v>0.70796115775021995</v>
      </c>
      <c r="F3400">
        <v>0.51926458962453304</v>
      </c>
      <c r="G3400">
        <v>0.29433026309381999</v>
      </c>
      <c r="H3400">
        <v>0.24458490241154801</v>
      </c>
      <c r="I3400">
        <v>0.25688326674716699</v>
      </c>
      <c r="J3400">
        <v>0.26229160789148998</v>
      </c>
      <c r="K3400">
        <v>0.31775325768460699</v>
      </c>
      <c r="L3400">
        <v>1043.0990771797401</v>
      </c>
      <c r="M3400">
        <v>20.452822313764099</v>
      </c>
      <c r="N3400">
        <v>52.8475130374134</v>
      </c>
      <c r="O3400">
        <v>50.520213481054498</v>
      </c>
      <c r="P3400">
        <v>-7.5365653808925806E-2</v>
      </c>
      <c r="Q3400">
        <v>0.25538384330219899</v>
      </c>
      <c r="R3400">
        <v>0.99047409442061396</v>
      </c>
      <c r="S3400" t="s">
        <v>7029</v>
      </c>
      <c r="T3400" t="s">
        <v>7256</v>
      </c>
      <c r="U3400" t="s">
        <v>7256</v>
      </c>
      <c r="V3400" t="s">
        <v>7256</v>
      </c>
      <c r="W3400">
        <v>11</v>
      </c>
      <c r="X3400" t="s">
        <v>10656</v>
      </c>
      <c r="Y3400">
        <v>0.53832679970895825</v>
      </c>
      <c r="Z3400" t="str">
        <f>HYPERLINK("Melting_Curves/meltCurve_tr_G3V3G9_G3V3G9_HUMAN_.pdf", "Melting_Curves/meltCurve_tr_G3V3G9_G3V3G9_HUMAN_.pdf")</f>
        <v>Melting_Curves/meltCurve_tr_G3V3G9_G3V3G9_HUMAN_.pdf</v>
      </c>
      <c r="AA3400" t="s">
        <v>14220</v>
      </c>
      <c r="AB3400" t="s">
        <v>17809</v>
      </c>
    </row>
    <row r="3401" spans="1:28" x14ac:dyDescent="0.25">
      <c r="A3401" t="s">
        <v>3405</v>
      </c>
      <c r="B3401">
        <v>0.98018197421672304</v>
      </c>
      <c r="C3401">
        <v>1.0145078334581701</v>
      </c>
      <c r="D3401">
        <v>0.90366707659558299</v>
      </c>
      <c r="E3401">
        <v>0.714730851631873</v>
      </c>
      <c r="F3401">
        <v>0.55479015881814897</v>
      </c>
      <c r="G3401">
        <v>0.21394033272497301</v>
      </c>
      <c r="H3401">
        <v>0.12462256063713099</v>
      </c>
      <c r="I3401">
        <v>8.6026026186198798E-2</v>
      </c>
      <c r="J3401">
        <v>7.4418875874542198E-2</v>
      </c>
      <c r="K3401">
        <v>8.1728535943726102E-2</v>
      </c>
      <c r="L3401">
        <v>927.88004178721303</v>
      </c>
      <c r="M3401">
        <v>17.594652647821999</v>
      </c>
      <c r="N3401">
        <v>53.055753137457799</v>
      </c>
      <c r="O3401">
        <v>52.069387093922003</v>
      </c>
      <c r="P3401">
        <v>-8.0237979985271393E-2</v>
      </c>
      <c r="Q3401">
        <v>5.0230304403834303E-2</v>
      </c>
      <c r="R3401">
        <v>0.99519923269854205</v>
      </c>
      <c r="S3401" t="s">
        <v>7030</v>
      </c>
      <c r="T3401" t="s">
        <v>7256</v>
      </c>
      <c r="U3401" t="s">
        <v>7256</v>
      </c>
      <c r="V3401" t="s">
        <v>7256</v>
      </c>
      <c r="W3401">
        <v>3</v>
      </c>
      <c r="X3401" t="s">
        <v>10657</v>
      </c>
      <c r="Y3401">
        <v>0.46966724987219011</v>
      </c>
      <c r="Z3401" t="str">
        <f>HYPERLINK("Melting_Curves/meltCurve_tr_G3V3R7_G3V3R7_HUMAN_.pdf", "Melting_Curves/meltCurve_tr_G3V3R7_G3V3R7_HUMAN_.pdf")</f>
        <v>Melting_Curves/meltCurve_tr_G3V3R7_G3V3R7_HUMAN_.pdf</v>
      </c>
      <c r="AA3401" t="s">
        <v>14221</v>
      </c>
      <c r="AB3401" t="s">
        <v>17810</v>
      </c>
    </row>
    <row r="3402" spans="1:28" x14ac:dyDescent="0.25">
      <c r="A3402" t="s">
        <v>3406</v>
      </c>
      <c r="B3402">
        <v>0.98018197421672304</v>
      </c>
      <c r="C3402">
        <v>0.86942223916497097</v>
      </c>
      <c r="D3402">
        <v>0.87489101246600498</v>
      </c>
      <c r="E3402">
        <v>0.60370067347154299</v>
      </c>
      <c r="F3402">
        <v>0.80750582558133099</v>
      </c>
      <c r="G3402">
        <v>0.47320797471017301</v>
      </c>
      <c r="H3402">
        <v>0.58815479090846401</v>
      </c>
      <c r="I3402">
        <v>0.55332489535185303</v>
      </c>
      <c r="J3402">
        <v>0.75715424976610202</v>
      </c>
      <c r="K3402">
        <v>0.58863567657636096</v>
      </c>
      <c r="L3402">
        <v>750.15762800798495</v>
      </c>
      <c r="M3402">
        <v>16.168965256520401</v>
      </c>
      <c r="O3402">
        <v>45.702643307638198</v>
      </c>
      <c r="P3402">
        <v>-3.5073474656708299E-2</v>
      </c>
      <c r="Q3402">
        <v>0.60347991537339496</v>
      </c>
      <c r="R3402">
        <v>0.65933663120391806</v>
      </c>
      <c r="S3402" t="s">
        <v>7031</v>
      </c>
      <c r="T3402" t="s">
        <v>7256</v>
      </c>
      <c r="U3402" t="s">
        <v>7256</v>
      </c>
      <c r="V3402" t="s">
        <v>7256</v>
      </c>
      <c r="W3402">
        <v>1</v>
      </c>
      <c r="X3402" t="s">
        <v>10658</v>
      </c>
      <c r="Y3402">
        <v>0.69757751700068438</v>
      </c>
      <c r="Z3402" t="str">
        <f>HYPERLINK("Melting_Curves/meltCurve_tr_G3V4J7_G3V4J7_HUMAN_.pdf", "Melting_Curves/meltCurve_tr_G3V4J7_G3V4J7_HUMAN_.pdf")</f>
        <v>Melting_Curves/meltCurve_tr_G3V4J7_G3V4J7_HUMAN_.pdf</v>
      </c>
      <c r="AA3402" t="s">
        <v>14222</v>
      </c>
      <c r="AB3402" t="s">
        <v>17811</v>
      </c>
    </row>
    <row r="3403" spans="1:28" x14ac:dyDescent="0.25">
      <c r="A3403" t="s">
        <v>3407</v>
      </c>
      <c r="B3403">
        <v>0.98018197421672304</v>
      </c>
      <c r="C3403">
        <v>0.93050470524003304</v>
      </c>
      <c r="D3403">
        <v>0.85016073900018696</v>
      </c>
      <c r="E3403">
        <v>0.63834052615137804</v>
      </c>
      <c r="F3403">
        <v>0.46082143434725098</v>
      </c>
      <c r="G3403">
        <v>0.34360528794256301</v>
      </c>
      <c r="H3403">
        <v>0.27965499953873901</v>
      </c>
      <c r="I3403">
        <v>0.173126895696921</v>
      </c>
      <c r="J3403">
        <v>0.114843250808378</v>
      </c>
      <c r="K3403">
        <v>3.9736178708769901E-2</v>
      </c>
      <c r="L3403">
        <v>525.89419281494304</v>
      </c>
      <c r="M3403">
        <v>9.8884367103392297</v>
      </c>
      <c r="N3403">
        <v>53.182742320705799</v>
      </c>
      <c r="O3403">
        <v>51.144739157982301</v>
      </c>
      <c r="P3403">
        <v>-4.8360089064644403E-2</v>
      </c>
      <c r="Q3403">
        <v>0</v>
      </c>
      <c r="R3403">
        <v>0.99125537816160803</v>
      </c>
      <c r="S3403" t="s">
        <v>7032</v>
      </c>
      <c r="T3403" t="s">
        <v>7256</v>
      </c>
      <c r="U3403" t="s">
        <v>7256</v>
      </c>
      <c r="V3403" t="s">
        <v>7256</v>
      </c>
      <c r="W3403">
        <v>1</v>
      </c>
      <c r="X3403" t="s">
        <v>10659</v>
      </c>
      <c r="Y3403">
        <v>0.47324818404930302</v>
      </c>
      <c r="Z3403" t="str">
        <f>HYPERLINK("Melting_Curves/meltCurve_tr_G3V4P7_G3V4P7_HUMAN_.pdf", "Melting_Curves/meltCurve_tr_G3V4P7_G3V4P7_HUMAN_.pdf")</f>
        <v>Melting_Curves/meltCurve_tr_G3V4P7_G3V4P7_HUMAN_.pdf</v>
      </c>
      <c r="AA3403" t="s">
        <v>14223</v>
      </c>
      <c r="AB3403" t="s">
        <v>17812</v>
      </c>
    </row>
    <row r="3404" spans="1:28" x14ac:dyDescent="0.25">
      <c r="A3404" t="s">
        <v>3408</v>
      </c>
      <c r="B3404">
        <v>0.98018197421672304</v>
      </c>
      <c r="C3404">
        <v>1.0115979817483201</v>
      </c>
      <c r="D3404">
        <v>0.95568981144367005</v>
      </c>
      <c r="E3404">
        <v>0.69673531671604505</v>
      </c>
      <c r="F3404">
        <v>0.50075552403586798</v>
      </c>
      <c r="G3404">
        <v>0.25628197161813099</v>
      </c>
      <c r="H3404">
        <v>0.169219626715023</v>
      </c>
      <c r="I3404">
        <v>0.16296321661909699</v>
      </c>
      <c r="J3404">
        <v>0.150322676234008</v>
      </c>
      <c r="K3404">
        <v>0.23911815057251901</v>
      </c>
      <c r="L3404">
        <v>1118.4726043068899</v>
      </c>
      <c r="M3404">
        <v>21.671694721303901</v>
      </c>
      <c r="N3404">
        <v>52.615069547619797</v>
      </c>
      <c r="O3404">
        <v>51.1764296597552</v>
      </c>
      <c r="P3404">
        <v>-8.79234914404428E-2</v>
      </c>
      <c r="Q3404">
        <v>0.16951516281588699</v>
      </c>
      <c r="R3404">
        <v>0.99259626977913396</v>
      </c>
      <c r="S3404" t="s">
        <v>7033</v>
      </c>
      <c r="T3404" t="s">
        <v>7256</v>
      </c>
      <c r="U3404" t="s">
        <v>7256</v>
      </c>
      <c r="V3404" t="s">
        <v>7256</v>
      </c>
      <c r="W3404">
        <v>12</v>
      </c>
      <c r="X3404" t="s">
        <v>10660</v>
      </c>
      <c r="Y3404">
        <v>0.50082949030523027</v>
      </c>
      <c r="Z3404" t="str">
        <f>HYPERLINK("Melting_Curves/meltCurve_tr_G3V4W0_G3V4W0_HUMAN_.pdf", "Melting_Curves/meltCurve_tr_G3V4W0_G3V4W0_HUMAN_.pdf")</f>
        <v>Melting_Curves/meltCurve_tr_G3V4W0_G3V4W0_HUMAN_.pdf</v>
      </c>
      <c r="AA3404" t="s">
        <v>14224</v>
      </c>
      <c r="AB3404" t="s">
        <v>17813</v>
      </c>
    </row>
    <row r="3405" spans="1:28" x14ac:dyDescent="0.25">
      <c r="A3405" t="s">
        <v>3409</v>
      </c>
      <c r="B3405">
        <v>0.98018197421672304</v>
      </c>
      <c r="C3405">
        <v>0.98005082127468501</v>
      </c>
      <c r="D3405">
        <v>0.93784618104419504</v>
      </c>
      <c r="E3405">
        <v>0.73310147592103603</v>
      </c>
      <c r="F3405">
        <v>0.44236853736413401</v>
      </c>
      <c r="G3405">
        <v>0.137628790157384</v>
      </c>
      <c r="H3405">
        <v>8.1490285695156997E-2</v>
      </c>
      <c r="I3405">
        <v>6.4892827740512998E-2</v>
      </c>
      <c r="J3405">
        <v>5.9246555114538399E-2</v>
      </c>
      <c r="K3405">
        <v>4.2031737112040599E-2</v>
      </c>
      <c r="L3405">
        <v>1184.8118714582999</v>
      </c>
      <c r="M3405">
        <v>22.749667370460799</v>
      </c>
      <c r="N3405">
        <v>52.2940796387091</v>
      </c>
      <c r="O3405">
        <v>51.682999570274802</v>
      </c>
      <c r="P3405">
        <v>-0.10516219939092999</v>
      </c>
      <c r="Q3405">
        <v>4.4383157823259203E-2</v>
      </c>
      <c r="R3405">
        <v>0.99889432428560998</v>
      </c>
      <c r="S3405" t="s">
        <v>7034</v>
      </c>
      <c r="T3405" t="s">
        <v>7256</v>
      </c>
      <c r="U3405" t="s">
        <v>7256</v>
      </c>
      <c r="V3405" t="s">
        <v>7256</v>
      </c>
      <c r="W3405">
        <v>11</v>
      </c>
      <c r="X3405" t="s">
        <v>10661</v>
      </c>
      <c r="Y3405">
        <v>0.43963334370733542</v>
      </c>
      <c r="Z3405" t="str">
        <f>HYPERLINK("Melting_Curves/meltCurve_tr_G3V5T0_G3V5T0_HUMAN_.pdf", "Melting_Curves/meltCurve_tr_G3V5T0_G3V5T0_HUMAN_.pdf")</f>
        <v>Melting_Curves/meltCurve_tr_G3V5T0_G3V5T0_HUMAN_.pdf</v>
      </c>
      <c r="AA3405" t="s">
        <v>11031</v>
      </c>
      <c r="AB3405" t="s">
        <v>14577</v>
      </c>
    </row>
    <row r="3406" spans="1:28" x14ac:dyDescent="0.25">
      <c r="A3406" t="s">
        <v>3410</v>
      </c>
      <c r="B3406">
        <v>0.98018197421672304</v>
      </c>
      <c r="C3406">
        <v>1.10049152782644</v>
      </c>
      <c r="D3406">
        <v>1.0664701768592</v>
      </c>
      <c r="E3406">
        <v>1.19008973001694</v>
      </c>
      <c r="F3406">
        <v>0.93445726912931204</v>
      </c>
      <c r="G3406">
        <v>0.71922882093357499</v>
      </c>
      <c r="H3406">
        <v>0.85115756715151503</v>
      </c>
      <c r="I3406">
        <v>0.867373611376966</v>
      </c>
      <c r="J3406">
        <v>1.3893170312621199</v>
      </c>
      <c r="K3406">
        <v>1.3030351033346601</v>
      </c>
      <c r="L3406">
        <v>9416.4857544415408</v>
      </c>
      <c r="M3406">
        <v>143.33922863457099</v>
      </c>
      <c r="O3406">
        <v>65.680924314507195</v>
      </c>
      <c r="P3406">
        <v>0.19269912627430999</v>
      </c>
      <c r="Q3406">
        <v>1.3531944967878899</v>
      </c>
      <c r="R3406">
        <v>0.54697163132126203</v>
      </c>
      <c r="S3406" t="s">
        <v>7035</v>
      </c>
      <c r="T3406" t="s">
        <v>7256</v>
      </c>
      <c r="U3406" t="s">
        <v>7256</v>
      </c>
      <c r="V3406" t="s">
        <v>7256</v>
      </c>
      <c r="W3406">
        <v>1</v>
      </c>
      <c r="X3406" t="s">
        <v>10662</v>
      </c>
      <c r="Y3406">
        <v>1.05057559079255</v>
      </c>
      <c r="Z3406" t="str">
        <f>HYPERLINK("Melting_Curves/meltCurve_tr_G3XAA0_G3XAA0_HUMAN_.pdf", "Melting_Curves/meltCurve_tr_G3XAA0_G3XAA0_HUMAN_.pdf")</f>
        <v>Melting_Curves/meltCurve_tr_G3XAA0_G3XAA0_HUMAN_.pdf</v>
      </c>
      <c r="AA3406" t="s">
        <v>14225</v>
      </c>
      <c r="AB3406" t="s">
        <v>17814</v>
      </c>
    </row>
    <row r="3407" spans="1:28" x14ac:dyDescent="0.25">
      <c r="A3407" t="s">
        <v>3411</v>
      </c>
      <c r="B3407">
        <v>0.98018197421672304</v>
      </c>
      <c r="C3407">
        <v>0.90945141662484397</v>
      </c>
      <c r="D3407">
        <v>0.88159806418694198</v>
      </c>
      <c r="E3407">
        <v>0.59694683120649605</v>
      </c>
      <c r="F3407">
        <v>0.255282784343347</v>
      </c>
      <c r="G3407">
        <v>0.183983890766765</v>
      </c>
      <c r="H3407">
        <v>8.5176153430085097E-2</v>
      </c>
      <c r="I3407">
        <v>8.1038415641973394E-2</v>
      </c>
      <c r="J3407">
        <v>0.105275051541867</v>
      </c>
      <c r="K3407">
        <v>7.74397561740892E-2</v>
      </c>
      <c r="L3407">
        <v>1058.2374500068399</v>
      </c>
      <c r="M3407">
        <v>21.083111432941099</v>
      </c>
      <c r="N3407">
        <v>50.613546114212198</v>
      </c>
      <c r="O3407">
        <v>49.748579736242299</v>
      </c>
      <c r="P3407">
        <v>-9.74496021810803E-2</v>
      </c>
      <c r="Q3407">
        <v>8.0239886219789502E-2</v>
      </c>
      <c r="R3407">
        <v>0.99189869384835905</v>
      </c>
      <c r="S3407" t="s">
        <v>7036</v>
      </c>
      <c r="T3407" t="s">
        <v>7256</v>
      </c>
      <c r="U3407" t="s">
        <v>7256</v>
      </c>
      <c r="V3407" t="s">
        <v>7256</v>
      </c>
      <c r="W3407">
        <v>2</v>
      </c>
      <c r="X3407" t="s">
        <v>10663</v>
      </c>
      <c r="Y3407">
        <v>0.4043095319114744</v>
      </c>
      <c r="Z3407" t="str">
        <f>HYPERLINK("Melting_Curves/meltCurve_tr_G3XAH6_G3XAH6_HUMAN_.pdf", "Melting_Curves/meltCurve_tr_G3XAH6_G3XAH6_HUMAN_.pdf")</f>
        <v>Melting_Curves/meltCurve_tr_G3XAH6_G3XAH6_HUMAN_.pdf</v>
      </c>
      <c r="AA3407" t="s">
        <v>14226</v>
      </c>
      <c r="AB3407" t="s">
        <v>17815</v>
      </c>
    </row>
    <row r="3408" spans="1:28" x14ac:dyDescent="0.25">
      <c r="A3408" t="s">
        <v>3412</v>
      </c>
      <c r="B3408">
        <v>0.98018197421672304</v>
      </c>
      <c r="C3408">
        <v>0.90116300046455999</v>
      </c>
      <c r="D3408">
        <v>0.79931803894676001</v>
      </c>
      <c r="E3408">
        <v>0.65333071786165997</v>
      </c>
      <c r="F3408">
        <v>0.46737224337011002</v>
      </c>
      <c r="G3408">
        <v>0.32697694021005702</v>
      </c>
      <c r="H3408">
        <v>0.30636578563085698</v>
      </c>
      <c r="I3408">
        <v>0.30467555475150798</v>
      </c>
      <c r="J3408">
        <v>0.31239664713482501</v>
      </c>
      <c r="K3408">
        <v>0.33754059565497802</v>
      </c>
      <c r="L3408">
        <v>732.81212216970198</v>
      </c>
      <c r="M3408">
        <v>14.8781377394013</v>
      </c>
      <c r="N3408">
        <v>52.281076845015299</v>
      </c>
      <c r="O3408">
        <v>48.390163664981003</v>
      </c>
      <c r="P3408">
        <v>-5.4679601445624497E-2</v>
      </c>
      <c r="Q3408">
        <v>0.28870696401735502</v>
      </c>
      <c r="R3408">
        <v>0.98837601388418195</v>
      </c>
      <c r="S3408" t="s">
        <v>7037</v>
      </c>
      <c r="T3408" t="s">
        <v>7256</v>
      </c>
      <c r="U3408" t="s">
        <v>7256</v>
      </c>
      <c r="V3408" t="s">
        <v>7256</v>
      </c>
      <c r="W3408">
        <v>7</v>
      </c>
      <c r="X3408" t="s">
        <v>10664</v>
      </c>
      <c r="Y3408">
        <v>0.52578199396476244</v>
      </c>
      <c r="Z3408" t="str">
        <f>HYPERLINK("Melting_Curves/meltCurve_tr_G3XAM2_G3XAM2_HUMAN_.pdf", "Melting_Curves/meltCurve_tr_G3XAM2_G3XAM2_HUMAN_.pdf")</f>
        <v>Melting_Curves/meltCurve_tr_G3XAM2_G3XAM2_HUMAN_.pdf</v>
      </c>
      <c r="AA3408" t="s">
        <v>14227</v>
      </c>
      <c r="AB3408" t="s">
        <v>17816</v>
      </c>
    </row>
    <row r="3409" spans="1:28" x14ac:dyDescent="0.25">
      <c r="A3409" t="s">
        <v>3413</v>
      </c>
      <c r="B3409">
        <v>0.98018197421672304</v>
      </c>
      <c r="C3409">
        <v>0.89190356081783695</v>
      </c>
      <c r="D3409">
        <v>0.69532200374471997</v>
      </c>
      <c r="E3409">
        <v>0.30344150330083303</v>
      </c>
      <c r="F3409">
        <v>0.15252456813674201</v>
      </c>
      <c r="G3409">
        <v>9.0569197626425804E-2</v>
      </c>
      <c r="H3409">
        <v>7.2130550636241297E-2</v>
      </c>
      <c r="I3409">
        <v>3.9205535313405898E-2</v>
      </c>
      <c r="J3409">
        <v>5.4463912530131497E-2</v>
      </c>
      <c r="K3409">
        <v>3.3560282637789297E-2</v>
      </c>
      <c r="L3409">
        <v>951.36627128340899</v>
      </c>
      <c r="M3409">
        <v>19.979502303043098</v>
      </c>
      <c r="N3409">
        <v>47.844857727943698</v>
      </c>
      <c r="O3409">
        <v>47.147798224162003</v>
      </c>
      <c r="P3409">
        <v>-0.10113863539750299</v>
      </c>
      <c r="Q3409">
        <v>4.5360235390106099E-2</v>
      </c>
      <c r="R3409">
        <v>0.99916213971858503</v>
      </c>
      <c r="S3409" t="s">
        <v>7038</v>
      </c>
      <c r="T3409" t="s">
        <v>7256</v>
      </c>
      <c r="U3409" t="s">
        <v>7256</v>
      </c>
      <c r="V3409" t="s">
        <v>7256</v>
      </c>
      <c r="W3409">
        <v>4</v>
      </c>
      <c r="X3409" t="s">
        <v>10665</v>
      </c>
      <c r="Y3409">
        <v>0.30146797620307392</v>
      </c>
      <c r="Z3409" t="str">
        <f>HYPERLINK("Melting_Curves/meltCurve_tr_G5E9W7_G5E9W7_HUMAN_.pdf", "Melting_Curves/meltCurve_tr_G5E9W7_G5E9W7_HUMAN_.pdf")</f>
        <v>Melting_Curves/meltCurve_tr_G5E9W7_G5E9W7_HUMAN_.pdf</v>
      </c>
      <c r="AA3409" t="s">
        <v>14228</v>
      </c>
      <c r="AB3409" t="s">
        <v>17817</v>
      </c>
    </row>
    <row r="3410" spans="1:28" x14ac:dyDescent="0.25">
      <c r="A3410" t="s">
        <v>3414</v>
      </c>
      <c r="B3410">
        <v>0.98018197421672304</v>
      </c>
      <c r="C3410">
        <v>1.10564098166881</v>
      </c>
      <c r="D3410">
        <v>0.89014816726324097</v>
      </c>
      <c r="E3410">
        <v>0.80571431180863795</v>
      </c>
      <c r="F3410">
        <v>0.55941727732211199</v>
      </c>
      <c r="G3410">
        <v>0.425376930196874</v>
      </c>
      <c r="H3410">
        <v>0.31097697557712001</v>
      </c>
      <c r="I3410">
        <v>0.18568301439726001</v>
      </c>
      <c r="J3410">
        <v>0.124750529616294</v>
      </c>
      <c r="K3410">
        <v>0.17494266502599301</v>
      </c>
      <c r="L3410">
        <v>756.89947957208506</v>
      </c>
      <c r="M3410">
        <v>14.030436663492299</v>
      </c>
      <c r="N3410">
        <v>54.999168175865698</v>
      </c>
      <c r="O3410">
        <v>52.886521133088898</v>
      </c>
      <c r="P3410">
        <v>-5.8524306044584799E-2</v>
      </c>
      <c r="Q3410">
        <v>0.11770662862078</v>
      </c>
      <c r="R3410">
        <v>0.97684446828055105</v>
      </c>
      <c r="S3410" t="s">
        <v>7039</v>
      </c>
      <c r="T3410" t="s">
        <v>7256</v>
      </c>
      <c r="U3410" t="s">
        <v>7256</v>
      </c>
      <c r="V3410" t="s">
        <v>7256</v>
      </c>
      <c r="W3410">
        <v>2</v>
      </c>
      <c r="X3410" t="s">
        <v>10666</v>
      </c>
      <c r="Y3410">
        <v>0.54755533023279535</v>
      </c>
      <c r="Z3410" t="str">
        <f>HYPERLINK("Melting_Curves/meltCurve_tr_G5EA37_G5EA37_HUMAN_.pdf", "Melting_Curves/meltCurve_tr_G5EA37_G5EA37_HUMAN_.pdf")</f>
        <v>Melting_Curves/meltCurve_tr_G5EA37_G5EA37_HUMAN_.pdf</v>
      </c>
      <c r="AA3410" t="s">
        <v>14229</v>
      </c>
      <c r="AB3410" t="s">
        <v>17818</v>
      </c>
    </row>
    <row r="3411" spans="1:28" x14ac:dyDescent="0.25">
      <c r="A3411" t="s">
        <v>3415</v>
      </c>
      <c r="B3411">
        <v>0.98018197421672304</v>
      </c>
      <c r="C3411">
        <v>1.00346291291736</v>
      </c>
      <c r="D3411">
        <v>0.97766454268685599</v>
      </c>
      <c r="E3411">
        <v>0.77388478679070805</v>
      </c>
      <c r="F3411">
        <v>0.55478919182793796</v>
      </c>
      <c r="G3411">
        <v>0.18904525385686399</v>
      </c>
      <c r="H3411">
        <v>7.7482827843245505E-2</v>
      </c>
      <c r="I3411">
        <v>5.8607771361145797E-2</v>
      </c>
      <c r="J3411">
        <v>6.9818521520047402E-2</v>
      </c>
      <c r="K3411">
        <v>5.6435418733439498E-2</v>
      </c>
      <c r="L3411">
        <v>1194.4524747328601</v>
      </c>
      <c r="M3411">
        <v>22.533584011036499</v>
      </c>
      <c r="N3411">
        <v>53.227567483101701</v>
      </c>
      <c r="O3411">
        <v>52.595469436194399</v>
      </c>
      <c r="P3411">
        <v>-0.102349334580738</v>
      </c>
      <c r="Q3411">
        <v>4.4447972594189901E-2</v>
      </c>
      <c r="R3411">
        <v>0.99794895856765298</v>
      </c>
      <c r="S3411" t="s">
        <v>7040</v>
      </c>
      <c r="T3411" t="s">
        <v>7256</v>
      </c>
      <c r="U3411" t="s">
        <v>7256</v>
      </c>
      <c r="V3411" t="s">
        <v>7256</v>
      </c>
      <c r="W3411">
        <v>32</v>
      </c>
      <c r="X3411" t="s">
        <v>10667</v>
      </c>
      <c r="Y3411">
        <v>0.46941971832738177</v>
      </c>
      <c r="Z3411" t="str">
        <f>HYPERLINK("Melting_Curves/meltCurve_tr_G5EA52_G5EA52_HUMAN_.pdf", "Melting_Curves/meltCurve_tr_G5EA52_G5EA52_HUMAN_.pdf")</f>
        <v>Melting_Curves/meltCurve_tr_G5EA52_G5EA52_HUMAN_.pdf</v>
      </c>
      <c r="AA3411" t="s">
        <v>14230</v>
      </c>
      <c r="AB3411" t="s">
        <v>17819</v>
      </c>
    </row>
    <row r="3412" spans="1:28" x14ac:dyDescent="0.25">
      <c r="A3412" t="s">
        <v>3416</v>
      </c>
      <c r="B3412">
        <v>0.98018197421672304</v>
      </c>
      <c r="C3412">
        <v>0.94517289832431395</v>
      </c>
      <c r="D3412">
        <v>0.92749240669450606</v>
      </c>
      <c r="E3412">
        <v>0.735423069677129</v>
      </c>
      <c r="F3412">
        <v>0.53364544627814203</v>
      </c>
      <c r="G3412">
        <v>0.36520751148717201</v>
      </c>
      <c r="H3412">
        <v>0.32206434123434602</v>
      </c>
      <c r="I3412">
        <v>0.35657044764895202</v>
      </c>
      <c r="J3412">
        <v>0.37066393904179401</v>
      </c>
      <c r="K3412">
        <v>0.47009981853764599</v>
      </c>
      <c r="L3412">
        <v>1259.9750848032199</v>
      </c>
      <c r="M3412">
        <v>24.943521712397398</v>
      </c>
      <c r="N3412">
        <v>53.403484817734601</v>
      </c>
      <c r="O3412">
        <v>50.191806879700302</v>
      </c>
      <c r="P3412">
        <v>-7.8225338852781504E-2</v>
      </c>
      <c r="Q3412">
        <v>0.37038275913846003</v>
      </c>
      <c r="R3412">
        <v>0.97197016240630896</v>
      </c>
      <c r="S3412" t="s">
        <v>7041</v>
      </c>
      <c r="T3412" t="s">
        <v>7256</v>
      </c>
      <c r="U3412" t="s">
        <v>7256</v>
      </c>
      <c r="V3412" t="s">
        <v>7256</v>
      </c>
      <c r="W3412">
        <v>32</v>
      </c>
      <c r="X3412" t="s">
        <v>10668</v>
      </c>
      <c r="Y3412">
        <v>0.59670745598222752</v>
      </c>
      <c r="Z3412" t="str">
        <f>HYPERLINK("Melting_Curves/meltCurve_tr_G8JL86_G8JL86_HUMAN_.pdf", "Melting_Curves/meltCurve_tr_G8JL86_G8JL86_HUMAN_.pdf")</f>
        <v>Melting_Curves/meltCurve_tr_G8JL86_G8JL86_HUMAN_.pdf</v>
      </c>
      <c r="AA3412" t="s">
        <v>14231</v>
      </c>
      <c r="AB3412" t="s">
        <v>17820</v>
      </c>
    </row>
    <row r="3413" spans="1:28" x14ac:dyDescent="0.25">
      <c r="A3413" t="s">
        <v>3417</v>
      </c>
      <c r="B3413">
        <v>0.98018197421672304</v>
      </c>
      <c r="C3413">
        <v>0.85896233065506</v>
      </c>
      <c r="D3413">
        <v>0.85723063071338601</v>
      </c>
      <c r="E3413">
        <v>0.41397256653062098</v>
      </c>
      <c r="F3413">
        <v>0.19081195100533199</v>
      </c>
      <c r="G3413">
        <v>0.14593595026901299</v>
      </c>
      <c r="H3413">
        <v>9.9933720738262094E-2</v>
      </c>
      <c r="I3413">
        <v>6.8648380921492794E-2</v>
      </c>
      <c r="J3413">
        <v>0.11272531263607199</v>
      </c>
      <c r="K3413">
        <v>8.3949450224544295E-2</v>
      </c>
      <c r="L3413">
        <v>1099.7191947138799</v>
      </c>
      <c r="M3413">
        <v>22.562397706316801</v>
      </c>
      <c r="N3413">
        <v>49.163905041757197</v>
      </c>
      <c r="O3413">
        <v>48.363203551519199</v>
      </c>
      <c r="P3413">
        <v>-0.106350163104967</v>
      </c>
      <c r="Q3413">
        <v>8.8159095184070294E-2</v>
      </c>
      <c r="R3413">
        <v>0.98813346320847995</v>
      </c>
      <c r="S3413" t="s">
        <v>7042</v>
      </c>
      <c r="T3413" t="s">
        <v>7256</v>
      </c>
      <c r="U3413" t="s">
        <v>7256</v>
      </c>
      <c r="V3413" t="s">
        <v>7256</v>
      </c>
      <c r="W3413">
        <v>8</v>
      </c>
      <c r="X3413" t="s">
        <v>10669</v>
      </c>
      <c r="Y3413">
        <v>0.36382967376720632</v>
      </c>
      <c r="Z3413" t="str">
        <f>HYPERLINK("Melting_Curves/meltCurve_tr_G8JLB3_G8JLB3_HUMAN_.pdf", "Melting_Curves/meltCurve_tr_G8JLB3_G8JLB3_HUMAN_.pdf")</f>
        <v>Melting_Curves/meltCurve_tr_G8JLB3_G8JLB3_HUMAN_.pdf</v>
      </c>
      <c r="AA3413" t="s">
        <v>14232</v>
      </c>
      <c r="AB3413" t="s">
        <v>17821</v>
      </c>
    </row>
    <row r="3414" spans="1:28" x14ac:dyDescent="0.25">
      <c r="A3414" t="s">
        <v>3418</v>
      </c>
      <c r="B3414">
        <v>0.98018197421672304</v>
      </c>
      <c r="C3414">
        <v>0.96042578452502703</v>
      </c>
      <c r="D3414">
        <v>0.87201908490497404</v>
      </c>
      <c r="E3414">
        <v>0.74127799162819796</v>
      </c>
      <c r="F3414">
        <v>0.61655526762480695</v>
      </c>
      <c r="G3414">
        <v>0.43174436047988601</v>
      </c>
      <c r="H3414">
        <v>0.372246906136324</v>
      </c>
      <c r="I3414">
        <v>0.38595677268939899</v>
      </c>
      <c r="J3414">
        <v>0.38680931475198099</v>
      </c>
      <c r="K3414">
        <v>0.47461369865102299</v>
      </c>
      <c r="L3414">
        <v>849.15469238846094</v>
      </c>
      <c r="M3414">
        <v>16.778766384280001</v>
      </c>
      <c r="N3414">
        <v>55.535089430804199</v>
      </c>
      <c r="O3414">
        <v>49.9064013883551</v>
      </c>
      <c r="P3414">
        <v>-5.1516007205261297E-2</v>
      </c>
      <c r="Q3414">
        <v>0.38712747729584501</v>
      </c>
      <c r="R3414">
        <v>0.97552880781900397</v>
      </c>
      <c r="S3414" t="s">
        <v>7043</v>
      </c>
      <c r="T3414" t="s">
        <v>7256</v>
      </c>
      <c r="U3414" t="s">
        <v>7256</v>
      </c>
      <c r="V3414" t="s">
        <v>7256</v>
      </c>
      <c r="W3414">
        <v>7</v>
      </c>
      <c r="X3414" t="s">
        <v>10670</v>
      </c>
      <c r="Y3414">
        <v>0.61564347967725508</v>
      </c>
      <c r="Z3414" t="str">
        <f>HYPERLINK("Melting_Curves/meltCurve_tr_G8JLC6_G8JLC6_HUMAN_.pdf", "Melting_Curves/meltCurve_tr_G8JLC6_G8JLC6_HUMAN_.pdf")</f>
        <v>Melting_Curves/meltCurve_tr_G8JLC6_G8JLC6_HUMAN_.pdf</v>
      </c>
      <c r="AA3414" t="s">
        <v>14233</v>
      </c>
      <c r="AB3414" t="s">
        <v>17822</v>
      </c>
    </row>
    <row r="3415" spans="1:28" x14ac:dyDescent="0.25">
      <c r="A3415" t="s">
        <v>3419</v>
      </c>
      <c r="B3415">
        <v>0.98018197421672304</v>
      </c>
      <c r="C3415">
        <v>0.94694610755504804</v>
      </c>
      <c r="D3415">
        <v>0.82132270403560304</v>
      </c>
      <c r="E3415">
        <v>0.68745963233641805</v>
      </c>
      <c r="F3415">
        <v>0.48236927159971199</v>
      </c>
      <c r="G3415">
        <v>0.214236563022285</v>
      </c>
      <c r="H3415">
        <v>0.119850802621152</v>
      </c>
      <c r="I3415">
        <v>7.01399182244066E-2</v>
      </c>
      <c r="J3415">
        <v>0.12702552100734499</v>
      </c>
      <c r="K3415">
        <v>3.2313190823473399E-2</v>
      </c>
      <c r="L3415">
        <v>726.06705449169203</v>
      </c>
      <c r="M3415">
        <v>13.915508889932401</v>
      </c>
      <c r="N3415">
        <v>52.3396198004761</v>
      </c>
      <c r="O3415">
        <v>51.134715175520697</v>
      </c>
      <c r="P3415">
        <v>-6.6601669711117098E-2</v>
      </c>
      <c r="Q3415">
        <v>2.1179593362867701E-2</v>
      </c>
      <c r="R3415">
        <v>0.99208877390394501</v>
      </c>
      <c r="S3415" t="s">
        <v>7044</v>
      </c>
      <c r="T3415" t="s">
        <v>7256</v>
      </c>
      <c r="U3415" t="s">
        <v>7256</v>
      </c>
      <c r="V3415" t="s">
        <v>7256</v>
      </c>
      <c r="W3415">
        <v>4</v>
      </c>
      <c r="X3415" t="s">
        <v>10671</v>
      </c>
      <c r="Y3415">
        <v>0.44274914750232269</v>
      </c>
      <c r="Z3415" t="str">
        <f>HYPERLINK("Melting_Curves/meltCurve_tr_G8JLI5_G8JLI5_HUMAN_.pdf", "Melting_Curves/meltCurve_tr_G8JLI5_G8JLI5_HUMAN_.pdf")</f>
        <v>Melting_Curves/meltCurve_tr_G8JLI5_G8JLI5_HUMAN_.pdf</v>
      </c>
      <c r="AA3415" t="s">
        <v>14234</v>
      </c>
      <c r="AB3415" t="s">
        <v>17823</v>
      </c>
    </row>
    <row r="3416" spans="1:28" x14ac:dyDescent="0.25">
      <c r="A3416" t="s">
        <v>3420</v>
      </c>
      <c r="B3416">
        <v>0.98018197421672304</v>
      </c>
      <c r="C3416">
        <v>0.812678697868922</v>
      </c>
      <c r="D3416">
        <v>0.86038167652437303</v>
      </c>
      <c r="E3416">
        <v>0.78402723470403102</v>
      </c>
      <c r="F3416">
        <v>0.59795236325646195</v>
      </c>
      <c r="G3416">
        <v>0.49027182185851098</v>
      </c>
      <c r="H3416">
        <v>0.387672353935758</v>
      </c>
      <c r="I3416">
        <v>0.292016169783334</v>
      </c>
      <c r="J3416">
        <v>0.32241868387755501</v>
      </c>
      <c r="K3416">
        <v>0.18602577330081799</v>
      </c>
      <c r="L3416">
        <v>391.34097873560802</v>
      </c>
      <c r="M3416">
        <v>6.8689106275190603</v>
      </c>
      <c r="N3416">
        <v>56.972786509052</v>
      </c>
      <c r="O3416">
        <v>52.730509196772502</v>
      </c>
      <c r="P3416">
        <v>-3.2630820141753697E-2</v>
      </c>
      <c r="Q3416">
        <v>0</v>
      </c>
      <c r="R3416">
        <v>0.970846529460615</v>
      </c>
      <c r="S3416" t="s">
        <v>7045</v>
      </c>
      <c r="T3416" t="s">
        <v>7256</v>
      </c>
      <c r="U3416" t="s">
        <v>7256</v>
      </c>
      <c r="V3416" t="s">
        <v>7256</v>
      </c>
      <c r="W3416">
        <v>1</v>
      </c>
      <c r="X3416" t="s">
        <v>10672</v>
      </c>
      <c r="Y3416">
        <v>0.57389715737264679</v>
      </c>
      <c r="Z3416" t="str">
        <f>HYPERLINK("Melting_Curves/meltCurve_tr_G8JLL7_G8JLL7_HUMAN_.pdf", "Melting_Curves/meltCurve_tr_G8JLL7_G8JLL7_HUMAN_.pdf")</f>
        <v>Melting_Curves/meltCurve_tr_G8JLL7_G8JLL7_HUMAN_.pdf</v>
      </c>
      <c r="AA3416" t="s">
        <v>14235</v>
      </c>
      <c r="AB3416" t="s">
        <v>17824</v>
      </c>
    </row>
    <row r="3417" spans="1:28" x14ac:dyDescent="0.25">
      <c r="A3417" t="s">
        <v>3421</v>
      </c>
      <c r="B3417">
        <v>0.98018197421672304</v>
      </c>
      <c r="C3417">
        <v>0.80201176681383302</v>
      </c>
      <c r="D3417">
        <v>0.82391533089110003</v>
      </c>
      <c r="E3417">
        <v>0.681759587624301</v>
      </c>
      <c r="F3417">
        <v>0.53440046774697203</v>
      </c>
      <c r="G3417">
        <v>0.38343858228474198</v>
      </c>
      <c r="H3417">
        <v>0.235986595331802</v>
      </c>
      <c r="I3417">
        <v>0.226913117998116</v>
      </c>
      <c r="J3417">
        <v>0.25301384576941999</v>
      </c>
      <c r="K3417">
        <v>0.31564942895915099</v>
      </c>
      <c r="L3417">
        <v>543.097538810679</v>
      </c>
      <c r="M3417">
        <v>10.6584749283791</v>
      </c>
      <c r="N3417">
        <v>53.3595481163252</v>
      </c>
      <c r="O3417">
        <v>49.259060041161</v>
      </c>
      <c r="P3417">
        <v>-4.3793284011016301E-2</v>
      </c>
      <c r="Q3417">
        <v>0.19073071270405401</v>
      </c>
      <c r="R3417">
        <v>0.96020895634817705</v>
      </c>
      <c r="S3417" t="s">
        <v>7046</v>
      </c>
      <c r="T3417" t="s">
        <v>7256</v>
      </c>
      <c r="U3417" t="s">
        <v>7256</v>
      </c>
      <c r="V3417" t="s">
        <v>7256</v>
      </c>
      <c r="W3417">
        <v>9</v>
      </c>
      <c r="X3417" t="s">
        <v>10673</v>
      </c>
      <c r="Y3417">
        <v>0.5173857353513811</v>
      </c>
      <c r="Z3417" t="str">
        <f>HYPERLINK("Melting_Curves/meltCurve_tr_H0Y300_H0Y300_HUMAN_.pdf", "Melting_Curves/meltCurve_tr_H0Y300_H0Y300_HUMAN_.pdf")</f>
        <v>Melting_Curves/meltCurve_tr_H0Y300_H0Y300_HUMAN_.pdf</v>
      </c>
      <c r="AA3417" t="s">
        <v>11239</v>
      </c>
      <c r="AB3417" t="s">
        <v>14787</v>
      </c>
    </row>
    <row r="3418" spans="1:28" x14ac:dyDescent="0.25">
      <c r="A3418" t="s">
        <v>3422</v>
      </c>
      <c r="B3418">
        <v>0.98018197421672304</v>
      </c>
      <c r="C3418">
        <v>0.95775624037247098</v>
      </c>
      <c r="D3418">
        <v>0.911846369680125</v>
      </c>
      <c r="E3418">
        <v>0.66207834414110001</v>
      </c>
      <c r="F3418">
        <v>0.45712885585871099</v>
      </c>
      <c r="G3418">
        <v>0.209119091457663</v>
      </c>
      <c r="H3418">
        <v>0.16336171872024099</v>
      </c>
      <c r="I3418">
        <v>0.11008354685581399</v>
      </c>
      <c r="J3418">
        <v>0.16547597266464401</v>
      </c>
      <c r="K3418">
        <v>8.8738295499369804E-2</v>
      </c>
      <c r="L3418">
        <v>934.30705768794803</v>
      </c>
      <c r="M3418">
        <v>18.1540791075908</v>
      </c>
      <c r="N3418">
        <v>52.141326039916102</v>
      </c>
      <c r="O3418">
        <v>50.853118277737998</v>
      </c>
      <c r="P3418">
        <v>-7.9894333076990703E-2</v>
      </c>
      <c r="Q3418">
        <v>0.104844232697654</v>
      </c>
      <c r="R3418">
        <v>0.99601009479541902</v>
      </c>
      <c r="S3418" t="s">
        <v>7047</v>
      </c>
      <c r="T3418" t="s">
        <v>7256</v>
      </c>
      <c r="U3418" t="s">
        <v>7256</v>
      </c>
      <c r="V3418" t="s">
        <v>7256</v>
      </c>
      <c r="W3418">
        <v>2</v>
      </c>
      <c r="X3418" t="s">
        <v>10674</v>
      </c>
      <c r="Y3418">
        <v>0.46173102516315528</v>
      </c>
      <c r="Z3418" t="str">
        <f>HYPERLINK("Melting_Curves/meltCurve_tr_H0Y3A0_H0Y3A0_HUMAN_.pdf", "Melting_Curves/meltCurve_tr_H0Y3A0_H0Y3A0_HUMAN_.pdf")</f>
        <v>Melting_Curves/meltCurve_tr_H0Y3A0_H0Y3A0_HUMAN_.pdf</v>
      </c>
      <c r="AA3418" t="s">
        <v>14236</v>
      </c>
      <c r="AB3418" t="s">
        <v>17825</v>
      </c>
    </row>
    <row r="3419" spans="1:28" x14ac:dyDescent="0.25">
      <c r="A3419" t="s">
        <v>3423</v>
      </c>
      <c r="B3419">
        <v>0.98018197421672304</v>
      </c>
      <c r="C3419">
        <v>1.0091392922905</v>
      </c>
      <c r="D3419">
        <v>0.92737825829822296</v>
      </c>
      <c r="E3419">
        <v>0.55153208952198196</v>
      </c>
      <c r="F3419">
        <v>0.51992123650543198</v>
      </c>
      <c r="G3419">
        <v>0.23457915852167799</v>
      </c>
      <c r="H3419">
        <v>0.15945810955679099</v>
      </c>
      <c r="I3419">
        <v>0.15108805483878901</v>
      </c>
      <c r="J3419">
        <v>0.183341109364588</v>
      </c>
      <c r="K3419">
        <v>0.19359558509489799</v>
      </c>
      <c r="L3419">
        <v>924.71870648451795</v>
      </c>
      <c r="M3419">
        <v>18.2037143971502</v>
      </c>
      <c r="N3419">
        <v>51.869572030717997</v>
      </c>
      <c r="O3419">
        <v>50.197212563778102</v>
      </c>
      <c r="P3419">
        <v>-7.6459999408488494E-2</v>
      </c>
      <c r="Q3419">
        <v>0.15667785889288999</v>
      </c>
      <c r="R3419">
        <v>0.98028791661719294</v>
      </c>
      <c r="S3419" t="s">
        <v>7048</v>
      </c>
      <c r="T3419" t="s">
        <v>7256</v>
      </c>
      <c r="U3419" t="s">
        <v>7256</v>
      </c>
      <c r="V3419" t="s">
        <v>7256</v>
      </c>
      <c r="W3419">
        <v>9</v>
      </c>
      <c r="X3419" t="s">
        <v>10675</v>
      </c>
      <c r="Y3419">
        <v>0.47418054613870381</v>
      </c>
      <c r="Z3419" t="str">
        <f>HYPERLINK("Melting_Curves/meltCurve_tr_H0Y3P2_H0Y3P2_HUMAN_.pdf", "Melting_Curves/meltCurve_tr_H0Y3P2_H0Y3P2_HUMAN_.pdf")</f>
        <v>Melting_Curves/meltCurve_tr_H0Y3P2_H0Y3P2_HUMAN_.pdf</v>
      </c>
      <c r="AA3419" t="s">
        <v>14237</v>
      </c>
      <c r="AB3419" t="s">
        <v>17826</v>
      </c>
    </row>
    <row r="3420" spans="1:28" x14ac:dyDescent="0.25">
      <c r="A3420" t="s">
        <v>3424</v>
      </c>
      <c r="B3420">
        <v>0.98018197421672304</v>
      </c>
      <c r="C3420">
        <v>0.93041800530347296</v>
      </c>
      <c r="D3420">
        <v>0.76512637511733195</v>
      </c>
      <c r="E3420">
        <v>0.42315979434284001</v>
      </c>
      <c r="F3420">
        <v>0.24279554452266899</v>
      </c>
      <c r="G3420">
        <v>0.13000351242786201</v>
      </c>
      <c r="H3420">
        <v>8.7212692870117597E-2</v>
      </c>
      <c r="I3420">
        <v>6.0093135780288902E-2</v>
      </c>
      <c r="J3420">
        <v>5.7640147313087198E-2</v>
      </c>
      <c r="K3420">
        <v>3.7967749009634601E-2</v>
      </c>
      <c r="L3420">
        <v>858.10114957713301</v>
      </c>
      <c r="M3420">
        <v>17.5553624995764</v>
      </c>
      <c r="N3420">
        <v>49.1633440731609</v>
      </c>
      <c r="O3420">
        <v>48.258695895826499</v>
      </c>
      <c r="P3420">
        <v>-8.6568952772430097E-2</v>
      </c>
      <c r="Q3420">
        <v>4.81592121078223E-2</v>
      </c>
      <c r="R3420">
        <v>0.99956515521584599</v>
      </c>
      <c r="S3420" t="s">
        <v>7049</v>
      </c>
      <c r="T3420" t="s">
        <v>7256</v>
      </c>
      <c r="U3420" t="s">
        <v>7256</v>
      </c>
      <c r="V3420" t="s">
        <v>7256</v>
      </c>
      <c r="W3420">
        <v>10</v>
      </c>
      <c r="X3420" t="s">
        <v>10676</v>
      </c>
      <c r="Y3420">
        <v>0.34726770633643261</v>
      </c>
      <c r="Z3420" t="str">
        <f>HYPERLINK("Melting_Curves/meltCurve_tr_H0Y4R1_H0Y4R1_HUMAN_.pdf", "Melting_Curves/meltCurve_tr_H0Y4R1_H0Y4R1_HUMAN_.pdf")</f>
        <v>Melting_Curves/meltCurve_tr_H0Y4R1_H0Y4R1_HUMAN_.pdf</v>
      </c>
      <c r="AA3420" t="s">
        <v>14238</v>
      </c>
      <c r="AB3420" t="s">
        <v>17827</v>
      </c>
    </row>
    <row r="3421" spans="1:28" x14ac:dyDescent="0.25">
      <c r="A3421" t="s">
        <v>3425</v>
      </c>
      <c r="B3421">
        <v>0.98018197421672304</v>
      </c>
      <c r="C3421">
        <v>1.04653999945799</v>
      </c>
      <c r="D3421">
        <v>0.94918810354928096</v>
      </c>
      <c r="E3421">
        <v>0.75488775479844195</v>
      </c>
      <c r="F3421">
        <v>0.79403976683850297</v>
      </c>
      <c r="G3421">
        <v>0.57467175260854797</v>
      </c>
      <c r="H3421">
        <v>0.38281525800343702</v>
      </c>
      <c r="I3421">
        <v>0.38632300727379798</v>
      </c>
      <c r="J3421">
        <v>0.38149700754114602</v>
      </c>
      <c r="K3421">
        <v>0.35176150344638102</v>
      </c>
      <c r="L3421">
        <v>735.63862659411996</v>
      </c>
      <c r="M3421">
        <v>13.4862657158831</v>
      </c>
      <c r="N3421">
        <v>58.7155802861407</v>
      </c>
      <c r="O3421">
        <v>53.389804477686504</v>
      </c>
      <c r="P3421">
        <v>-4.3702807303662702E-2</v>
      </c>
      <c r="Q3421">
        <v>0.30805839715699801</v>
      </c>
      <c r="R3421">
        <v>0.968604987266942</v>
      </c>
      <c r="S3421" t="s">
        <v>7050</v>
      </c>
      <c r="T3421" t="s">
        <v>7256</v>
      </c>
      <c r="U3421" t="s">
        <v>7256</v>
      </c>
      <c r="V3421" t="s">
        <v>7256</v>
      </c>
      <c r="W3421">
        <v>3</v>
      </c>
      <c r="X3421" t="s">
        <v>10677</v>
      </c>
      <c r="Y3421">
        <v>0.65898855806554579</v>
      </c>
      <c r="Z3421" t="str">
        <f>HYPERLINK("Melting_Curves/meltCurve_tr_H0Y614_H0Y614_HUMAN_.pdf", "Melting_Curves/meltCurve_tr_H0Y614_H0Y614_HUMAN_.pdf")</f>
        <v>Melting_Curves/meltCurve_tr_H0Y614_H0Y614_HUMAN_.pdf</v>
      </c>
      <c r="AA3421" t="s">
        <v>14239</v>
      </c>
      <c r="AB3421" t="s">
        <v>17828</v>
      </c>
    </row>
    <row r="3422" spans="1:28" x14ac:dyDescent="0.25">
      <c r="A3422" t="s">
        <v>3426</v>
      </c>
      <c r="B3422">
        <v>0.98018197421672304</v>
      </c>
      <c r="C3422">
        <v>1.0288616769374299</v>
      </c>
      <c r="D3422">
        <v>0.91984907994660603</v>
      </c>
      <c r="E3422">
        <v>1.0225279116624599</v>
      </c>
      <c r="F3422">
        <v>0.56866980128802902</v>
      </c>
      <c r="G3422">
        <v>0.60244386312056997</v>
      </c>
      <c r="H3422">
        <v>0.59083004298826303</v>
      </c>
      <c r="I3422">
        <v>0.70761300351887702</v>
      </c>
      <c r="J3422">
        <v>1.03567480614339</v>
      </c>
      <c r="K3422">
        <v>1.0204175925346799</v>
      </c>
      <c r="L3422">
        <v>12811.763238497801</v>
      </c>
      <c r="M3422">
        <v>250</v>
      </c>
      <c r="O3422">
        <v>51.2437763607251</v>
      </c>
      <c r="P3422">
        <v>-0.29969521133048399</v>
      </c>
      <c r="Q3422">
        <v>0.75427978390455996</v>
      </c>
      <c r="R3422">
        <v>0.34756058340007501</v>
      </c>
      <c r="S3422" t="s">
        <v>7051</v>
      </c>
      <c r="T3422" t="s">
        <v>7256</v>
      </c>
      <c r="U3422" t="s">
        <v>7256</v>
      </c>
      <c r="V3422" t="s">
        <v>7256</v>
      </c>
      <c r="W3422">
        <v>1</v>
      </c>
      <c r="X3422" t="s">
        <v>10678</v>
      </c>
      <c r="Y3422">
        <v>0.84642282617843612</v>
      </c>
      <c r="Z3422" t="str">
        <f>HYPERLINK("Melting_Curves/meltCurve_tr_H0Y638_H0Y638_HUMAN_.pdf", "Melting_Curves/meltCurve_tr_H0Y638_H0Y638_HUMAN_.pdf")</f>
        <v>Melting_Curves/meltCurve_tr_H0Y638_H0Y638_HUMAN_.pdf</v>
      </c>
      <c r="AA3422" t="s">
        <v>14240</v>
      </c>
      <c r="AB3422" t="s">
        <v>17829</v>
      </c>
    </row>
    <row r="3423" spans="1:28" x14ac:dyDescent="0.25">
      <c r="A3423" t="s">
        <v>3427</v>
      </c>
      <c r="B3423">
        <v>0.98018197421672304</v>
      </c>
      <c r="C3423">
        <v>0.96899559782524702</v>
      </c>
      <c r="D3423">
        <v>0.92947403298570197</v>
      </c>
      <c r="E3423">
        <v>0.74238938175980895</v>
      </c>
      <c r="F3423">
        <v>0.67244974037174998</v>
      </c>
      <c r="G3423">
        <v>0.45948641613211899</v>
      </c>
      <c r="H3423">
        <v>0.364229625088142</v>
      </c>
      <c r="I3423">
        <v>0.50018943973437602</v>
      </c>
      <c r="J3423">
        <v>0.27963276893251998</v>
      </c>
      <c r="K3423">
        <v>0.438010447673157</v>
      </c>
      <c r="L3423">
        <v>828.74703952909601</v>
      </c>
      <c r="M3423">
        <v>16.024316901071501</v>
      </c>
      <c r="N3423">
        <v>56.445967166050899</v>
      </c>
      <c r="O3423">
        <v>50.932772169618303</v>
      </c>
      <c r="P3423">
        <v>-4.9606220641846797E-2</v>
      </c>
      <c r="Q3423">
        <v>0.36936232553162501</v>
      </c>
      <c r="R3423">
        <v>0.94752853634368694</v>
      </c>
      <c r="S3423" t="s">
        <v>7052</v>
      </c>
      <c r="T3423" t="s">
        <v>7256</v>
      </c>
      <c r="U3423" t="s">
        <v>7256</v>
      </c>
      <c r="V3423" t="s">
        <v>7256</v>
      </c>
      <c r="W3423">
        <v>10</v>
      </c>
      <c r="X3423" t="s">
        <v>10679</v>
      </c>
      <c r="Y3423">
        <v>0.62850137527519656</v>
      </c>
      <c r="Z3423" t="str">
        <f>HYPERLINK("Melting_Curves/meltCurve_tr_H0Y6A0_H0Y6A0_HUMAN_.pdf", "Melting_Curves/meltCurve_tr_H0Y6A0_H0Y6A0_HUMAN_.pdf")</f>
        <v>Melting_Curves/meltCurve_tr_H0Y6A0_H0Y6A0_HUMAN_.pdf</v>
      </c>
      <c r="AA3423" t="s">
        <v>13462</v>
      </c>
      <c r="AB3423" t="s">
        <v>17830</v>
      </c>
    </row>
    <row r="3424" spans="1:28" x14ac:dyDescent="0.25">
      <c r="A3424" t="s">
        <v>3428</v>
      </c>
      <c r="B3424">
        <v>0.98018197421672304</v>
      </c>
      <c r="C3424">
        <v>1.00609648555702</v>
      </c>
      <c r="D3424">
        <v>0.82228891198429899</v>
      </c>
      <c r="E3424">
        <v>0.61231280016665202</v>
      </c>
      <c r="F3424">
        <v>0.28870635684587198</v>
      </c>
      <c r="G3424">
        <v>0.16854907436417599</v>
      </c>
      <c r="H3424">
        <v>0.12272970590555</v>
      </c>
      <c r="I3424">
        <v>9.8074014441216398E-2</v>
      </c>
      <c r="J3424">
        <v>9.5212956011700198E-2</v>
      </c>
      <c r="K3424">
        <v>6.7101023663440104E-2</v>
      </c>
      <c r="L3424">
        <v>974.62404636525798</v>
      </c>
      <c r="M3424">
        <v>19.3814861993162</v>
      </c>
      <c r="N3424">
        <v>50.740559821265101</v>
      </c>
      <c r="O3424">
        <v>49.760184530989903</v>
      </c>
      <c r="P3424">
        <v>-8.9622801281466699E-2</v>
      </c>
      <c r="Q3424">
        <v>7.9640700829847005E-2</v>
      </c>
      <c r="R3424">
        <v>0.99393421981793195</v>
      </c>
      <c r="S3424" t="s">
        <v>7053</v>
      </c>
      <c r="T3424" t="s">
        <v>7256</v>
      </c>
      <c r="U3424" t="s">
        <v>7256</v>
      </c>
      <c r="V3424" t="s">
        <v>7256</v>
      </c>
      <c r="W3424">
        <v>5</v>
      </c>
      <c r="X3424" t="s">
        <v>10680</v>
      </c>
      <c r="Y3424">
        <v>0.40880773336865928</v>
      </c>
      <c r="Z3424" t="str">
        <f>HYPERLINK("Melting_Curves/meltCurve_tr_H0Y6C3_H0Y6C3_HUMAN_.pdf", "Melting_Curves/meltCurve_tr_H0Y6C3_H0Y6C3_HUMAN_.pdf")</f>
        <v>Melting_Curves/meltCurve_tr_H0Y6C3_H0Y6C3_HUMAN_.pdf</v>
      </c>
      <c r="AA3424" t="s">
        <v>14241</v>
      </c>
      <c r="AB3424" t="s">
        <v>17831</v>
      </c>
    </row>
    <row r="3425" spans="1:28" x14ac:dyDescent="0.25">
      <c r="A3425" t="s">
        <v>3429</v>
      </c>
      <c r="B3425">
        <v>0.98018197421672304</v>
      </c>
      <c r="C3425">
        <v>0.87329716015433501</v>
      </c>
      <c r="D3425">
        <v>0.85567696997813603</v>
      </c>
      <c r="E3425">
        <v>0.70404855082798501</v>
      </c>
      <c r="F3425">
        <v>0.50537853048983805</v>
      </c>
      <c r="G3425">
        <v>0.32417689170682301</v>
      </c>
      <c r="H3425">
        <v>0.288638801848696</v>
      </c>
      <c r="I3425">
        <v>0.27786381831199303</v>
      </c>
      <c r="J3425">
        <v>0.29568161180299102</v>
      </c>
      <c r="K3425">
        <v>0.26804723405846198</v>
      </c>
      <c r="L3425">
        <v>718.63135485895202</v>
      </c>
      <c r="M3425">
        <v>14.186369966270499</v>
      </c>
      <c r="N3425">
        <v>53.139482789499198</v>
      </c>
      <c r="O3425">
        <v>49.681777339851401</v>
      </c>
      <c r="P3425">
        <v>-5.4094894593610297E-2</v>
      </c>
      <c r="Q3425">
        <v>0.24231707548503501</v>
      </c>
      <c r="R3425">
        <v>0.98504276721662498</v>
      </c>
      <c r="S3425" t="s">
        <v>7054</v>
      </c>
      <c r="T3425" t="s">
        <v>7256</v>
      </c>
      <c r="U3425" t="s">
        <v>7256</v>
      </c>
      <c r="V3425" t="s">
        <v>7256</v>
      </c>
      <c r="W3425">
        <v>23</v>
      </c>
      <c r="X3425" t="s">
        <v>10681</v>
      </c>
      <c r="Y3425">
        <v>0.53088109709198561</v>
      </c>
      <c r="Z3425" t="str">
        <f>HYPERLINK("Melting_Curves/meltCurve_tr_H0Y6I0_H0Y6I0_HUMAN_.pdf", "Melting_Curves/meltCurve_tr_H0Y6I0_H0Y6I0_HUMAN_.pdf")</f>
        <v>Melting_Curves/meltCurve_tr_H0Y6I0_H0Y6I0_HUMAN_.pdf</v>
      </c>
      <c r="AA3425" t="s">
        <v>14242</v>
      </c>
      <c r="AB3425" t="s">
        <v>17832</v>
      </c>
    </row>
    <row r="3426" spans="1:28" x14ac:dyDescent="0.25">
      <c r="A3426" t="s">
        <v>3430</v>
      </c>
      <c r="B3426">
        <v>0.98018197421672304</v>
      </c>
      <c r="C3426">
        <v>0.86237815585395705</v>
      </c>
      <c r="D3426">
        <v>0.976789492910904</v>
      </c>
      <c r="E3426">
        <v>0.81377475817497402</v>
      </c>
      <c r="F3426">
        <v>0.754382302692574</v>
      </c>
      <c r="G3426">
        <v>0.54042375865580605</v>
      </c>
      <c r="H3426">
        <v>0.40537456447277198</v>
      </c>
      <c r="I3426">
        <v>0.43928262361917297</v>
      </c>
      <c r="J3426">
        <v>0.46051156635463603</v>
      </c>
      <c r="K3426">
        <v>0.90315402758543195</v>
      </c>
      <c r="L3426">
        <v>1278.4919919244001</v>
      </c>
      <c r="M3426">
        <v>24.927507758432299</v>
      </c>
      <c r="O3426">
        <v>50.961741485327103</v>
      </c>
      <c r="P3426">
        <v>-5.52241402025598E-2</v>
      </c>
      <c r="Q3426">
        <v>0.54840570526702903</v>
      </c>
      <c r="R3426">
        <v>0.59009743176629204</v>
      </c>
      <c r="S3426" t="s">
        <v>7055</v>
      </c>
      <c r="T3426" t="s">
        <v>7256</v>
      </c>
      <c r="U3426" t="s">
        <v>7256</v>
      </c>
      <c r="V3426" t="s">
        <v>7256</v>
      </c>
      <c r="W3426">
        <v>4</v>
      </c>
      <c r="X3426" t="s">
        <v>10682</v>
      </c>
      <c r="Y3426">
        <v>0.72244736127889364</v>
      </c>
      <c r="Z3426" t="str">
        <f>HYPERLINK("Melting_Curves/meltCurve_tr_H0YA52_H0YA52_HUMAN_.pdf", "Melting_Curves/meltCurve_tr_H0YA52_H0YA52_HUMAN_.pdf")</f>
        <v>Melting_Curves/meltCurve_tr_H0YA52_H0YA52_HUMAN_.pdf</v>
      </c>
      <c r="AA3426" t="s">
        <v>14243</v>
      </c>
      <c r="AB3426" t="s">
        <v>17833</v>
      </c>
    </row>
    <row r="3427" spans="1:28" x14ac:dyDescent="0.25">
      <c r="A3427" t="s">
        <v>3431</v>
      </c>
      <c r="B3427">
        <v>0.98018197421672304</v>
      </c>
      <c r="C3427">
        <v>1.1508770110547799</v>
      </c>
      <c r="D3427">
        <v>0.93917979411010899</v>
      </c>
      <c r="E3427">
        <v>0.80955993126639203</v>
      </c>
      <c r="F3427">
        <v>0.569343063612606</v>
      </c>
      <c r="G3427">
        <v>0.26311008368994099</v>
      </c>
      <c r="H3427">
        <v>0.18022870641383401</v>
      </c>
      <c r="I3427">
        <v>0.123689599461403</v>
      </c>
      <c r="J3427">
        <v>0.22089709879247599</v>
      </c>
      <c r="K3427">
        <v>0.13213519724818501</v>
      </c>
      <c r="L3427">
        <v>1262.06087915629</v>
      </c>
      <c r="M3427">
        <v>23.915743983586999</v>
      </c>
      <c r="N3427">
        <v>53.572056322676502</v>
      </c>
      <c r="O3427">
        <v>52.406337838654999</v>
      </c>
      <c r="P3427">
        <v>-9.6941470295777904E-2</v>
      </c>
      <c r="Q3427">
        <v>0.15030623949149599</v>
      </c>
      <c r="R3427">
        <v>0.97770611290033604</v>
      </c>
      <c r="S3427" t="s">
        <v>7056</v>
      </c>
      <c r="T3427" t="s">
        <v>7256</v>
      </c>
      <c r="U3427" t="s">
        <v>7256</v>
      </c>
      <c r="V3427" t="s">
        <v>7256</v>
      </c>
      <c r="W3427">
        <v>3</v>
      </c>
      <c r="X3427" t="s">
        <v>10683</v>
      </c>
      <c r="Y3427">
        <v>0.52051208129775361</v>
      </c>
      <c r="Z3427" t="str">
        <f>HYPERLINK("Melting_Curves/meltCurve_tr_H0YA68_H0YA68_HUMAN_.pdf", "Melting_Curves/meltCurve_tr_H0YA68_H0YA68_HUMAN_.pdf")</f>
        <v>Melting_Curves/meltCurve_tr_H0YA68_H0YA68_HUMAN_.pdf</v>
      </c>
      <c r="AA3427" t="s">
        <v>14244</v>
      </c>
      <c r="AB3427" t="s">
        <v>17834</v>
      </c>
    </row>
    <row r="3428" spans="1:28" x14ac:dyDescent="0.25">
      <c r="A3428" t="s">
        <v>3432</v>
      </c>
      <c r="B3428">
        <v>0.98018197421672304</v>
      </c>
      <c r="C3428">
        <v>0.99358570550007996</v>
      </c>
      <c r="D3428">
        <v>0.87700134644600602</v>
      </c>
      <c r="E3428">
        <v>0.78127243298410398</v>
      </c>
      <c r="F3428">
        <v>0.67550066129283803</v>
      </c>
      <c r="G3428">
        <v>0.54641210830725695</v>
      </c>
      <c r="H3428">
        <v>0.37656519157326601</v>
      </c>
      <c r="I3428">
        <v>0.38417396493793299</v>
      </c>
      <c r="J3428">
        <v>0.33435996672700402</v>
      </c>
      <c r="K3428">
        <v>0.200416101913025</v>
      </c>
      <c r="L3428">
        <v>495.71673133477202</v>
      </c>
      <c r="M3428">
        <v>8.76320481047388</v>
      </c>
      <c r="N3428">
        <v>58.1793933653774</v>
      </c>
      <c r="O3428">
        <v>53.854164183097403</v>
      </c>
      <c r="P3428">
        <v>-3.63259633311456E-2</v>
      </c>
      <c r="Q3428">
        <v>0.107753797462317</v>
      </c>
      <c r="R3428">
        <v>0.98666026023414399</v>
      </c>
      <c r="S3428" t="s">
        <v>7057</v>
      </c>
      <c r="T3428" t="s">
        <v>7256</v>
      </c>
      <c r="U3428" t="s">
        <v>7256</v>
      </c>
      <c r="V3428" t="s">
        <v>7256</v>
      </c>
      <c r="W3428">
        <v>7</v>
      </c>
      <c r="X3428" t="s">
        <v>10684</v>
      </c>
      <c r="Y3428">
        <v>0.61555776671780749</v>
      </c>
      <c r="Z3428" t="str">
        <f>HYPERLINK("Melting_Curves/meltCurve_tr_H0YBL1_H0YBL1_HUMAN_.pdf", "Melting_Curves/meltCurve_tr_H0YBL1_H0YBL1_HUMAN_.pdf")</f>
        <v>Melting_Curves/meltCurve_tr_H0YBL1_H0YBL1_HUMAN_.pdf</v>
      </c>
      <c r="AA3428" t="s">
        <v>14245</v>
      </c>
      <c r="AB3428" t="s">
        <v>17835</v>
      </c>
    </row>
    <row r="3429" spans="1:28" x14ac:dyDescent="0.25">
      <c r="A3429" t="s">
        <v>3433</v>
      </c>
      <c r="B3429">
        <v>0.98018197421672304</v>
      </c>
      <c r="C3429">
        <v>1.02140771014958</v>
      </c>
      <c r="D3429">
        <v>1.02267469984946</v>
      </c>
      <c r="E3429">
        <v>0.77696737439075703</v>
      </c>
      <c r="F3429">
        <v>0.54830829147283999</v>
      </c>
      <c r="G3429">
        <v>0.40345286730664498</v>
      </c>
      <c r="H3429">
        <v>0.32121305748113899</v>
      </c>
      <c r="I3429">
        <v>0.334350928809583</v>
      </c>
      <c r="J3429">
        <v>0.31819211945675202</v>
      </c>
      <c r="K3429">
        <v>0.35604791591576401</v>
      </c>
      <c r="L3429">
        <v>1395.96226876632</v>
      </c>
      <c r="M3429">
        <v>27.110795350900901</v>
      </c>
      <c r="N3429">
        <v>53.676633414437802</v>
      </c>
      <c r="O3429">
        <v>51.213301718000899</v>
      </c>
      <c r="P3429">
        <v>-8.8112768107514797E-2</v>
      </c>
      <c r="Q3429">
        <v>0.33421329097842301</v>
      </c>
      <c r="R3429">
        <v>0.99366574953128395</v>
      </c>
      <c r="S3429" t="s">
        <v>7058</v>
      </c>
      <c r="T3429" t="s">
        <v>7256</v>
      </c>
      <c r="U3429" t="s">
        <v>7256</v>
      </c>
      <c r="V3429" t="s">
        <v>7256</v>
      </c>
      <c r="W3429">
        <v>1</v>
      </c>
      <c r="X3429" t="s">
        <v>10685</v>
      </c>
      <c r="Y3429">
        <v>0.59439038693638657</v>
      </c>
      <c r="Z3429" t="str">
        <f>HYPERLINK("Melting_Curves/meltCurve_tr_H0YBZ4_H0YBZ4_HUMAN_.pdf", "Melting_Curves/meltCurve_tr_H0YBZ4_H0YBZ4_HUMAN_.pdf")</f>
        <v>Melting_Curves/meltCurve_tr_H0YBZ4_H0YBZ4_HUMAN_.pdf</v>
      </c>
      <c r="AA3429" t="s">
        <v>14246</v>
      </c>
      <c r="AB3429" t="s">
        <v>17836</v>
      </c>
    </row>
    <row r="3430" spans="1:28" x14ac:dyDescent="0.25">
      <c r="A3430" t="s">
        <v>3434</v>
      </c>
      <c r="B3430">
        <v>0.98018197421672304</v>
      </c>
      <c r="C3430">
        <v>0.86035678756977396</v>
      </c>
      <c r="D3430">
        <v>0.74143111281012997</v>
      </c>
      <c r="E3430">
        <v>0.56611612663649102</v>
      </c>
      <c r="F3430">
        <v>0.542917125866062</v>
      </c>
      <c r="G3430">
        <v>0.37384305041765598</v>
      </c>
      <c r="H3430">
        <v>0.27140937351282601</v>
      </c>
      <c r="I3430">
        <v>0.24672361923837399</v>
      </c>
      <c r="J3430">
        <v>0.34411156598401998</v>
      </c>
      <c r="K3430">
        <v>0.26500467364585301</v>
      </c>
      <c r="L3430">
        <v>537.04584659498903</v>
      </c>
      <c r="M3430">
        <v>10.8992495901282</v>
      </c>
      <c r="N3430">
        <v>52.346553464144897</v>
      </c>
      <c r="O3430">
        <v>47.701998252480898</v>
      </c>
      <c r="P3430">
        <v>-4.3638671195152003E-2</v>
      </c>
      <c r="Q3430">
        <v>0.23630543852032701</v>
      </c>
      <c r="R3430">
        <v>0.97537552524139004</v>
      </c>
      <c r="S3430" t="s">
        <v>7059</v>
      </c>
      <c r="T3430" t="s">
        <v>7256</v>
      </c>
      <c r="U3430" t="s">
        <v>7256</v>
      </c>
      <c r="V3430" t="s">
        <v>7256</v>
      </c>
      <c r="W3430">
        <v>1</v>
      </c>
      <c r="X3430" t="s">
        <v>10686</v>
      </c>
      <c r="Y3430">
        <v>0.50455046928663616</v>
      </c>
      <c r="Z3430" t="str">
        <f>HYPERLINK("Melting_Curves/meltCurve_tr_H0YDB2_H0YDB2_HUMAN_.pdf", "Melting_Curves/meltCurve_tr_H0YDB2_H0YDB2_HUMAN_.pdf")</f>
        <v>Melting_Curves/meltCurve_tr_H0YDB2_H0YDB2_HUMAN_.pdf</v>
      </c>
      <c r="AA3430" t="s">
        <v>14247</v>
      </c>
      <c r="AB3430" t="s">
        <v>17837</v>
      </c>
    </row>
    <row r="3431" spans="1:28" x14ac:dyDescent="0.25">
      <c r="A3431" t="s">
        <v>3435</v>
      </c>
      <c r="B3431">
        <v>0.98018197421672304</v>
      </c>
      <c r="C3431">
        <v>1.05425015141469</v>
      </c>
      <c r="D3431">
        <v>0.77052843182859498</v>
      </c>
      <c r="E3431">
        <v>0.57901277017967501</v>
      </c>
      <c r="F3431">
        <v>0.36360609188661502</v>
      </c>
      <c r="G3431">
        <v>0.17051466619493499</v>
      </c>
      <c r="H3431">
        <v>0.111952133112729</v>
      </c>
      <c r="I3431">
        <v>0.10028488170625501</v>
      </c>
      <c r="J3431">
        <v>0.13996973521695399</v>
      </c>
      <c r="K3431">
        <v>0.124130221429025</v>
      </c>
      <c r="L3431">
        <v>889.799805258736</v>
      </c>
      <c r="M3431">
        <v>17.770302956846901</v>
      </c>
      <c r="N3431">
        <v>50.713879141365503</v>
      </c>
      <c r="O3431">
        <v>49.451102638216298</v>
      </c>
      <c r="P3431">
        <v>-8.0798208572197605E-2</v>
      </c>
      <c r="Q3431">
        <v>0.100667379302807</v>
      </c>
      <c r="R3431">
        <v>0.98537556812267102</v>
      </c>
      <c r="S3431" t="s">
        <v>7060</v>
      </c>
      <c r="T3431" t="s">
        <v>7256</v>
      </c>
      <c r="U3431" t="s">
        <v>7256</v>
      </c>
      <c r="V3431" t="s">
        <v>7256</v>
      </c>
      <c r="W3431">
        <v>2</v>
      </c>
      <c r="X3431" t="s">
        <v>10687</v>
      </c>
      <c r="Y3431">
        <v>0.41831065972747922</v>
      </c>
      <c r="Z3431" t="str">
        <f>HYPERLINK("Melting_Curves/meltCurve_tr_H0YDP7_H0YDP7_HUMAN_.pdf", "Melting_Curves/meltCurve_tr_H0YDP7_H0YDP7_HUMAN_.pdf")</f>
        <v>Melting_Curves/meltCurve_tr_H0YDP7_H0YDP7_HUMAN_.pdf</v>
      </c>
      <c r="AA3431" t="s">
        <v>14248</v>
      </c>
      <c r="AB3431" t="s">
        <v>17838</v>
      </c>
    </row>
    <row r="3432" spans="1:28" x14ac:dyDescent="0.25">
      <c r="A3432" t="s">
        <v>3436</v>
      </c>
      <c r="B3432">
        <v>0.98018197421672304</v>
      </c>
      <c r="C3432">
        <v>0.91824185750984799</v>
      </c>
      <c r="D3432">
        <v>0.90643673272553704</v>
      </c>
      <c r="E3432">
        <v>0.76108793170951805</v>
      </c>
      <c r="F3432">
        <v>0.60798242055215601</v>
      </c>
      <c r="G3432">
        <v>0.39230832762824802</v>
      </c>
      <c r="H3432">
        <v>0.19763640907409899</v>
      </c>
      <c r="I3432">
        <v>0.156664923482428</v>
      </c>
      <c r="J3432">
        <v>0.14518057997468201</v>
      </c>
      <c r="K3432">
        <v>8.7262680754465305E-2</v>
      </c>
      <c r="L3432">
        <v>664.74706549057305</v>
      </c>
      <c r="M3432">
        <v>12.2091726792149</v>
      </c>
      <c r="N3432">
        <v>54.704828604071601</v>
      </c>
      <c r="O3432">
        <v>53.047654816423702</v>
      </c>
      <c r="P3432">
        <v>-5.5939708003914498E-2</v>
      </c>
      <c r="Q3432">
        <v>2.8009023719776101E-2</v>
      </c>
      <c r="R3432">
        <v>0.99597416761235202</v>
      </c>
      <c r="S3432" t="s">
        <v>7061</v>
      </c>
      <c r="T3432" t="s">
        <v>7256</v>
      </c>
      <c r="U3432" t="s">
        <v>7256</v>
      </c>
      <c r="V3432" t="s">
        <v>7256</v>
      </c>
      <c r="W3432">
        <v>13</v>
      </c>
      <c r="X3432" t="s">
        <v>10688</v>
      </c>
      <c r="Y3432">
        <v>0.51999462979816025</v>
      </c>
      <c r="Z3432" t="str">
        <f>HYPERLINK("Melting_Curves/meltCurve_tr_H0YDU8_H0YDU8_HUMAN_.pdf", "Melting_Curves/meltCurve_tr_H0YDU8_H0YDU8_HUMAN_.pdf")</f>
        <v>Melting_Curves/meltCurve_tr_H0YDU8_H0YDU8_HUMAN_.pdf</v>
      </c>
      <c r="AA3432" t="s">
        <v>14249</v>
      </c>
      <c r="AB3432" t="s">
        <v>17839</v>
      </c>
    </row>
    <row r="3433" spans="1:28" x14ac:dyDescent="0.25">
      <c r="A3433" t="s">
        <v>3437</v>
      </c>
      <c r="B3433">
        <v>0.98018197421672304</v>
      </c>
      <c r="C3433">
        <v>1.0533407568345201</v>
      </c>
      <c r="D3433">
        <v>0.92143435066538104</v>
      </c>
      <c r="E3433">
        <v>0.79877752269987401</v>
      </c>
      <c r="F3433">
        <v>0.68487657937060098</v>
      </c>
      <c r="G3433">
        <v>0.48823675595720001</v>
      </c>
      <c r="H3433">
        <v>0.46204336433518201</v>
      </c>
      <c r="I3433">
        <v>0.49980318950185199</v>
      </c>
      <c r="J3433">
        <v>0.49136099926180998</v>
      </c>
      <c r="K3433">
        <v>0.53417776759186597</v>
      </c>
      <c r="L3433">
        <v>1139.5911628070801</v>
      </c>
      <c r="M3433">
        <v>22.291803381280001</v>
      </c>
      <c r="N3433">
        <v>60.975049579040203</v>
      </c>
      <c r="O3433">
        <v>50.715452632262497</v>
      </c>
      <c r="P3433">
        <v>-5.6442254462577099E-2</v>
      </c>
      <c r="Q3433">
        <v>0.48637002456533701</v>
      </c>
      <c r="R3433">
        <v>0.97318047654640105</v>
      </c>
      <c r="S3433" t="s">
        <v>7062</v>
      </c>
      <c r="T3433" t="s">
        <v>7256</v>
      </c>
      <c r="U3433" t="s">
        <v>7256</v>
      </c>
      <c r="V3433" t="s">
        <v>7256</v>
      </c>
      <c r="W3433">
        <v>2</v>
      </c>
      <c r="X3433" t="s">
        <v>10689</v>
      </c>
      <c r="Y3433">
        <v>0.68258692911604701</v>
      </c>
      <c r="Z3433" t="str">
        <f>HYPERLINK("Melting_Curves/meltCurve_tr_H0YEB6_H0YEB6_HUMAN_.pdf", "Melting_Curves/meltCurve_tr_H0YEB6_H0YEB6_HUMAN_.pdf")</f>
        <v>Melting_Curves/meltCurve_tr_H0YEB6_H0YEB6_HUMAN_.pdf</v>
      </c>
      <c r="AA3433" t="s">
        <v>14250</v>
      </c>
      <c r="AB3433" t="s">
        <v>17840</v>
      </c>
    </row>
    <row r="3434" spans="1:28" x14ac:dyDescent="0.25">
      <c r="A3434" t="s">
        <v>3438</v>
      </c>
      <c r="B3434">
        <v>0.98018197421672304</v>
      </c>
      <c r="C3434">
        <v>0.984535929779495</v>
      </c>
      <c r="D3434">
        <v>0.71772141246197096</v>
      </c>
      <c r="E3434">
        <v>0.794618254691148</v>
      </c>
      <c r="F3434">
        <v>0.62161989698915199</v>
      </c>
      <c r="G3434">
        <v>0.42992251562885198</v>
      </c>
      <c r="H3434">
        <v>0.308320049258971</v>
      </c>
      <c r="I3434">
        <v>0.28216514872411302</v>
      </c>
      <c r="J3434">
        <v>0.12739724727835</v>
      </c>
      <c r="K3434">
        <v>0.612739655894594</v>
      </c>
      <c r="L3434">
        <v>664.14992225827496</v>
      </c>
      <c r="M3434">
        <v>12.977437235099501</v>
      </c>
      <c r="N3434">
        <v>55.042258008818301</v>
      </c>
      <c r="O3434">
        <v>50.007770058728603</v>
      </c>
      <c r="P3434">
        <v>-4.54875494106005E-2</v>
      </c>
      <c r="Q3434">
        <v>0.29899031188102199</v>
      </c>
      <c r="R3434">
        <v>0.78113785095583999</v>
      </c>
      <c r="S3434" t="s">
        <v>7063</v>
      </c>
      <c r="T3434" t="s">
        <v>7256</v>
      </c>
      <c r="U3434" t="s">
        <v>7256</v>
      </c>
      <c r="V3434" t="s">
        <v>7256</v>
      </c>
      <c r="W3434">
        <v>1</v>
      </c>
      <c r="X3434" t="s">
        <v>10690</v>
      </c>
      <c r="Y3434">
        <v>0.5803624134226375</v>
      </c>
      <c r="Z3434" t="str">
        <f>HYPERLINK("Melting_Curves/meltCurve_tr_H0YEH2_H0YEH2_HUMAN_.pdf", "Melting_Curves/meltCurve_tr_H0YEH2_H0YEH2_HUMAN_.pdf")</f>
        <v>Melting_Curves/meltCurve_tr_H0YEH2_H0YEH2_HUMAN_.pdf</v>
      </c>
      <c r="AA3434" t="s">
        <v>14251</v>
      </c>
      <c r="AB3434" t="s">
        <v>17841</v>
      </c>
    </row>
    <row r="3435" spans="1:28" x14ac:dyDescent="0.25">
      <c r="A3435" t="s">
        <v>3439</v>
      </c>
      <c r="B3435">
        <v>0.98018197421672304</v>
      </c>
      <c r="C3435">
        <v>0.96112237037722104</v>
      </c>
      <c r="D3435">
        <v>0.71629346798684701</v>
      </c>
      <c r="E3435">
        <v>0.26346327641156903</v>
      </c>
      <c r="F3435">
        <v>0.118364605894136</v>
      </c>
      <c r="G3435">
        <v>8.0540422658307506E-2</v>
      </c>
      <c r="H3435">
        <v>6.0388284567183301E-2</v>
      </c>
      <c r="I3435">
        <v>5.13688241806496E-2</v>
      </c>
      <c r="J3435">
        <v>5.6701506391045799E-2</v>
      </c>
      <c r="K3435">
        <v>2.9289843344938699E-2</v>
      </c>
      <c r="L3435">
        <v>1217.5660625370599</v>
      </c>
      <c r="M3435">
        <v>25.593780723984299</v>
      </c>
      <c r="N3435">
        <v>47.777500889703497</v>
      </c>
      <c r="O3435">
        <v>47.285163194412497</v>
      </c>
      <c r="P3435">
        <v>-0.128288726634635</v>
      </c>
      <c r="Q3435">
        <v>5.19450503769757E-2</v>
      </c>
      <c r="R3435">
        <v>0.99911265238818403</v>
      </c>
      <c r="S3435" t="s">
        <v>7064</v>
      </c>
      <c r="T3435" t="s">
        <v>7256</v>
      </c>
      <c r="U3435" t="s">
        <v>7256</v>
      </c>
      <c r="V3435" t="s">
        <v>7256</v>
      </c>
      <c r="W3435">
        <v>5</v>
      </c>
      <c r="X3435" t="s">
        <v>10691</v>
      </c>
      <c r="Y3435">
        <v>0.29924136469241691</v>
      </c>
      <c r="Z3435" t="str">
        <f>HYPERLINK("Melting_Curves/meltCurve_tr_H0YEN5_H0YEN5_HUMAN_.pdf", "Melting_Curves/meltCurve_tr_H0YEN5_H0YEN5_HUMAN_.pdf")</f>
        <v>Melting_Curves/meltCurve_tr_H0YEN5_H0YEN5_HUMAN_.pdf</v>
      </c>
      <c r="AA3435" t="s">
        <v>14252</v>
      </c>
      <c r="AB3435" t="s">
        <v>17842</v>
      </c>
    </row>
    <row r="3436" spans="1:28" x14ac:dyDescent="0.25">
      <c r="A3436" t="s">
        <v>3440</v>
      </c>
      <c r="B3436">
        <v>0.98018197421672304</v>
      </c>
      <c r="C3436">
        <v>0.96574132510864696</v>
      </c>
      <c r="D3436">
        <v>0.76348137818238404</v>
      </c>
      <c r="E3436">
        <v>0.62912344734488002</v>
      </c>
      <c r="F3436">
        <v>0.50008666251334599</v>
      </c>
      <c r="G3436">
        <v>0.27249898844475401</v>
      </c>
      <c r="H3436">
        <v>0.143793328921653</v>
      </c>
      <c r="I3436">
        <v>8.2300323354285998E-2</v>
      </c>
      <c r="J3436">
        <v>0.11025606417617199</v>
      </c>
      <c r="K3436">
        <v>0.10706516110004</v>
      </c>
      <c r="L3436">
        <v>617.46668639670997</v>
      </c>
      <c r="M3436">
        <v>11.897846206247401</v>
      </c>
      <c r="N3436">
        <v>52.180617466136802</v>
      </c>
      <c r="O3436">
        <v>50.496416058016997</v>
      </c>
      <c r="P3436">
        <v>-5.7076481878579097E-2</v>
      </c>
      <c r="Q3436">
        <v>3.1273487190154201E-2</v>
      </c>
      <c r="R3436">
        <v>0.99016341453981305</v>
      </c>
      <c r="S3436" t="s">
        <v>7065</v>
      </c>
      <c r="T3436" t="s">
        <v>7256</v>
      </c>
      <c r="U3436" t="s">
        <v>7256</v>
      </c>
      <c r="V3436" t="s">
        <v>7256</v>
      </c>
      <c r="W3436">
        <v>3</v>
      </c>
      <c r="X3436" t="s">
        <v>10692</v>
      </c>
      <c r="Y3436">
        <v>0.44563171409186181</v>
      </c>
      <c r="Z3436" t="str">
        <f>HYPERLINK("Melting_Curves/meltCurve_tr_H0YEP5_H0YEP5_HUMAN_.pdf", "Melting_Curves/meltCurve_tr_H0YEP5_H0YEP5_HUMAN_.pdf")</f>
        <v>Melting_Curves/meltCurve_tr_H0YEP5_H0YEP5_HUMAN_.pdf</v>
      </c>
      <c r="AA3436" t="s">
        <v>14253</v>
      </c>
      <c r="AB3436" t="s">
        <v>17843</v>
      </c>
    </row>
    <row r="3437" spans="1:28" x14ac:dyDescent="0.25">
      <c r="A3437" t="s">
        <v>3441</v>
      </c>
      <c r="B3437">
        <v>0.98018197421672304</v>
      </c>
      <c r="C3437">
        <v>1.0253169043788199</v>
      </c>
      <c r="D3437">
        <v>1.0918167338525</v>
      </c>
      <c r="E3437">
        <v>0.66099421538200198</v>
      </c>
      <c r="F3437">
        <v>0.41223808524092698</v>
      </c>
      <c r="G3437">
        <v>0.106758494357426</v>
      </c>
      <c r="H3437">
        <v>6.0318658418251299E-2</v>
      </c>
      <c r="I3437">
        <v>5.9417874516581502E-2</v>
      </c>
      <c r="J3437">
        <v>0</v>
      </c>
      <c r="K3437">
        <v>9.1295372415019699E-2</v>
      </c>
      <c r="L3437">
        <v>1377.5665016973401</v>
      </c>
      <c r="M3437">
        <v>26.6579874045037</v>
      </c>
      <c r="N3437">
        <v>51.868116792955099</v>
      </c>
      <c r="O3437">
        <v>51.3873985867599</v>
      </c>
      <c r="P3437">
        <v>-0.123582550442307</v>
      </c>
      <c r="Q3437">
        <v>4.71119327663857E-2</v>
      </c>
      <c r="R3437">
        <v>0.98503590140768105</v>
      </c>
      <c r="S3437" t="s">
        <v>7066</v>
      </c>
      <c r="T3437" t="s">
        <v>7256</v>
      </c>
      <c r="U3437" t="s">
        <v>7256</v>
      </c>
      <c r="V3437" t="s">
        <v>7256</v>
      </c>
      <c r="W3437">
        <v>1</v>
      </c>
      <c r="X3437" t="s">
        <v>10693</v>
      </c>
      <c r="Y3437">
        <v>0.42561201622676659</v>
      </c>
      <c r="Z3437" t="str">
        <f>HYPERLINK("Melting_Curves/meltCurve_tr_H0YEZ2_H0YEZ2_HUMAN_.pdf", "Melting_Curves/meltCurve_tr_H0YEZ2_H0YEZ2_HUMAN_.pdf")</f>
        <v>Melting_Curves/meltCurve_tr_H0YEZ2_H0YEZ2_HUMAN_.pdf</v>
      </c>
      <c r="AA3437" t="s">
        <v>14254</v>
      </c>
      <c r="AB3437" t="s">
        <v>17844</v>
      </c>
    </row>
    <row r="3438" spans="1:28" x14ac:dyDescent="0.25">
      <c r="A3438" t="s">
        <v>3442</v>
      </c>
      <c r="B3438">
        <v>0.98018197421672304</v>
      </c>
      <c r="C3438">
        <v>0.93768128193713496</v>
      </c>
      <c r="D3438">
        <v>0.77073861654046105</v>
      </c>
      <c r="E3438">
        <v>0.61121480387169402</v>
      </c>
      <c r="F3438">
        <v>0.49022104137655498</v>
      </c>
      <c r="G3438">
        <v>0.33625561742862398</v>
      </c>
      <c r="H3438">
        <v>0.25680641515035602</v>
      </c>
      <c r="I3438">
        <v>0.23162956158491299</v>
      </c>
      <c r="J3438">
        <v>0.28364139482224998</v>
      </c>
      <c r="K3438">
        <v>0.361244337568075</v>
      </c>
      <c r="L3438">
        <v>721.57284131293397</v>
      </c>
      <c r="M3438">
        <v>14.646971710507501</v>
      </c>
      <c r="N3438">
        <v>51.932899421607097</v>
      </c>
      <c r="O3438">
        <v>48.373324228858699</v>
      </c>
      <c r="P3438">
        <v>-5.5686239753827797E-2</v>
      </c>
      <c r="Q3438">
        <v>0.26444048668518599</v>
      </c>
      <c r="R3438">
        <v>0.97714854441627896</v>
      </c>
      <c r="S3438" t="s">
        <v>7067</v>
      </c>
      <c r="T3438" t="s">
        <v>7256</v>
      </c>
      <c r="U3438" t="s">
        <v>7256</v>
      </c>
      <c r="V3438" t="s">
        <v>7256</v>
      </c>
      <c r="W3438">
        <v>2</v>
      </c>
      <c r="X3438" t="s">
        <v>10694</v>
      </c>
      <c r="Y3438">
        <v>0.51037601515099129</v>
      </c>
      <c r="Z3438" t="str">
        <f>HYPERLINK("Melting_Curves/meltCurve_tr_H0YF83_H0YF83_HUMAN_.pdf", "Melting_Curves/meltCurve_tr_H0YF83_H0YF83_HUMAN_.pdf")</f>
        <v>Melting_Curves/meltCurve_tr_H0YF83_H0YF83_HUMAN_.pdf</v>
      </c>
      <c r="AA3438" t="s">
        <v>14255</v>
      </c>
      <c r="AB3438" t="s">
        <v>17845</v>
      </c>
    </row>
    <row r="3439" spans="1:28" x14ac:dyDescent="0.25">
      <c r="A3439" t="s">
        <v>3443</v>
      </c>
      <c r="B3439">
        <v>0.98018197421672304</v>
      </c>
      <c r="C3439">
        <v>0.92206499461587199</v>
      </c>
      <c r="D3439">
        <v>0.86587683172970598</v>
      </c>
      <c r="E3439">
        <v>0.757079904647321</v>
      </c>
      <c r="F3439">
        <v>0.52068178072932103</v>
      </c>
      <c r="G3439">
        <v>0.43027555146302399</v>
      </c>
      <c r="H3439">
        <v>0.25220856644371697</v>
      </c>
      <c r="I3439">
        <v>0.16991588209000999</v>
      </c>
      <c r="J3439">
        <v>0.12106576812362101</v>
      </c>
      <c r="K3439">
        <v>0.13525172876282299</v>
      </c>
      <c r="L3439">
        <v>570.28558523695403</v>
      </c>
      <c r="M3439">
        <v>10.5162929303241</v>
      </c>
      <c r="N3439">
        <v>54.4991520312904</v>
      </c>
      <c r="O3439">
        <v>52.377964908087598</v>
      </c>
      <c r="P3439">
        <v>-4.8938023878028897E-2</v>
      </c>
      <c r="Q3439">
        <v>2.54183866347109E-2</v>
      </c>
      <c r="R3439">
        <v>0.99264852832237704</v>
      </c>
      <c r="S3439" t="s">
        <v>7068</v>
      </c>
      <c r="T3439" t="s">
        <v>7256</v>
      </c>
      <c r="U3439" t="s">
        <v>7256</v>
      </c>
      <c r="V3439" t="s">
        <v>7256</v>
      </c>
      <c r="W3439">
        <v>1</v>
      </c>
      <c r="X3439" t="s">
        <v>10695</v>
      </c>
      <c r="Y3439">
        <v>0.5152417099998281</v>
      </c>
      <c r="Z3439" t="str">
        <f>HYPERLINK("Melting_Curves/meltCurve_tr_H0YFI1_H0YFI1_HUMAN_.pdf", "Melting_Curves/meltCurve_tr_H0YFI1_H0YFI1_HUMAN_.pdf")</f>
        <v>Melting_Curves/meltCurve_tr_H0YFI1_H0YFI1_HUMAN_.pdf</v>
      </c>
      <c r="AA3439" t="s">
        <v>14256</v>
      </c>
      <c r="AB3439" t="s">
        <v>17846</v>
      </c>
    </row>
    <row r="3440" spans="1:28" x14ac:dyDescent="0.25">
      <c r="A3440" t="s">
        <v>3444</v>
      </c>
      <c r="B3440">
        <v>0.98018197421672304</v>
      </c>
      <c r="C3440">
        <v>0.95658629645621696</v>
      </c>
      <c r="D3440">
        <v>0.71123597977043995</v>
      </c>
      <c r="E3440">
        <v>0.44064568483243399</v>
      </c>
      <c r="F3440">
        <v>0.163672846312889</v>
      </c>
      <c r="G3440">
        <v>8.7091218518604796E-2</v>
      </c>
      <c r="H3440">
        <v>6.3158614584560402E-2</v>
      </c>
      <c r="I3440">
        <v>4.30165400909297E-2</v>
      </c>
      <c r="J3440">
        <v>2.8477772837898999E-2</v>
      </c>
      <c r="K3440">
        <v>1.59128809172886E-2</v>
      </c>
      <c r="L3440">
        <v>890.04688933570401</v>
      </c>
      <c r="M3440">
        <v>18.281698442447698</v>
      </c>
      <c r="N3440">
        <v>48.811367693779999</v>
      </c>
      <c r="O3440">
        <v>48.113820282813897</v>
      </c>
      <c r="P3440">
        <v>-9.2802869694386197E-2</v>
      </c>
      <c r="Q3440">
        <v>2.3089986777413401E-2</v>
      </c>
      <c r="R3440">
        <v>0.99531509083928005</v>
      </c>
      <c r="S3440" t="s">
        <v>7069</v>
      </c>
      <c r="T3440" t="s">
        <v>7256</v>
      </c>
      <c r="U3440" t="s">
        <v>7256</v>
      </c>
      <c r="V3440" t="s">
        <v>7256</v>
      </c>
      <c r="W3440">
        <v>2</v>
      </c>
      <c r="X3440" t="s">
        <v>10696</v>
      </c>
      <c r="Y3440">
        <v>0.32241118373199812</v>
      </c>
      <c r="Z3440" t="str">
        <f>HYPERLINK("Melting_Curves/meltCurve_tr_H0YFP3_H0YFP3_HUMAN_.pdf", "Melting_Curves/meltCurve_tr_H0YFP3_H0YFP3_HUMAN_.pdf")</f>
        <v>Melting_Curves/meltCurve_tr_H0YFP3_H0YFP3_HUMAN_.pdf</v>
      </c>
      <c r="AA3440" t="s">
        <v>14257</v>
      </c>
      <c r="AB3440" t="s">
        <v>17847</v>
      </c>
    </row>
    <row r="3441" spans="1:28" x14ac:dyDescent="0.25">
      <c r="A3441" t="s">
        <v>3445</v>
      </c>
      <c r="B3441">
        <v>0.98018197421672304</v>
      </c>
      <c r="C3441">
        <v>0.92660307493806304</v>
      </c>
      <c r="D3441">
        <v>0.91452954026866295</v>
      </c>
      <c r="E3441">
        <v>0.77695287493633203</v>
      </c>
      <c r="F3441">
        <v>0.750744744603843</v>
      </c>
      <c r="G3441">
        <v>0.61979952030473695</v>
      </c>
      <c r="H3441">
        <v>0.49003139514794902</v>
      </c>
      <c r="I3441">
        <v>0.491935893220385</v>
      </c>
      <c r="J3441">
        <v>0.53775351646976</v>
      </c>
      <c r="K3441">
        <v>0.44893496072182798</v>
      </c>
      <c r="L3441">
        <v>539.69737609738502</v>
      </c>
      <c r="M3441">
        <v>10.1531451254455</v>
      </c>
      <c r="N3441">
        <v>64.620844985532699</v>
      </c>
      <c r="O3441">
        <v>51.217296432012198</v>
      </c>
      <c r="P3441">
        <v>-2.8883171271502001E-2</v>
      </c>
      <c r="Q3441">
        <v>0.41746547898063902</v>
      </c>
      <c r="R3441">
        <v>0.97512846847198398</v>
      </c>
      <c r="S3441" t="s">
        <v>7070</v>
      </c>
      <c r="T3441" t="s">
        <v>7256</v>
      </c>
      <c r="U3441" t="s">
        <v>7256</v>
      </c>
      <c r="V3441" t="s">
        <v>7256</v>
      </c>
      <c r="W3441">
        <v>6</v>
      </c>
      <c r="X3441" t="s">
        <v>10697</v>
      </c>
      <c r="Y3441">
        <v>0.69223714392465896</v>
      </c>
      <c r="Z3441" t="str">
        <f>HYPERLINK("Melting_Curves/meltCurve_tr_H0YGR4_H0YGR4_HUMAN_.pdf", "Melting_Curves/meltCurve_tr_H0YGR4_H0YGR4_HUMAN_.pdf")</f>
        <v>Melting_Curves/meltCurve_tr_H0YGR4_H0YGR4_HUMAN_.pdf</v>
      </c>
      <c r="AA3441" t="s">
        <v>14258</v>
      </c>
      <c r="AB3441" t="s">
        <v>17848</v>
      </c>
    </row>
    <row r="3442" spans="1:28" x14ac:dyDescent="0.25">
      <c r="A3442" t="s">
        <v>3446</v>
      </c>
      <c r="B3442">
        <v>0.98018197421672304</v>
      </c>
      <c r="C3442">
        <v>0.65110524070272302</v>
      </c>
      <c r="D3442">
        <v>0.95421759936050699</v>
      </c>
      <c r="E3442">
        <v>0.80993094580566005</v>
      </c>
      <c r="F3442">
        <v>0.71722231734727504</v>
      </c>
      <c r="G3442">
        <v>0.27643428997512898</v>
      </c>
      <c r="H3442">
        <v>0.102376181573392</v>
      </c>
      <c r="I3442">
        <v>6.64537934233419E-2</v>
      </c>
      <c r="J3442">
        <v>0.12915231506516001</v>
      </c>
      <c r="K3442">
        <v>7.0273633907525904E-2</v>
      </c>
      <c r="L3442">
        <v>1121.88850698234</v>
      </c>
      <c r="M3442">
        <v>20.6754253613076</v>
      </c>
      <c r="N3442">
        <v>54.559708136259403</v>
      </c>
      <c r="O3442">
        <v>53.7619668244308</v>
      </c>
      <c r="P3442">
        <v>-9.1016338229413699E-2</v>
      </c>
      <c r="Q3442">
        <v>5.33539462726106E-2</v>
      </c>
      <c r="R3442">
        <v>0.89738075344810697</v>
      </c>
      <c r="S3442" t="s">
        <v>7071</v>
      </c>
      <c r="T3442" t="s">
        <v>7256</v>
      </c>
      <c r="U3442" t="s">
        <v>7256</v>
      </c>
      <c r="V3442" t="s">
        <v>7256</v>
      </c>
      <c r="W3442">
        <v>3</v>
      </c>
      <c r="X3442" t="s">
        <v>10698</v>
      </c>
      <c r="Y3442">
        <v>0.51553320103577105</v>
      </c>
      <c r="Z3442" t="str">
        <f>HYPERLINK("Melting_Curves/meltCurve_tr_H0YGX7_H0YGX7_HUMAN_.pdf", "Melting_Curves/meltCurve_tr_H0YGX7_H0YGX7_HUMAN_.pdf")</f>
        <v>Melting_Curves/meltCurve_tr_H0YGX7_H0YGX7_HUMAN_.pdf</v>
      </c>
      <c r="AA3442" t="s">
        <v>14259</v>
      </c>
      <c r="AB3442" t="s">
        <v>17849</v>
      </c>
    </row>
    <row r="3443" spans="1:28" x14ac:dyDescent="0.25">
      <c r="A3443" t="s">
        <v>3447</v>
      </c>
      <c r="B3443">
        <v>0.98018197421672304</v>
      </c>
      <c r="C3443">
        <v>0.99322085018001804</v>
      </c>
      <c r="D3443">
        <v>0.87479170133884798</v>
      </c>
      <c r="E3443">
        <v>0.66874464107241605</v>
      </c>
      <c r="F3443">
        <v>0.42593137378420098</v>
      </c>
      <c r="G3443">
        <v>0.206065729065705</v>
      </c>
      <c r="H3443">
        <v>0.148473382654809</v>
      </c>
      <c r="I3443">
        <v>0.10715086883795</v>
      </c>
      <c r="J3443">
        <v>0.15392503050894499</v>
      </c>
      <c r="K3443">
        <v>0.12127501335441</v>
      </c>
      <c r="L3443">
        <v>964.936298831111</v>
      </c>
      <c r="M3443">
        <v>18.845154012804802</v>
      </c>
      <c r="N3443">
        <v>51.896212815621098</v>
      </c>
      <c r="O3443">
        <v>50.637302413312497</v>
      </c>
      <c r="P3443">
        <v>-8.26960684546105E-2</v>
      </c>
      <c r="Q3443">
        <v>0.111212690836857</v>
      </c>
      <c r="R3443">
        <v>0.99705342674166098</v>
      </c>
      <c r="S3443" t="s">
        <v>7072</v>
      </c>
      <c r="T3443" t="s">
        <v>7256</v>
      </c>
      <c r="U3443" t="s">
        <v>7256</v>
      </c>
      <c r="V3443" t="s">
        <v>7256</v>
      </c>
      <c r="W3443">
        <v>4</v>
      </c>
      <c r="X3443" t="s">
        <v>10699</v>
      </c>
      <c r="Y3443">
        <v>0.45688287342304418</v>
      </c>
      <c r="Z3443" t="str">
        <f>HYPERLINK("Melting_Curves/meltCurve_tr_H0YHC3_H0YHC3_HUMAN_.pdf", "Melting_Curves/meltCurve_tr_H0YHC3_H0YHC3_HUMAN_.pdf")</f>
        <v>Melting_Curves/meltCurve_tr_H0YHC3_H0YHC3_HUMAN_.pdf</v>
      </c>
      <c r="AA3443" t="s">
        <v>14260</v>
      </c>
      <c r="AB3443" t="s">
        <v>17850</v>
      </c>
    </row>
    <row r="3444" spans="1:28" x14ac:dyDescent="0.25">
      <c r="A3444" t="s">
        <v>3448</v>
      </c>
      <c r="B3444">
        <v>0.98018197421672304</v>
      </c>
      <c r="C3444">
        <v>0.93852852459192704</v>
      </c>
      <c r="D3444">
        <v>0.81504286914650803</v>
      </c>
      <c r="E3444">
        <v>0.749697860326201</v>
      </c>
      <c r="F3444">
        <v>0.36298480544378098</v>
      </c>
      <c r="G3444">
        <v>0.196952198282143</v>
      </c>
      <c r="H3444">
        <v>0.20037757557674299</v>
      </c>
      <c r="I3444">
        <v>0.19288515276160101</v>
      </c>
      <c r="J3444">
        <v>0.18747446692681199</v>
      </c>
      <c r="K3444">
        <v>0.17329882366615601</v>
      </c>
      <c r="L3444">
        <v>1050.4301811133</v>
      </c>
      <c r="M3444">
        <v>20.678932272891</v>
      </c>
      <c r="N3444">
        <v>51.799752966718998</v>
      </c>
      <c r="O3444">
        <v>50.329245890529101</v>
      </c>
      <c r="P3444">
        <v>-8.5779690003271902E-2</v>
      </c>
      <c r="Q3444">
        <v>0.16492731826090901</v>
      </c>
      <c r="R3444">
        <v>0.97488209811236703</v>
      </c>
      <c r="S3444" t="s">
        <v>7073</v>
      </c>
      <c r="T3444" t="s">
        <v>7256</v>
      </c>
      <c r="U3444" t="s">
        <v>7256</v>
      </c>
      <c r="V3444" t="s">
        <v>7256</v>
      </c>
      <c r="W3444">
        <v>1</v>
      </c>
      <c r="X3444" t="s">
        <v>10700</v>
      </c>
      <c r="Y3444">
        <v>0.47635962909123308</v>
      </c>
      <c r="Z3444" t="str">
        <f>HYPERLINK("Melting_Curves/meltCurve_tr_H0YI02_H0YI02_HUMAN_.pdf", "Melting_Curves/meltCurve_tr_H0YI02_H0YI02_HUMAN_.pdf")</f>
        <v>Melting_Curves/meltCurve_tr_H0YI02_H0YI02_HUMAN_.pdf</v>
      </c>
      <c r="AA3444" t="s">
        <v>14261</v>
      </c>
      <c r="AB3444" t="s">
        <v>17851</v>
      </c>
    </row>
    <row r="3445" spans="1:28" x14ac:dyDescent="0.25">
      <c r="A3445" t="s">
        <v>3449</v>
      </c>
      <c r="B3445">
        <v>0.98018197421672304</v>
      </c>
      <c r="C3445">
        <v>0.94133275702644903</v>
      </c>
      <c r="D3445">
        <v>0.78969695581308197</v>
      </c>
      <c r="E3445">
        <v>0.50450856049861503</v>
      </c>
      <c r="F3445">
        <v>0.29857483355095898</v>
      </c>
      <c r="G3445">
        <v>0.158402321632512</v>
      </c>
      <c r="H3445">
        <v>8.7106758524611E-2</v>
      </c>
      <c r="I3445">
        <v>5.4557598323916698E-2</v>
      </c>
      <c r="J3445">
        <v>6.4132922524718403E-2</v>
      </c>
      <c r="K3445">
        <v>5.1961313866042497E-2</v>
      </c>
      <c r="L3445">
        <v>799.90566912356201</v>
      </c>
      <c r="M3445">
        <v>16.077947014649201</v>
      </c>
      <c r="N3445">
        <v>50.020481428540002</v>
      </c>
      <c r="O3445">
        <v>49.001155869401501</v>
      </c>
      <c r="P3445">
        <v>-7.86401867501028E-2</v>
      </c>
      <c r="Q3445">
        <v>4.1379125607154302E-2</v>
      </c>
      <c r="R3445">
        <v>0.99966468453197099</v>
      </c>
      <c r="S3445" t="s">
        <v>7074</v>
      </c>
      <c r="T3445" t="s">
        <v>7256</v>
      </c>
      <c r="U3445" t="s">
        <v>7256</v>
      </c>
      <c r="V3445" t="s">
        <v>7256</v>
      </c>
      <c r="W3445">
        <v>3</v>
      </c>
      <c r="X3445" t="s">
        <v>10701</v>
      </c>
      <c r="Y3445">
        <v>0.37328867106332081</v>
      </c>
      <c r="Z3445" t="str">
        <f>HYPERLINK("Melting_Curves/meltCurve_tr_H0YIA8_H0YIA8_HUMAN_.pdf", "Melting_Curves/meltCurve_tr_H0YIA8_H0YIA8_HUMAN_.pdf")</f>
        <v>Melting_Curves/meltCurve_tr_H0YIA8_H0YIA8_HUMAN_.pdf</v>
      </c>
      <c r="AA3445" t="s">
        <v>14262</v>
      </c>
      <c r="AB3445" t="s">
        <v>17852</v>
      </c>
    </row>
    <row r="3446" spans="1:28" x14ac:dyDescent="0.25">
      <c r="A3446" t="s">
        <v>3450</v>
      </c>
      <c r="B3446">
        <v>0.98018197421672304</v>
      </c>
      <c r="C3446">
        <v>0.86236118897729896</v>
      </c>
      <c r="D3446">
        <v>0.91971701611873802</v>
      </c>
      <c r="E3446">
        <v>0.81919226183131499</v>
      </c>
      <c r="F3446">
        <v>0.84681283437515398</v>
      </c>
      <c r="G3446">
        <v>0.71857081906198395</v>
      </c>
      <c r="H3446">
        <v>0.537957305517898</v>
      </c>
      <c r="I3446">
        <v>0.52704918793896005</v>
      </c>
      <c r="J3446">
        <v>0.55015470638302999</v>
      </c>
      <c r="K3446">
        <v>0.790154061368597</v>
      </c>
      <c r="L3446">
        <v>539.38436694169002</v>
      </c>
      <c r="M3446">
        <v>10.4696300209983</v>
      </c>
      <c r="O3446">
        <v>49.7458132398122</v>
      </c>
      <c r="P3446">
        <v>-2.21890090871718E-2</v>
      </c>
      <c r="Q3446">
        <v>0.57845305351478704</v>
      </c>
      <c r="R3446">
        <v>0.68255534949358698</v>
      </c>
      <c r="S3446" t="s">
        <v>7075</v>
      </c>
      <c r="T3446" t="s">
        <v>7256</v>
      </c>
      <c r="U3446" t="s">
        <v>7256</v>
      </c>
      <c r="V3446" t="s">
        <v>7256</v>
      </c>
      <c r="W3446">
        <v>2</v>
      </c>
      <c r="X3446" t="s">
        <v>10702</v>
      </c>
      <c r="Y3446">
        <v>0.75617039058632918</v>
      </c>
      <c r="Z3446" t="str">
        <f>HYPERLINK("Melting_Curves/meltCurve_tr_H0YIX9_H0YIX9_HUMAN_.pdf", "Melting_Curves/meltCurve_tr_H0YIX9_H0YIX9_HUMAN_.pdf")</f>
        <v>Melting_Curves/meltCurve_tr_H0YIX9_H0YIX9_HUMAN_.pdf</v>
      </c>
      <c r="AA3446" t="s">
        <v>14263</v>
      </c>
      <c r="AB3446" t="s">
        <v>17853</v>
      </c>
    </row>
    <row r="3447" spans="1:28" x14ac:dyDescent="0.25">
      <c r="A3447" t="s">
        <v>3451</v>
      </c>
      <c r="B3447">
        <v>0.98018197421672304</v>
      </c>
      <c r="C3447">
        <v>0.935113848821017</v>
      </c>
      <c r="D3447">
        <v>0.90628629948610495</v>
      </c>
      <c r="E3447">
        <v>0.86034640454220901</v>
      </c>
      <c r="F3447">
        <v>0.78272535267045495</v>
      </c>
      <c r="G3447">
        <v>0.61348488367936505</v>
      </c>
      <c r="H3447">
        <v>0.38118387577703</v>
      </c>
      <c r="I3447">
        <v>0.39320413201344001</v>
      </c>
      <c r="J3447">
        <v>0.34506928511214302</v>
      </c>
      <c r="K3447">
        <v>0.40221510102244401</v>
      </c>
      <c r="L3447">
        <v>768.86677278117702</v>
      </c>
      <c r="M3447">
        <v>13.9561291858441</v>
      </c>
      <c r="N3447">
        <v>59.265185117510804</v>
      </c>
      <c r="O3447">
        <v>53.997552261048703</v>
      </c>
      <c r="P3447">
        <v>-4.4404662506709602E-2</v>
      </c>
      <c r="Q3447">
        <v>0.31286909550443098</v>
      </c>
      <c r="R3447">
        <v>0.97190929084002597</v>
      </c>
      <c r="S3447" t="s">
        <v>7076</v>
      </c>
      <c r="T3447" t="s">
        <v>7256</v>
      </c>
      <c r="U3447" t="s">
        <v>7256</v>
      </c>
      <c r="V3447" t="s">
        <v>7256</v>
      </c>
      <c r="W3447">
        <v>1</v>
      </c>
      <c r="X3447" t="s">
        <v>10703</v>
      </c>
      <c r="Y3447">
        <v>0.67266564849689747</v>
      </c>
      <c r="Z3447" t="str">
        <f>HYPERLINK("Melting_Curves/meltCurve_tr_H0YKF8_H0YKF8_HUMAN_.pdf", "Melting_Curves/meltCurve_tr_H0YKF8_H0YKF8_HUMAN_.pdf")</f>
        <v>Melting_Curves/meltCurve_tr_H0YKF8_H0YKF8_HUMAN_.pdf</v>
      </c>
      <c r="AA3447" t="s">
        <v>14264</v>
      </c>
      <c r="AB3447" t="s">
        <v>17854</v>
      </c>
    </row>
    <row r="3448" spans="1:28" x14ac:dyDescent="0.25">
      <c r="A3448" t="s">
        <v>3452</v>
      </c>
      <c r="B3448">
        <v>0.98018197421672304</v>
      </c>
      <c r="C3448">
        <v>0.88501523044615305</v>
      </c>
      <c r="D3448">
        <v>0.75300098309170604</v>
      </c>
      <c r="E3448">
        <v>0.52812546174264097</v>
      </c>
      <c r="F3448">
        <v>0.28937945131791698</v>
      </c>
      <c r="G3448">
        <v>0.15515708934179101</v>
      </c>
      <c r="H3448">
        <v>6.47266141767468E-2</v>
      </c>
      <c r="I3448">
        <v>3.9190966678687898E-2</v>
      </c>
      <c r="J3448">
        <v>3.7171620249293602E-2</v>
      </c>
      <c r="K3448">
        <v>3.1580576786044097E-2</v>
      </c>
      <c r="L3448">
        <v>685.771112927123</v>
      </c>
      <c r="M3448">
        <v>13.737284062149101</v>
      </c>
      <c r="N3448">
        <v>49.923649774534702</v>
      </c>
      <c r="O3448">
        <v>48.898227317483901</v>
      </c>
      <c r="P3448">
        <v>-7.0212948433578601E-2</v>
      </c>
      <c r="Q3448">
        <v>4.4300862736754398E-4</v>
      </c>
      <c r="R3448">
        <v>0.99797566259487602</v>
      </c>
      <c r="S3448" t="s">
        <v>7077</v>
      </c>
      <c r="T3448" t="s">
        <v>7256</v>
      </c>
      <c r="U3448" t="s">
        <v>7256</v>
      </c>
      <c r="V3448" t="s">
        <v>7256</v>
      </c>
      <c r="W3448">
        <v>14</v>
      </c>
      <c r="X3448" t="s">
        <v>10704</v>
      </c>
      <c r="Y3448">
        <v>0.35883253690329753</v>
      </c>
      <c r="Z3448" t="str">
        <f>HYPERLINK("Melting_Curves/meltCurve_tr_H0YL72_H0YL72_HUMAN_.pdf", "Melting_Curves/meltCurve_tr_H0YL72_H0YL72_HUMAN_.pdf")</f>
        <v>Melting_Curves/meltCurve_tr_H0YL72_H0YL72_HUMAN_.pdf</v>
      </c>
      <c r="AA3448" t="s">
        <v>14265</v>
      </c>
      <c r="AB3448" t="s">
        <v>17855</v>
      </c>
    </row>
    <row r="3449" spans="1:28" x14ac:dyDescent="0.25">
      <c r="A3449" t="s">
        <v>3453</v>
      </c>
      <c r="B3449">
        <v>0.98018197421672304</v>
      </c>
      <c r="C3449">
        <v>0.756649333867911</v>
      </c>
      <c r="D3449">
        <v>0.77432023402474304</v>
      </c>
      <c r="E3449">
        <v>0.75844720287021195</v>
      </c>
      <c r="F3449">
        <v>0.626176197736938</v>
      </c>
      <c r="G3449">
        <v>0.47910363301846298</v>
      </c>
      <c r="H3449">
        <v>0.26327508107182701</v>
      </c>
      <c r="I3449">
        <v>7.9419324030717095E-2</v>
      </c>
      <c r="J3449">
        <v>3.7066338827750303E-2</v>
      </c>
      <c r="K3449">
        <v>2.28843085336926E-2</v>
      </c>
      <c r="L3449">
        <v>569.22688095084698</v>
      </c>
      <c r="M3449">
        <v>10.461006398721899</v>
      </c>
      <c r="N3449">
        <v>54.414160388219102</v>
      </c>
      <c r="O3449">
        <v>52.538461469445899</v>
      </c>
      <c r="P3449">
        <v>-4.9798221574505398E-2</v>
      </c>
      <c r="Q3449">
        <v>0</v>
      </c>
      <c r="R3449">
        <v>0.92963548154306297</v>
      </c>
      <c r="S3449" t="s">
        <v>7078</v>
      </c>
      <c r="T3449" t="s">
        <v>7256</v>
      </c>
      <c r="U3449" t="s">
        <v>7256</v>
      </c>
      <c r="V3449" t="s">
        <v>7256</v>
      </c>
      <c r="W3449">
        <v>23</v>
      </c>
      <c r="X3449" t="s">
        <v>10705</v>
      </c>
      <c r="Y3449">
        <v>0.508173465730133</v>
      </c>
      <c r="Z3449" t="str">
        <f>HYPERLINK("Melting_Curves/meltCurve_tr_H0YLA4_H0YLA4_HUMAN_.pdf", "Melting_Curves/meltCurve_tr_H0YLA4_H0YLA4_HUMAN_.pdf")</f>
        <v>Melting_Curves/meltCurve_tr_H0YLA4_H0YLA4_HUMAN_.pdf</v>
      </c>
      <c r="AA3449" t="s">
        <v>12182</v>
      </c>
      <c r="AB3449" t="s">
        <v>15743</v>
      </c>
    </row>
    <row r="3450" spans="1:28" x14ac:dyDescent="0.25">
      <c r="A3450" t="s">
        <v>3454</v>
      </c>
      <c r="B3450">
        <v>0.98018197421672304</v>
      </c>
      <c r="C3450">
        <v>0.98355566319031895</v>
      </c>
      <c r="D3450">
        <v>0.87780531693397301</v>
      </c>
      <c r="E3450">
        <v>0.76703227390364503</v>
      </c>
      <c r="F3450">
        <v>0.69307132318339504</v>
      </c>
      <c r="G3450">
        <v>0.41195561498139999</v>
      </c>
      <c r="H3450">
        <v>0.14277274534033299</v>
      </c>
      <c r="I3450">
        <v>8.5215072482222001E-2</v>
      </c>
      <c r="J3450">
        <v>0.112727971378007</v>
      </c>
      <c r="K3450">
        <v>8.3384646609672999E-2</v>
      </c>
      <c r="L3450">
        <v>764.28680745578902</v>
      </c>
      <c r="M3450">
        <v>13.884514832247</v>
      </c>
      <c r="N3450">
        <v>55.068663918912598</v>
      </c>
      <c r="O3450">
        <v>53.9418208303697</v>
      </c>
      <c r="P3450">
        <v>-6.4174647633353593E-2</v>
      </c>
      <c r="Q3450">
        <v>2.8533703816639999E-3</v>
      </c>
      <c r="R3450">
        <v>0.98679024628745504</v>
      </c>
      <c r="S3450" t="s">
        <v>7079</v>
      </c>
      <c r="T3450" t="s">
        <v>7256</v>
      </c>
      <c r="U3450" t="s">
        <v>7256</v>
      </c>
      <c r="V3450" t="s">
        <v>7256</v>
      </c>
      <c r="W3450">
        <v>4</v>
      </c>
      <c r="X3450" t="s">
        <v>10706</v>
      </c>
      <c r="Y3450">
        <v>0.5236426043669058</v>
      </c>
      <c r="Z3450" t="str">
        <f>HYPERLINK("Melting_Curves/meltCurve_tr_H0YMB1_H0YMB1_HUMAN_.pdf", "Melting_Curves/meltCurve_tr_H0YMB1_H0YMB1_HUMAN_.pdf")</f>
        <v>Melting_Curves/meltCurve_tr_H0YMB1_H0YMB1_HUMAN_.pdf</v>
      </c>
      <c r="AA3450" t="s">
        <v>14266</v>
      </c>
      <c r="AB3450" t="s">
        <v>17856</v>
      </c>
    </row>
    <row r="3451" spans="1:28" x14ac:dyDescent="0.25">
      <c r="A3451" t="s">
        <v>3455</v>
      </c>
      <c r="B3451">
        <v>0.98018197421672304</v>
      </c>
      <c r="C3451">
        <v>0.94767035469485905</v>
      </c>
      <c r="D3451">
        <v>0.88801493612135196</v>
      </c>
      <c r="E3451">
        <v>0.82086157213108502</v>
      </c>
      <c r="F3451">
        <v>0.70086598957752899</v>
      </c>
      <c r="G3451">
        <v>0.61011407528551598</v>
      </c>
      <c r="H3451">
        <v>0.50298194922936701</v>
      </c>
      <c r="I3451">
        <v>0.51052858803366696</v>
      </c>
      <c r="J3451">
        <v>0.48806863558650898</v>
      </c>
      <c r="K3451">
        <v>0.35040386750437402</v>
      </c>
      <c r="L3451">
        <v>445.82625315512098</v>
      </c>
      <c r="M3451">
        <v>7.9536401139470998</v>
      </c>
      <c r="N3451">
        <v>62.546266714260597</v>
      </c>
      <c r="O3451">
        <v>52.842198298175298</v>
      </c>
      <c r="P3451">
        <v>-2.7085355774627302E-2</v>
      </c>
      <c r="Q3451">
        <v>0.28103507387633597</v>
      </c>
      <c r="R3451">
        <v>0.980688632391849</v>
      </c>
      <c r="S3451" t="s">
        <v>7080</v>
      </c>
      <c r="T3451" t="s">
        <v>7256</v>
      </c>
      <c r="U3451" t="s">
        <v>7256</v>
      </c>
      <c r="V3451" t="s">
        <v>7256</v>
      </c>
      <c r="W3451">
        <v>13</v>
      </c>
      <c r="X3451" t="s">
        <v>10707</v>
      </c>
      <c r="Y3451">
        <v>0.67966237317279932</v>
      </c>
      <c r="Z3451" t="str">
        <f>HYPERLINK("Melting_Curves/meltCurve_tr_H0YMB3_H0YMB3_HUMAN_.pdf", "Melting_Curves/meltCurve_tr_H0YMB3_H0YMB3_HUMAN_.pdf")</f>
        <v>Melting_Curves/meltCurve_tr_H0YMB3_H0YMB3_HUMAN_.pdf</v>
      </c>
      <c r="AA3451" t="s">
        <v>14267</v>
      </c>
      <c r="AB3451" t="s">
        <v>17857</v>
      </c>
    </row>
    <row r="3452" spans="1:28" x14ac:dyDescent="0.25">
      <c r="A3452" t="s">
        <v>3456</v>
      </c>
      <c r="B3452">
        <v>0.98018197421672304</v>
      </c>
      <c r="C3452">
        <v>1.0443780032883201</v>
      </c>
      <c r="D3452">
        <v>0.73761016212219999</v>
      </c>
      <c r="E3452">
        <v>0.56185131729159499</v>
      </c>
      <c r="F3452">
        <v>0.61665626972131504</v>
      </c>
      <c r="G3452">
        <v>0.38275886496070799</v>
      </c>
      <c r="H3452">
        <v>0.16181539904244799</v>
      </c>
      <c r="I3452">
        <v>0.104374720736521</v>
      </c>
      <c r="J3452">
        <v>0.46932349098508003</v>
      </c>
      <c r="K3452">
        <v>0.471281876713181</v>
      </c>
      <c r="L3452">
        <v>783.94188646079999</v>
      </c>
      <c r="M3452">
        <v>15.9729030619713</v>
      </c>
      <c r="N3452">
        <v>52.224799998213001</v>
      </c>
      <c r="O3452">
        <v>48.329534201826398</v>
      </c>
      <c r="P3452">
        <v>-5.7103779483850398E-2</v>
      </c>
      <c r="Q3452">
        <v>0.30893432289145401</v>
      </c>
      <c r="R3452">
        <v>0.80329133066292702</v>
      </c>
      <c r="S3452" t="s">
        <v>7081</v>
      </c>
      <c r="T3452" t="s">
        <v>7256</v>
      </c>
      <c r="U3452" t="s">
        <v>7256</v>
      </c>
      <c r="V3452" t="s">
        <v>7256</v>
      </c>
      <c r="W3452">
        <v>9</v>
      </c>
      <c r="X3452" t="s">
        <v>10708</v>
      </c>
      <c r="Y3452">
        <v>0.53318074944990268</v>
      </c>
      <c r="Z3452" t="str">
        <f>HYPERLINK("Melting_Curves/meltCurve_tr_H0YMD0_H0YMD0_HUMAN_.pdf", "Melting_Curves/meltCurve_tr_H0YMD0_H0YMD0_HUMAN_.pdf")</f>
        <v>Melting_Curves/meltCurve_tr_H0YMD0_H0YMD0_HUMAN_.pdf</v>
      </c>
      <c r="AA3452" t="s">
        <v>14268</v>
      </c>
      <c r="AB3452" t="s">
        <v>17858</v>
      </c>
    </row>
    <row r="3453" spans="1:28" x14ac:dyDescent="0.25">
      <c r="A3453" t="s">
        <v>3457</v>
      </c>
      <c r="B3453">
        <v>0.98018197421672304</v>
      </c>
      <c r="C3453">
        <v>0.94134245876786704</v>
      </c>
      <c r="D3453">
        <v>0.943481529474547</v>
      </c>
      <c r="E3453">
        <v>0.82110052264043398</v>
      </c>
      <c r="F3453">
        <v>0.84391102409202801</v>
      </c>
      <c r="G3453">
        <v>0.77241509016677101</v>
      </c>
      <c r="H3453">
        <v>0.55937851840119102</v>
      </c>
      <c r="I3453">
        <v>0.59915864997697099</v>
      </c>
      <c r="J3453">
        <v>0.71666136511959799</v>
      </c>
      <c r="K3453">
        <v>0.88902134987180104</v>
      </c>
      <c r="L3453">
        <v>778.530438646672</v>
      </c>
      <c r="M3453">
        <v>15.6538153956649</v>
      </c>
      <c r="O3453">
        <v>48.943800836338099</v>
      </c>
      <c r="P3453">
        <v>-2.3929831335678699E-2</v>
      </c>
      <c r="Q3453">
        <v>0.70074599426802597</v>
      </c>
      <c r="R3453">
        <v>0.58541174315130096</v>
      </c>
      <c r="S3453" t="s">
        <v>7082</v>
      </c>
      <c r="T3453" t="s">
        <v>7256</v>
      </c>
      <c r="U3453" t="s">
        <v>7256</v>
      </c>
      <c r="V3453" t="s">
        <v>7256</v>
      </c>
      <c r="W3453">
        <v>13</v>
      </c>
      <c r="X3453" t="s">
        <v>10709</v>
      </c>
      <c r="Y3453">
        <v>0.80450735239027538</v>
      </c>
      <c r="Z3453" t="str">
        <f>HYPERLINK("Melting_Curves/meltCurve_tr_H0YN26_H0YN26_HUMAN_.pdf", "Melting_Curves/meltCurve_tr_H0YN26_H0YN26_HUMAN_.pdf")</f>
        <v>Melting_Curves/meltCurve_tr_H0YN26_H0YN26_HUMAN_.pdf</v>
      </c>
      <c r="AA3453" t="s">
        <v>14269</v>
      </c>
      <c r="AB3453" t="s">
        <v>17859</v>
      </c>
    </row>
    <row r="3454" spans="1:28" x14ac:dyDescent="0.25">
      <c r="A3454" t="s">
        <v>3458</v>
      </c>
      <c r="B3454">
        <v>0.98018197421672304</v>
      </c>
      <c r="C3454">
        <v>1.0095030556089499</v>
      </c>
      <c r="D3454">
        <v>0.79472075814502596</v>
      </c>
      <c r="E3454">
        <v>0.56051764131672899</v>
      </c>
      <c r="F3454">
        <v>0.43172193331000303</v>
      </c>
      <c r="G3454">
        <v>0.24795508309443701</v>
      </c>
      <c r="H3454">
        <v>0.121559453981615</v>
      </c>
      <c r="I3454">
        <v>9.6364549811856506E-2</v>
      </c>
      <c r="J3454">
        <v>0.103794131533114</v>
      </c>
      <c r="K3454">
        <v>7.7071372165862004E-2</v>
      </c>
      <c r="L3454">
        <v>712.44972261408702</v>
      </c>
      <c r="M3454">
        <v>13.991393937859099</v>
      </c>
      <c r="N3454">
        <v>51.372566700716803</v>
      </c>
      <c r="O3454">
        <v>49.914193238986101</v>
      </c>
      <c r="P3454">
        <v>-6.6027570269650102E-2</v>
      </c>
      <c r="Q3454">
        <v>5.7913514959128297E-2</v>
      </c>
      <c r="R3454">
        <v>0.99261698296284795</v>
      </c>
      <c r="S3454" t="s">
        <v>7083</v>
      </c>
      <c r="T3454" t="s">
        <v>7256</v>
      </c>
      <c r="U3454" t="s">
        <v>7256</v>
      </c>
      <c r="V3454" t="s">
        <v>7256</v>
      </c>
      <c r="W3454">
        <v>3</v>
      </c>
      <c r="X3454" t="s">
        <v>10710</v>
      </c>
      <c r="Y3454">
        <v>0.42529547564244452</v>
      </c>
      <c r="Z3454" t="str">
        <f>HYPERLINK("Melting_Curves/meltCurve_tr_H0YN81_H0YN81_HUMAN_.pdf", "Melting_Curves/meltCurve_tr_H0YN81_H0YN81_HUMAN_.pdf")</f>
        <v>Melting_Curves/meltCurve_tr_H0YN81_H0YN81_HUMAN_.pdf</v>
      </c>
      <c r="AA3454" t="s">
        <v>14270</v>
      </c>
      <c r="AB3454" t="s">
        <v>17860</v>
      </c>
    </row>
    <row r="3455" spans="1:28" x14ac:dyDescent="0.25">
      <c r="A3455" t="s">
        <v>3459</v>
      </c>
      <c r="B3455">
        <v>0.98018197421672304</v>
      </c>
      <c r="C3455">
        <v>0.94102102321634695</v>
      </c>
      <c r="D3455">
        <v>0.98318956247629496</v>
      </c>
      <c r="E3455">
        <v>0.78681522136999404</v>
      </c>
      <c r="F3455">
        <v>0.31214875775548101</v>
      </c>
      <c r="G3455">
        <v>0.102080596488662</v>
      </c>
      <c r="H3455">
        <v>5.75544681368719E-2</v>
      </c>
      <c r="I3455">
        <v>4.3077539087069301E-2</v>
      </c>
      <c r="J3455">
        <v>4.7774164100876301E-2</v>
      </c>
      <c r="K3455">
        <v>2.86133029835062E-2</v>
      </c>
      <c r="L3455">
        <v>1863.7683300347601</v>
      </c>
      <c r="M3455">
        <v>36.072579342638498</v>
      </c>
      <c r="N3455">
        <v>51.810049077671898</v>
      </c>
      <c r="O3455">
        <v>51.509164395955402</v>
      </c>
      <c r="P3455">
        <v>-0.166790650966197</v>
      </c>
      <c r="Q3455">
        <v>4.7340707488891097E-2</v>
      </c>
      <c r="R3455">
        <v>0.99712721230060497</v>
      </c>
      <c r="S3455" t="s">
        <v>7084</v>
      </c>
      <c r="T3455" t="s">
        <v>7256</v>
      </c>
      <c r="U3455" t="s">
        <v>7256</v>
      </c>
      <c r="V3455" t="s">
        <v>7256</v>
      </c>
      <c r="W3455">
        <v>14</v>
      </c>
      <c r="X3455" t="s">
        <v>10711</v>
      </c>
      <c r="Y3455">
        <v>0.42202238528629871</v>
      </c>
      <c r="Z3455" t="str">
        <f>HYPERLINK("Melting_Curves/meltCurve_tr_H3BLU7_H3BLU7_HUMAN_.pdf", "Melting_Curves/meltCurve_tr_H3BLU7_H3BLU7_HUMAN_.pdf")</f>
        <v>Melting_Curves/meltCurve_tr_H3BLU7_H3BLU7_HUMAN_.pdf</v>
      </c>
      <c r="AA3455" t="s">
        <v>14271</v>
      </c>
      <c r="AB3455" t="s">
        <v>17861</v>
      </c>
    </row>
    <row r="3456" spans="1:28" x14ac:dyDescent="0.25">
      <c r="A3456" t="s">
        <v>3460</v>
      </c>
      <c r="B3456">
        <v>0.98018197421672304</v>
      </c>
      <c r="C3456">
        <v>0.95267947976711398</v>
      </c>
      <c r="D3456">
        <v>0.82216334943852998</v>
      </c>
      <c r="E3456">
        <v>0.70531862036833504</v>
      </c>
      <c r="F3456">
        <v>0.672676715955428</v>
      </c>
      <c r="G3456">
        <v>0.41652251061581302</v>
      </c>
      <c r="H3456">
        <v>0.44437117083344602</v>
      </c>
      <c r="I3456">
        <v>0.31761190510304599</v>
      </c>
      <c r="J3456">
        <v>0.62142266971670801</v>
      </c>
      <c r="K3456">
        <v>0.24549496613064201</v>
      </c>
      <c r="L3456">
        <v>597.10566420573798</v>
      </c>
      <c r="M3456">
        <v>11.7245903625521</v>
      </c>
      <c r="N3456">
        <v>56.7760880001671</v>
      </c>
      <c r="O3456">
        <v>49.513827345234603</v>
      </c>
      <c r="P3456">
        <v>-3.84558616089197E-2</v>
      </c>
      <c r="Q3456">
        <v>0.35056344146058899</v>
      </c>
      <c r="R3456">
        <v>0.84491560112785602</v>
      </c>
      <c r="S3456" t="s">
        <v>7085</v>
      </c>
      <c r="T3456" t="s">
        <v>7256</v>
      </c>
      <c r="U3456" t="s">
        <v>7256</v>
      </c>
      <c r="V3456" t="s">
        <v>7256</v>
      </c>
      <c r="W3456">
        <v>1</v>
      </c>
      <c r="X3456" t="s">
        <v>10712</v>
      </c>
      <c r="Y3456">
        <v>0.60911559524640757</v>
      </c>
      <c r="Z3456" t="str">
        <f>HYPERLINK("Melting_Curves/meltCurve_tr_H3BM42_H3BM42_HUMAN_.pdf", "Melting_Curves/meltCurve_tr_H3BM42_H3BM42_HUMAN_.pdf")</f>
        <v>Melting_Curves/meltCurve_tr_H3BM42_H3BM42_HUMAN_.pdf</v>
      </c>
      <c r="AA3456" t="s">
        <v>14272</v>
      </c>
      <c r="AB3456" t="s">
        <v>17862</v>
      </c>
    </row>
    <row r="3457" spans="1:28" x14ac:dyDescent="0.25">
      <c r="A3457" t="s">
        <v>3461</v>
      </c>
      <c r="B3457">
        <v>0.98018197421672304</v>
      </c>
      <c r="C3457">
        <v>0.93343530667838703</v>
      </c>
      <c r="D3457">
        <v>0.87689462038850496</v>
      </c>
      <c r="E3457">
        <v>0.75280678292370995</v>
      </c>
      <c r="F3457">
        <v>0.76805100447082197</v>
      </c>
      <c r="G3457">
        <v>0.56998307859189701</v>
      </c>
      <c r="H3457">
        <v>0.50725675195667097</v>
      </c>
      <c r="I3457">
        <v>0.46750988629967</v>
      </c>
      <c r="J3457">
        <v>0.60485648369678902</v>
      </c>
      <c r="K3457">
        <v>0.56952085281277998</v>
      </c>
      <c r="L3457">
        <v>633.42616697014</v>
      </c>
      <c r="M3457">
        <v>12.560365837185399</v>
      </c>
      <c r="O3457">
        <v>49.203416047185002</v>
      </c>
      <c r="P3457">
        <v>-3.10870974841569E-2</v>
      </c>
      <c r="Q3457">
        <v>0.51298128803828102</v>
      </c>
      <c r="R3457">
        <v>0.91870837520343096</v>
      </c>
      <c r="S3457" t="s">
        <v>7086</v>
      </c>
      <c r="T3457" t="s">
        <v>7256</v>
      </c>
      <c r="U3457" t="s">
        <v>7256</v>
      </c>
      <c r="V3457" t="s">
        <v>7256</v>
      </c>
      <c r="W3457">
        <v>3</v>
      </c>
      <c r="X3457" t="s">
        <v>10713</v>
      </c>
      <c r="Y3457">
        <v>0.69763718808303588</v>
      </c>
      <c r="Z3457" t="str">
        <f>HYPERLINK("Melting_Curves/meltCurve_tr_H3BM67_H3BM67_HUMAN_.pdf", "Melting_Curves/meltCurve_tr_H3BM67_H3BM67_HUMAN_.pdf")</f>
        <v>Melting_Curves/meltCurve_tr_H3BM67_H3BM67_HUMAN_.pdf</v>
      </c>
      <c r="AA3457" t="s">
        <v>14273</v>
      </c>
      <c r="AB3457" t="s">
        <v>17863</v>
      </c>
    </row>
    <row r="3458" spans="1:28" x14ac:dyDescent="0.25">
      <c r="A3458" t="s">
        <v>3462</v>
      </c>
      <c r="B3458">
        <v>0.98018197421672304</v>
      </c>
      <c r="C3458">
        <v>0.94295605204586797</v>
      </c>
      <c r="D3458">
        <v>0.788882408883405</v>
      </c>
      <c r="E3458">
        <v>0.46452316210217198</v>
      </c>
      <c r="F3458">
        <v>0.20212679973866701</v>
      </c>
      <c r="G3458">
        <v>8.6290604355661799E-2</v>
      </c>
      <c r="H3458">
        <v>7.0033260748527199E-2</v>
      </c>
      <c r="I3458">
        <v>6.1221448430086402E-2</v>
      </c>
      <c r="J3458">
        <v>8.1503819134657401E-2</v>
      </c>
      <c r="K3458">
        <v>2.9665448840434198E-2</v>
      </c>
      <c r="L3458">
        <v>977.74948120471902</v>
      </c>
      <c r="M3458">
        <v>19.9194823853618</v>
      </c>
      <c r="N3458">
        <v>49.326818866162697</v>
      </c>
      <c r="O3458">
        <v>48.598419385183597</v>
      </c>
      <c r="P3458">
        <v>-9.7707934219251294E-2</v>
      </c>
      <c r="Q3458">
        <v>4.6502615536105497E-2</v>
      </c>
      <c r="R3458">
        <v>0.99771058020824099</v>
      </c>
      <c r="S3458" t="s">
        <v>7087</v>
      </c>
      <c r="T3458" t="s">
        <v>7256</v>
      </c>
      <c r="U3458" t="s">
        <v>7256</v>
      </c>
      <c r="V3458" t="s">
        <v>7256</v>
      </c>
      <c r="W3458">
        <v>1</v>
      </c>
      <c r="X3458" t="s">
        <v>10714</v>
      </c>
      <c r="Y3458">
        <v>0.34871166560300282</v>
      </c>
      <c r="Z3458" t="str">
        <f>HYPERLINK("Melting_Curves/meltCurve_tr_H3BM79_H3BM79_HUMAN_.pdf", "Melting_Curves/meltCurve_tr_H3BM79_H3BM79_HUMAN_.pdf")</f>
        <v>Melting_Curves/meltCurve_tr_H3BM79_H3BM79_HUMAN_.pdf</v>
      </c>
      <c r="AA3458" t="s">
        <v>14274</v>
      </c>
      <c r="AB3458" t="s">
        <v>17864</v>
      </c>
    </row>
    <row r="3459" spans="1:28" x14ac:dyDescent="0.25">
      <c r="A3459" t="s">
        <v>3463</v>
      </c>
      <c r="B3459">
        <v>0.98018197421672304</v>
      </c>
      <c r="C3459">
        <v>1.0325288318476999</v>
      </c>
      <c r="D3459">
        <v>0.78017916205837601</v>
      </c>
      <c r="E3459">
        <v>0.43536330070182599</v>
      </c>
      <c r="F3459">
        <v>0.26045497874603202</v>
      </c>
      <c r="G3459">
        <v>0.13960138684298101</v>
      </c>
      <c r="H3459">
        <v>9.2585216883650498E-2</v>
      </c>
      <c r="I3459">
        <v>5.25438305967873E-2</v>
      </c>
      <c r="J3459">
        <v>7.8903850030730305E-2</v>
      </c>
      <c r="K3459">
        <v>6.4537902598243199E-2</v>
      </c>
      <c r="L3459">
        <v>988.38271263951697</v>
      </c>
      <c r="M3459">
        <v>20.142489141858</v>
      </c>
      <c r="N3459">
        <v>49.438089738637899</v>
      </c>
      <c r="O3459">
        <v>48.5935721726906</v>
      </c>
      <c r="P3459">
        <v>-9.6406175165610494E-2</v>
      </c>
      <c r="Q3459">
        <v>6.9713472333732096E-2</v>
      </c>
      <c r="R3459">
        <v>0.99352055162917796</v>
      </c>
      <c r="S3459" t="s">
        <v>7088</v>
      </c>
      <c r="T3459" t="s">
        <v>7256</v>
      </c>
      <c r="U3459" t="s">
        <v>7256</v>
      </c>
      <c r="V3459" t="s">
        <v>7256</v>
      </c>
      <c r="W3459">
        <v>2</v>
      </c>
      <c r="X3459" t="s">
        <v>10715</v>
      </c>
      <c r="Y3459">
        <v>0.36379271606422042</v>
      </c>
      <c r="Z3459" t="str">
        <f>HYPERLINK("Melting_Curves/meltCurve_tr_H3BMM5_H3BMM5_HUMAN_.pdf", "Melting_Curves/meltCurve_tr_H3BMM5_H3BMM5_HUMAN_.pdf")</f>
        <v>Melting_Curves/meltCurve_tr_H3BMM5_H3BMM5_HUMAN_.pdf</v>
      </c>
      <c r="AB3459" t="s">
        <v>17729</v>
      </c>
    </row>
    <row r="3460" spans="1:28" x14ac:dyDescent="0.25">
      <c r="A3460" t="s">
        <v>3464</v>
      </c>
      <c r="B3460">
        <v>0.98018197421672304</v>
      </c>
      <c r="C3460">
        <v>0.68835504762431599</v>
      </c>
      <c r="D3460">
        <v>0.77176686677890405</v>
      </c>
      <c r="E3460">
        <v>0.610278828993852</v>
      </c>
      <c r="F3460">
        <v>0.50998202924684799</v>
      </c>
      <c r="G3460">
        <v>0.35413829564201199</v>
      </c>
      <c r="H3460">
        <v>0.24605465493218401</v>
      </c>
      <c r="I3460">
        <v>0.187035266306711</v>
      </c>
      <c r="J3460">
        <v>0.19800977756995899</v>
      </c>
      <c r="K3460">
        <v>0.35193708670841201</v>
      </c>
      <c r="L3460">
        <v>437.69533139237899</v>
      </c>
      <c r="M3460">
        <v>8.79960596346573</v>
      </c>
      <c r="N3460">
        <v>52.038442465438202</v>
      </c>
      <c r="O3460">
        <v>47.372245883599597</v>
      </c>
      <c r="P3460">
        <v>-3.8992839471117403E-2</v>
      </c>
      <c r="Q3460">
        <v>0.16099931667908399</v>
      </c>
      <c r="R3460">
        <v>0.90886602003491201</v>
      </c>
      <c r="S3460" t="s">
        <v>7089</v>
      </c>
      <c r="T3460" t="s">
        <v>7256</v>
      </c>
      <c r="U3460" t="s">
        <v>7256</v>
      </c>
      <c r="V3460" t="s">
        <v>7256</v>
      </c>
      <c r="W3460">
        <v>1</v>
      </c>
      <c r="X3460" t="s">
        <v>10716</v>
      </c>
      <c r="Y3460">
        <v>0.47926904923396307</v>
      </c>
      <c r="Z3460" t="str">
        <f>HYPERLINK("Melting_Curves/meltCurve_tr_H3BNC0_H3BNC0_HUMAN_.pdf", "Melting_Curves/meltCurve_tr_H3BNC0_H3BNC0_HUMAN_.pdf")</f>
        <v>Melting_Curves/meltCurve_tr_H3BNC0_H3BNC0_HUMAN_.pdf</v>
      </c>
      <c r="AA3460" t="s">
        <v>14275</v>
      </c>
      <c r="AB3460" t="s">
        <v>17865</v>
      </c>
    </row>
    <row r="3461" spans="1:28" x14ac:dyDescent="0.25">
      <c r="A3461" t="s">
        <v>3465</v>
      </c>
      <c r="B3461">
        <v>0.98018197421672304</v>
      </c>
      <c r="C3461">
        <v>0.73788910603478997</v>
      </c>
      <c r="D3461">
        <v>1.01234200984607</v>
      </c>
      <c r="E3461">
        <v>1.0273979779684099</v>
      </c>
      <c r="F3461">
        <v>0.86647579413435305</v>
      </c>
      <c r="G3461">
        <v>0.42449722004333101</v>
      </c>
      <c r="H3461">
        <v>0.50216778393517503</v>
      </c>
      <c r="I3461">
        <v>0.54693751087347697</v>
      </c>
      <c r="J3461">
        <v>0.699845802578142</v>
      </c>
      <c r="K3461">
        <v>0.35984884400291201</v>
      </c>
      <c r="L3461">
        <v>13302.5394803002</v>
      </c>
      <c r="M3461">
        <v>250</v>
      </c>
      <c r="O3461">
        <v>53.206745479226797</v>
      </c>
      <c r="P3461">
        <v>-0.57950888042274196</v>
      </c>
      <c r="Q3461">
        <v>0.50665942827121901</v>
      </c>
      <c r="R3461">
        <v>0.756658785944339</v>
      </c>
      <c r="S3461" t="s">
        <v>7090</v>
      </c>
      <c r="T3461" t="s">
        <v>7256</v>
      </c>
      <c r="U3461" t="s">
        <v>7256</v>
      </c>
      <c r="V3461" t="s">
        <v>7256</v>
      </c>
      <c r="W3461">
        <v>8</v>
      </c>
      <c r="X3461" t="s">
        <v>10717</v>
      </c>
      <c r="Y3461">
        <v>0.72394239327576781</v>
      </c>
      <c r="Z3461" t="str">
        <f>HYPERLINK("Melting_Curves/meltCurve_tr_H3BNU9_H3BNU9_HUMAN_.pdf", "Melting_Curves/meltCurve_tr_H3BNU9_H3BNU9_HUMAN_.pdf")</f>
        <v>Melting_Curves/meltCurve_tr_H3BNU9_H3BNU9_HUMAN_.pdf</v>
      </c>
      <c r="AA3461" t="s">
        <v>13771</v>
      </c>
      <c r="AB3461" t="s">
        <v>17866</v>
      </c>
    </row>
    <row r="3462" spans="1:28" x14ac:dyDescent="0.25">
      <c r="A3462" t="s">
        <v>3466</v>
      </c>
      <c r="B3462">
        <v>0.98018197421672304</v>
      </c>
      <c r="C3462">
        <v>0.97932534834710505</v>
      </c>
      <c r="D3462">
        <v>0.76586666984848495</v>
      </c>
      <c r="E3462">
        <v>0.52202012208252602</v>
      </c>
      <c r="F3462">
        <v>0.39672094275341602</v>
      </c>
      <c r="G3462">
        <v>0.29924098081984202</v>
      </c>
      <c r="H3462">
        <v>0.206681355034432</v>
      </c>
      <c r="I3462">
        <v>0.199058184356984</v>
      </c>
      <c r="J3462">
        <v>0.23283753738364599</v>
      </c>
      <c r="K3462">
        <v>0.137457310792549</v>
      </c>
      <c r="L3462">
        <v>756.48178550807495</v>
      </c>
      <c r="M3462">
        <v>15.3663512107843</v>
      </c>
      <c r="N3462">
        <v>50.689596157202701</v>
      </c>
      <c r="O3462">
        <v>48.418602494380899</v>
      </c>
      <c r="P3462">
        <v>-6.51609887553872E-2</v>
      </c>
      <c r="Q3462">
        <v>0.178799413355442</v>
      </c>
      <c r="R3462">
        <v>0.98998401509557199</v>
      </c>
      <c r="S3462" t="s">
        <v>7091</v>
      </c>
      <c r="T3462" t="s">
        <v>7256</v>
      </c>
      <c r="U3462" t="s">
        <v>7256</v>
      </c>
      <c r="V3462" t="s">
        <v>7256</v>
      </c>
      <c r="W3462">
        <v>1</v>
      </c>
      <c r="X3462" t="s">
        <v>10718</v>
      </c>
      <c r="Y3462">
        <v>0.45066261384335299</v>
      </c>
      <c r="Z3462" t="str">
        <f>HYPERLINK("Melting_Curves/meltCurve_tr_H3BNZ8_H3BNZ8_HUMAN_.pdf", "Melting_Curves/meltCurve_tr_H3BNZ8_H3BNZ8_HUMAN_.pdf")</f>
        <v>Melting_Curves/meltCurve_tr_H3BNZ8_H3BNZ8_HUMAN_.pdf</v>
      </c>
      <c r="AA3462" t="s">
        <v>14276</v>
      </c>
      <c r="AB3462" t="s">
        <v>17867</v>
      </c>
    </row>
    <row r="3463" spans="1:28" x14ac:dyDescent="0.25">
      <c r="A3463" t="s">
        <v>3467</v>
      </c>
      <c r="B3463">
        <v>0.98018197421672304</v>
      </c>
      <c r="C3463">
        <v>1.0010114495839</v>
      </c>
      <c r="D3463">
        <v>0.89804382428705998</v>
      </c>
      <c r="E3463">
        <v>0.58635736456335197</v>
      </c>
      <c r="F3463">
        <v>0.30277235114019801</v>
      </c>
      <c r="G3463">
        <v>0.128559379254964</v>
      </c>
      <c r="H3463">
        <v>7.2060740553228794E-2</v>
      </c>
      <c r="I3463">
        <v>5.4804202221925301E-2</v>
      </c>
      <c r="J3463">
        <v>5.80215409609358E-2</v>
      </c>
      <c r="K3463">
        <v>5.51534086484195E-2</v>
      </c>
      <c r="L3463">
        <v>1112.21459343678</v>
      </c>
      <c r="M3463">
        <v>21.994186976099801</v>
      </c>
      <c r="N3463">
        <v>50.819056346791001</v>
      </c>
      <c r="O3463">
        <v>50.156100384760101</v>
      </c>
      <c r="P3463">
        <v>-0.103999413111327</v>
      </c>
      <c r="Q3463">
        <v>5.1369634908615298E-2</v>
      </c>
      <c r="R3463">
        <v>0.99950029887035696</v>
      </c>
      <c r="S3463" t="s">
        <v>7092</v>
      </c>
      <c r="T3463" t="s">
        <v>7256</v>
      </c>
      <c r="U3463" t="s">
        <v>7256</v>
      </c>
      <c r="V3463" t="s">
        <v>7256</v>
      </c>
      <c r="W3463">
        <v>5</v>
      </c>
      <c r="X3463" t="s">
        <v>10719</v>
      </c>
      <c r="Y3463">
        <v>0.39653426522491753</v>
      </c>
      <c r="Z3463" t="str">
        <f>HYPERLINK("Melting_Curves/meltCurve_tr_H3BPB8_H3BPB8_HUMAN_.pdf", "Melting_Curves/meltCurve_tr_H3BPB8_H3BPB8_HUMAN_.pdf")</f>
        <v>Melting_Curves/meltCurve_tr_H3BPB8_H3BPB8_HUMAN_.pdf</v>
      </c>
      <c r="AA3463" t="s">
        <v>14277</v>
      </c>
      <c r="AB3463" t="s">
        <v>17868</v>
      </c>
    </row>
    <row r="3464" spans="1:28" x14ac:dyDescent="0.25">
      <c r="A3464" t="s">
        <v>3468</v>
      </c>
      <c r="B3464">
        <v>0.98018197421672304</v>
      </c>
      <c r="C3464">
        <v>0.95854450589861395</v>
      </c>
      <c r="D3464">
        <v>0.87202504491111898</v>
      </c>
      <c r="E3464">
        <v>0.73414154641485596</v>
      </c>
      <c r="F3464">
        <v>0.33303359910527602</v>
      </c>
      <c r="G3464">
        <v>0.14002029003781999</v>
      </c>
      <c r="H3464">
        <v>8.8135607344105804E-2</v>
      </c>
      <c r="I3464">
        <v>6.9717025217473902E-2</v>
      </c>
      <c r="J3464">
        <v>8.4323708500607303E-2</v>
      </c>
      <c r="K3464">
        <v>5.5825766141455298E-2</v>
      </c>
      <c r="L3464">
        <v>1247.6462916702401</v>
      </c>
      <c r="M3464">
        <v>24.2824317457445</v>
      </c>
      <c r="N3464">
        <v>51.670148619439203</v>
      </c>
      <c r="O3464">
        <v>51.0359480420735</v>
      </c>
      <c r="P3464">
        <v>-0.111383827958599</v>
      </c>
      <c r="Q3464">
        <v>6.36039240281593E-2</v>
      </c>
      <c r="R3464">
        <v>0.99223824563861696</v>
      </c>
      <c r="S3464" t="s">
        <v>7093</v>
      </c>
      <c r="T3464" t="s">
        <v>7256</v>
      </c>
      <c r="U3464" t="s">
        <v>7256</v>
      </c>
      <c r="V3464" t="s">
        <v>7256</v>
      </c>
      <c r="W3464">
        <v>75</v>
      </c>
      <c r="X3464" t="s">
        <v>10720</v>
      </c>
      <c r="Y3464">
        <v>0.42781897851869022</v>
      </c>
      <c r="Z3464" t="str">
        <f>HYPERLINK("Melting_Curves/meltCurve_tr_H3BPE1_H3BPE1_HUMAN_.pdf", "Melting_Curves/meltCurve_tr_H3BPE1_H3BPE1_HUMAN_.pdf")</f>
        <v>Melting_Curves/meltCurve_tr_H3BPE1_H3BPE1_HUMAN_.pdf</v>
      </c>
      <c r="AA3464" t="s">
        <v>14278</v>
      </c>
      <c r="AB3464" t="s">
        <v>17869</v>
      </c>
    </row>
    <row r="3465" spans="1:28" x14ac:dyDescent="0.25">
      <c r="A3465" t="s">
        <v>3469</v>
      </c>
      <c r="B3465">
        <v>0.98018197421672304</v>
      </c>
      <c r="C3465">
        <v>0.77690556133182598</v>
      </c>
      <c r="D3465">
        <v>0.78100645341022701</v>
      </c>
      <c r="E3465">
        <v>0.60394924365178004</v>
      </c>
      <c r="F3465">
        <v>0.49611364140909298</v>
      </c>
      <c r="G3465">
        <v>0.23899411321643499</v>
      </c>
      <c r="H3465">
        <v>9.4802788649779396E-2</v>
      </c>
      <c r="I3465">
        <v>8.5269330541345306E-2</v>
      </c>
      <c r="J3465">
        <v>7.1344355835997394E-2</v>
      </c>
      <c r="K3465">
        <v>4.6390823083300899E-2</v>
      </c>
      <c r="L3465">
        <v>553.33386562469695</v>
      </c>
      <c r="M3465">
        <v>10.757958573243901</v>
      </c>
      <c r="N3465">
        <v>51.434821340918802</v>
      </c>
      <c r="O3465">
        <v>49.753198462181302</v>
      </c>
      <c r="P3465">
        <v>-5.4076487283794203E-2</v>
      </c>
      <c r="Q3465">
        <v>0</v>
      </c>
      <c r="R3465">
        <v>0.97719052279923502</v>
      </c>
      <c r="S3465" t="s">
        <v>7094</v>
      </c>
      <c r="T3465" t="s">
        <v>7256</v>
      </c>
      <c r="U3465" t="s">
        <v>7256</v>
      </c>
      <c r="V3465" t="s">
        <v>7256</v>
      </c>
      <c r="W3465">
        <v>1</v>
      </c>
      <c r="X3465" t="s">
        <v>10721</v>
      </c>
      <c r="Y3465">
        <v>0.41779473566199687</v>
      </c>
      <c r="Z3465" t="str">
        <f>HYPERLINK("Melting_Curves/meltCurve_tr_H3BPN3_H3BPN3_HUMAN_.pdf", "Melting_Curves/meltCurve_tr_H3BPN3_H3BPN3_HUMAN_.pdf")</f>
        <v>Melting_Curves/meltCurve_tr_H3BPN3_H3BPN3_HUMAN_.pdf</v>
      </c>
      <c r="AA3465" t="s">
        <v>14279</v>
      </c>
      <c r="AB3465" t="s">
        <v>17870</v>
      </c>
    </row>
    <row r="3466" spans="1:28" x14ac:dyDescent="0.25">
      <c r="A3466" t="s">
        <v>3470</v>
      </c>
      <c r="B3466">
        <v>0.98018197421672304</v>
      </c>
      <c r="C3466">
        <v>0.95683440608012005</v>
      </c>
      <c r="D3466">
        <v>0.85084106287473305</v>
      </c>
      <c r="E3466">
        <v>0.73864590710329403</v>
      </c>
      <c r="F3466">
        <v>0.50678043901645697</v>
      </c>
      <c r="G3466">
        <v>0.27168888274646202</v>
      </c>
      <c r="H3466">
        <v>9.5212594584575205E-2</v>
      </c>
      <c r="I3466">
        <v>8.3367031992906196E-2</v>
      </c>
      <c r="J3466">
        <v>8.8601249606722596E-2</v>
      </c>
      <c r="K3466">
        <v>5.7041885164192001E-2</v>
      </c>
      <c r="L3466">
        <v>778.32855264146201</v>
      </c>
      <c r="M3466">
        <v>14.7242423299605</v>
      </c>
      <c r="N3466">
        <v>53.005668175450602</v>
      </c>
      <c r="O3466">
        <v>51.914044229762801</v>
      </c>
      <c r="P3466">
        <v>-6.9511898402892694E-2</v>
      </c>
      <c r="Q3466">
        <v>1.97793104071558E-2</v>
      </c>
      <c r="R3466">
        <v>0.99486748393527702</v>
      </c>
      <c r="S3466" t="s">
        <v>7095</v>
      </c>
      <c r="T3466" t="s">
        <v>7256</v>
      </c>
      <c r="U3466" t="s">
        <v>7256</v>
      </c>
      <c r="V3466" t="s">
        <v>7256</v>
      </c>
      <c r="W3466">
        <v>15</v>
      </c>
      <c r="X3466" t="s">
        <v>10722</v>
      </c>
      <c r="Y3466">
        <v>0.46175299739893622</v>
      </c>
      <c r="Z3466" t="str">
        <f>HYPERLINK("Melting_Curves/meltCurve_tr_H3BPS8_H3BPS8_HUMAN_.pdf", "Melting_Curves/meltCurve_tr_H3BPS8_H3BPS8_HUMAN_.pdf")</f>
        <v>Melting_Curves/meltCurve_tr_H3BPS8_H3BPS8_HUMAN_.pdf</v>
      </c>
      <c r="AA3466" t="s">
        <v>14280</v>
      </c>
      <c r="AB3466" t="s">
        <v>17871</v>
      </c>
    </row>
    <row r="3467" spans="1:28" x14ac:dyDescent="0.25">
      <c r="A3467" t="s">
        <v>3471</v>
      </c>
      <c r="B3467">
        <v>0.98018197421672304</v>
      </c>
      <c r="C3467">
        <v>0.69670932188488599</v>
      </c>
      <c r="D3467">
        <v>0.71795752831487802</v>
      </c>
      <c r="E3467">
        <v>0.72519768167995502</v>
      </c>
      <c r="F3467">
        <v>0.44861297630365499</v>
      </c>
      <c r="G3467">
        <v>0.10799385164981599</v>
      </c>
      <c r="H3467">
        <v>3.6512448748557101E-2</v>
      </c>
      <c r="I3467">
        <v>2.6962885224392299E-2</v>
      </c>
      <c r="J3467">
        <v>3.6367371811940101E-2</v>
      </c>
      <c r="K3467">
        <v>2.5593946761089802E-2</v>
      </c>
      <c r="L3467">
        <v>617.57573193932899</v>
      </c>
      <c r="M3467">
        <v>12.141705537249299</v>
      </c>
      <c r="N3467">
        <v>50.864001552754601</v>
      </c>
      <c r="O3467">
        <v>49.543230762616602</v>
      </c>
      <c r="P3467">
        <v>-6.1282349601085098E-2</v>
      </c>
      <c r="Q3467">
        <v>0</v>
      </c>
      <c r="R3467">
        <v>0.918347005246402</v>
      </c>
      <c r="S3467" t="s">
        <v>7096</v>
      </c>
      <c r="T3467" t="s">
        <v>7256</v>
      </c>
      <c r="U3467" t="s">
        <v>7256</v>
      </c>
      <c r="V3467" t="s">
        <v>7256</v>
      </c>
      <c r="W3467">
        <v>2</v>
      </c>
      <c r="X3467" t="s">
        <v>10723</v>
      </c>
      <c r="Y3467">
        <v>0.39446086861388729</v>
      </c>
      <c r="Z3467" t="str">
        <f>HYPERLINK("Melting_Curves/meltCurve_tr_H3BPZ6_H3BPZ6_HUMAN_.pdf", "Melting_Curves/meltCurve_tr_H3BPZ6_H3BPZ6_HUMAN_.pdf")</f>
        <v>Melting_Curves/meltCurve_tr_H3BPZ6_H3BPZ6_HUMAN_.pdf</v>
      </c>
      <c r="AA3467" t="s">
        <v>14281</v>
      </c>
      <c r="AB3467" t="s">
        <v>17872</v>
      </c>
    </row>
    <row r="3468" spans="1:28" x14ac:dyDescent="0.25">
      <c r="A3468" t="s">
        <v>3472</v>
      </c>
      <c r="B3468">
        <v>0.98018197421672304</v>
      </c>
      <c r="C3468">
        <v>0.83327521123775194</v>
      </c>
      <c r="D3468">
        <v>0.682745784066905</v>
      </c>
      <c r="E3468">
        <v>0.29073071954266699</v>
      </c>
      <c r="F3468">
        <v>0.14488348864485001</v>
      </c>
      <c r="G3468">
        <v>0.102086350185198</v>
      </c>
      <c r="H3468">
        <v>5.79408045498346E-2</v>
      </c>
      <c r="I3468">
        <v>4.0839903569277497E-2</v>
      </c>
      <c r="J3468">
        <v>7.0768955678887496E-2</v>
      </c>
      <c r="K3468">
        <v>6.46240225784811E-2</v>
      </c>
      <c r="L3468">
        <v>891.97174273233702</v>
      </c>
      <c r="M3468">
        <v>18.866190474059401</v>
      </c>
      <c r="N3468">
        <v>47.5539090330644</v>
      </c>
      <c r="O3468">
        <v>46.757266568240397</v>
      </c>
      <c r="P3468">
        <v>-9.5662734432213695E-2</v>
      </c>
      <c r="Q3468">
        <v>5.1690983379538702E-2</v>
      </c>
      <c r="R3468">
        <v>0.99597290416711504</v>
      </c>
      <c r="S3468" t="s">
        <v>7097</v>
      </c>
      <c r="T3468" t="s">
        <v>7256</v>
      </c>
      <c r="U3468" t="s">
        <v>7256</v>
      </c>
      <c r="V3468" t="s">
        <v>7256</v>
      </c>
      <c r="W3468">
        <v>1</v>
      </c>
      <c r="X3468" t="s">
        <v>10724</v>
      </c>
      <c r="Y3468">
        <v>0.29738095492077199</v>
      </c>
      <c r="Z3468" t="str">
        <f>HYPERLINK("Melting_Curves/meltCurve_tr_H3BQV3_H3BQV3_HUMAN_.pdf", "Melting_Curves/meltCurve_tr_H3BQV3_H3BQV3_HUMAN_.pdf")</f>
        <v>Melting_Curves/meltCurve_tr_H3BQV3_H3BQV3_HUMAN_.pdf</v>
      </c>
      <c r="AA3468" t="s">
        <v>14282</v>
      </c>
      <c r="AB3468" t="s">
        <v>17873</v>
      </c>
    </row>
    <row r="3469" spans="1:28" x14ac:dyDescent="0.25">
      <c r="A3469" t="s">
        <v>3473</v>
      </c>
      <c r="B3469">
        <v>0.98018197421672304</v>
      </c>
      <c r="C3469">
        <v>0.97022354046604098</v>
      </c>
      <c r="D3469">
        <v>0.86797046339894501</v>
      </c>
      <c r="E3469">
        <v>0.58525410573554804</v>
      </c>
      <c r="F3469">
        <v>0.31249695379339898</v>
      </c>
      <c r="G3469">
        <v>0.16980748705415299</v>
      </c>
      <c r="H3469">
        <v>9.6709920198123203E-2</v>
      </c>
      <c r="I3469">
        <v>7.6096923272397005E-2</v>
      </c>
      <c r="J3469">
        <v>9.9102000305355598E-2</v>
      </c>
      <c r="K3469">
        <v>5.6874524807279697E-2</v>
      </c>
      <c r="L3469">
        <v>976.94786226692895</v>
      </c>
      <c r="M3469">
        <v>19.377652259138699</v>
      </c>
      <c r="N3469">
        <v>50.803114077655003</v>
      </c>
      <c r="O3469">
        <v>49.888491908850902</v>
      </c>
      <c r="P3469">
        <v>-9.0446702661917899E-2</v>
      </c>
      <c r="Q3469">
        <v>6.8600646578168195E-2</v>
      </c>
      <c r="R3469">
        <v>0.99878508635594099</v>
      </c>
      <c r="S3469" t="s">
        <v>7098</v>
      </c>
      <c r="T3469" t="s">
        <v>7256</v>
      </c>
      <c r="U3469" t="s">
        <v>7256</v>
      </c>
      <c r="V3469" t="s">
        <v>7256</v>
      </c>
      <c r="W3469">
        <v>8</v>
      </c>
      <c r="X3469" t="s">
        <v>10725</v>
      </c>
      <c r="Y3469">
        <v>0.40574356865627448</v>
      </c>
      <c r="Z3469" t="str">
        <f>HYPERLINK("Melting_Curves/meltCurve_tr_H3BQZ7_H3BQZ7_HUMAN_.pdf", "Melting_Curves/meltCurve_tr_H3BQZ7_H3BQZ7_HUMAN_.pdf")</f>
        <v>Melting_Curves/meltCurve_tr_H3BQZ7_H3BQZ7_HUMAN_.pdf</v>
      </c>
      <c r="AA3469" t="s">
        <v>14283</v>
      </c>
      <c r="AB3469" t="s">
        <v>17874</v>
      </c>
    </row>
    <row r="3470" spans="1:28" x14ac:dyDescent="0.25">
      <c r="A3470" t="s">
        <v>3474</v>
      </c>
      <c r="B3470">
        <v>0.98018197421672304</v>
      </c>
      <c r="C3470">
        <v>0.94099095752375295</v>
      </c>
      <c r="D3470">
        <v>0.91992542141009503</v>
      </c>
      <c r="E3470">
        <v>0.83604270084193</v>
      </c>
      <c r="F3470">
        <v>0.80353441375304102</v>
      </c>
      <c r="G3470">
        <v>0.59536632774956399</v>
      </c>
      <c r="H3470">
        <v>0.58458155074289897</v>
      </c>
      <c r="I3470">
        <v>0.61471317833775696</v>
      </c>
      <c r="J3470">
        <v>0.82470218412479901</v>
      </c>
      <c r="K3470">
        <v>0.68105921791842505</v>
      </c>
      <c r="L3470">
        <v>915.88253305124397</v>
      </c>
      <c r="M3470">
        <v>18.423177459470701</v>
      </c>
      <c r="O3470">
        <v>49.138979645000198</v>
      </c>
      <c r="P3470">
        <v>-3.17160377849608E-2</v>
      </c>
      <c r="Q3470">
        <v>0.66163847970254697</v>
      </c>
      <c r="R3470">
        <v>0.74228694202261203</v>
      </c>
      <c r="S3470" t="s">
        <v>7099</v>
      </c>
      <c r="T3470" t="s">
        <v>7256</v>
      </c>
      <c r="U3470" t="s">
        <v>7256</v>
      </c>
      <c r="V3470" t="s">
        <v>7256</v>
      </c>
      <c r="W3470">
        <v>9</v>
      </c>
      <c r="X3470" t="s">
        <v>10726</v>
      </c>
      <c r="Y3470">
        <v>0.77673395087027353</v>
      </c>
      <c r="Z3470" t="str">
        <f>HYPERLINK("Melting_Curves/meltCurve_tr_H3BRF9_H3BRF9_HUMAN_.pdf", "Melting_Curves/meltCurve_tr_H3BRF9_H3BRF9_HUMAN_.pdf")</f>
        <v>Melting_Curves/meltCurve_tr_H3BRF9_H3BRF9_HUMAN_.pdf</v>
      </c>
      <c r="AA3470" t="s">
        <v>14284</v>
      </c>
      <c r="AB3470" t="s">
        <v>17875</v>
      </c>
    </row>
    <row r="3471" spans="1:28" x14ac:dyDescent="0.25">
      <c r="A3471" t="s">
        <v>3475</v>
      </c>
      <c r="B3471">
        <v>0.98018197421672304</v>
      </c>
      <c r="C3471">
        <v>0.92895052024075997</v>
      </c>
      <c r="D3471">
        <v>0.87241375762228801</v>
      </c>
      <c r="E3471">
        <v>0.78559280843346502</v>
      </c>
      <c r="F3471">
        <v>0.76951092443081304</v>
      </c>
      <c r="G3471">
        <v>0.50691646155887304</v>
      </c>
      <c r="H3471">
        <v>0.249415248543889</v>
      </c>
      <c r="I3471">
        <v>0.143330547585895</v>
      </c>
      <c r="J3471">
        <v>0.109796269529922</v>
      </c>
      <c r="K3471">
        <v>0.10133344862831099</v>
      </c>
      <c r="L3471">
        <v>711.30150210926001</v>
      </c>
      <c r="M3471">
        <v>12.5938342240061</v>
      </c>
      <c r="N3471">
        <v>56.480138398214997</v>
      </c>
      <c r="O3471">
        <v>55.112828366793501</v>
      </c>
      <c r="P3471">
        <v>-5.7138925598118701E-2</v>
      </c>
      <c r="Q3471">
        <v>0</v>
      </c>
      <c r="R3471">
        <v>0.98218556751945196</v>
      </c>
      <c r="S3471" t="s">
        <v>7100</v>
      </c>
      <c r="T3471" t="s">
        <v>7256</v>
      </c>
      <c r="U3471" t="s">
        <v>7256</v>
      </c>
      <c r="V3471" t="s">
        <v>7256</v>
      </c>
      <c r="W3471">
        <v>7</v>
      </c>
      <c r="X3471" t="s">
        <v>10727</v>
      </c>
      <c r="Y3471">
        <v>0.56784335732804048</v>
      </c>
      <c r="Z3471" t="str">
        <f>HYPERLINK("Melting_Curves/meltCurve_tr_H3BRL3_H3BRL3_HUMAN_.pdf", "Melting_Curves/meltCurve_tr_H3BRL3_H3BRL3_HUMAN_.pdf")</f>
        <v>Melting_Curves/meltCurve_tr_H3BRL3_H3BRL3_HUMAN_.pdf</v>
      </c>
      <c r="AA3471" t="s">
        <v>14285</v>
      </c>
      <c r="AB3471" t="s">
        <v>17876</v>
      </c>
    </row>
    <row r="3472" spans="1:28" x14ac:dyDescent="0.25">
      <c r="A3472" t="s">
        <v>3476</v>
      </c>
      <c r="B3472">
        <v>0.98018197421672304</v>
      </c>
      <c r="C3472">
        <v>0.94727919389441395</v>
      </c>
      <c r="D3472">
        <v>0.97868962241212398</v>
      </c>
      <c r="E3472">
        <v>0.81115702152788105</v>
      </c>
      <c r="F3472">
        <v>0.70927428605635001</v>
      </c>
      <c r="G3472">
        <v>0.53947121399128795</v>
      </c>
      <c r="H3472">
        <v>0.42133842840921498</v>
      </c>
      <c r="I3472">
        <v>0.39862155797068499</v>
      </c>
      <c r="J3472">
        <v>0.49878399166068299</v>
      </c>
      <c r="K3472">
        <v>0.42734031063698602</v>
      </c>
      <c r="L3472">
        <v>961.03193320659295</v>
      </c>
      <c r="M3472">
        <v>18.3075746936833</v>
      </c>
      <c r="N3472">
        <v>58.375671410734498</v>
      </c>
      <c r="O3472">
        <v>51.879394097233401</v>
      </c>
      <c r="P3472">
        <v>-5.1086068996927601E-2</v>
      </c>
      <c r="Q3472">
        <v>0.42096285820332902</v>
      </c>
      <c r="R3472">
        <v>0.97774331520478297</v>
      </c>
      <c r="S3472" t="s">
        <v>7101</v>
      </c>
      <c r="T3472" t="s">
        <v>7256</v>
      </c>
      <c r="U3472" t="s">
        <v>7256</v>
      </c>
      <c r="V3472" t="s">
        <v>7256</v>
      </c>
      <c r="W3472">
        <v>3</v>
      </c>
      <c r="X3472" t="s">
        <v>10728</v>
      </c>
      <c r="Y3472">
        <v>0.67140588531687906</v>
      </c>
      <c r="Z3472" t="str">
        <f>HYPERLINK("Melting_Curves/meltCurve_tr_H3BRQ0_H3BRQ0_HUMAN_.pdf", "Melting_Curves/meltCurve_tr_H3BRQ0_H3BRQ0_HUMAN_.pdf")</f>
        <v>Melting_Curves/meltCurve_tr_H3BRQ0_H3BRQ0_HUMAN_.pdf</v>
      </c>
      <c r="AA3472" t="s">
        <v>14286</v>
      </c>
      <c r="AB3472" t="s">
        <v>17877</v>
      </c>
    </row>
    <row r="3473" spans="1:28" x14ac:dyDescent="0.25">
      <c r="A3473" t="s">
        <v>3477</v>
      </c>
      <c r="B3473">
        <v>0.98018197421672304</v>
      </c>
      <c r="C3473">
        <v>0.86705587451366795</v>
      </c>
      <c r="D3473">
        <v>0.90517733439028902</v>
      </c>
      <c r="E3473">
        <v>0.62311449455069201</v>
      </c>
      <c r="F3473">
        <v>0.430655271840724</v>
      </c>
      <c r="G3473">
        <v>0.354861542515851</v>
      </c>
      <c r="H3473">
        <v>0.183240529637232</v>
      </c>
      <c r="I3473">
        <v>9.2162944565550201E-2</v>
      </c>
      <c r="J3473">
        <v>0.101957904386478</v>
      </c>
      <c r="K3473">
        <v>5.0348698351602897E-2</v>
      </c>
      <c r="L3473">
        <v>582.69781589150205</v>
      </c>
      <c r="M3473">
        <v>11.074093561075999</v>
      </c>
      <c r="N3473">
        <v>52.618100697265703</v>
      </c>
      <c r="O3473">
        <v>50.9896844086947</v>
      </c>
      <c r="P3473">
        <v>-5.4313607451685099E-2</v>
      </c>
      <c r="Q3473">
        <v>0</v>
      </c>
      <c r="R3473">
        <v>0.98636895780987899</v>
      </c>
      <c r="S3473" t="s">
        <v>7102</v>
      </c>
      <c r="T3473" t="s">
        <v>7256</v>
      </c>
      <c r="U3473" t="s">
        <v>7256</v>
      </c>
      <c r="V3473" t="s">
        <v>7256</v>
      </c>
      <c r="W3473">
        <v>3</v>
      </c>
      <c r="X3473" t="s">
        <v>10729</v>
      </c>
      <c r="Y3473">
        <v>0.45270880845480171</v>
      </c>
      <c r="Z3473" t="str">
        <f>HYPERLINK("Melting_Curves/meltCurve_tr_H3BRT1_H3BRT1_HUMAN_.pdf", "Melting_Curves/meltCurve_tr_H3BRT1_H3BRT1_HUMAN_.pdf")</f>
        <v>Melting_Curves/meltCurve_tr_H3BRT1_H3BRT1_HUMAN_.pdf</v>
      </c>
      <c r="AA3473" t="s">
        <v>12153</v>
      </c>
      <c r="AB3473" t="s">
        <v>17878</v>
      </c>
    </row>
    <row r="3474" spans="1:28" x14ac:dyDescent="0.25">
      <c r="A3474" t="s">
        <v>3478</v>
      </c>
      <c r="B3474">
        <v>0.98018197421672304</v>
      </c>
      <c r="C3474">
        <v>0.92562835146576805</v>
      </c>
      <c r="D3474">
        <v>0.865894460252979</v>
      </c>
      <c r="E3474">
        <v>0.43175342986381998</v>
      </c>
      <c r="F3474">
        <v>0.26927601620560998</v>
      </c>
      <c r="G3474">
        <v>0.20530231497297</v>
      </c>
      <c r="H3474">
        <v>0.152025761281882</v>
      </c>
      <c r="I3474">
        <v>0.156534773600632</v>
      </c>
      <c r="J3474">
        <v>0.20172292819083101</v>
      </c>
      <c r="K3474">
        <v>0.20326536908473999</v>
      </c>
      <c r="L3474">
        <v>1266.64534679441</v>
      </c>
      <c r="M3474">
        <v>26.082406454450801</v>
      </c>
      <c r="N3474">
        <v>49.404624756273599</v>
      </c>
      <c r="O3474">
        <v>48.280432322348901</v>
      </c>
      <c r="P3474">
        <v>-0.110837599920726</v>
      </c>
      <c r="Q3474">
        <v>0.17933547383473999</v>
      </c>
      <c r="R3474">
        <v>0.99440040863131096</v>
      </c>
      <c r="S3474" t="s">
        <v>7103</v>
      </c>
      <c r="T3474" t="s">
        <v>7256</v>
      </c>
      <c r="U3474" t="s">
        <v>7256</v>
      </c>
      <c r="V3474" t="s">
        <v>7256</v>
      </c>
      <c r="W3474">
        <v>17</v>
      </c>
      <c r="X3474" t="s">
        <v>10730</v>
      </c>
      <c r="Y3474">
        <v>0.4202290325506064</v>
      </c>
      <c r="Z3474" t="str">
        <f>HYPERLINK("Melting_Curves/meltCurve_tr_H3BRV0_H3BRV0_HUMAN_.pdf", "Melting_Curves/meltCurve_tr_H3BRV0_H3BRV0_HUMAN_.pdf")</f>
        <v>Melting_Curves/meltCurve_tr_H3BRV0_H3BRV0_HUMAN_.pdf</v>
      </c>
      <c r="AA3474" t="s">
        <v>14287</v>
      </c>
      <c r="AB3474" t="s">
        <v>17879</v>
      </c>
    </row>
    <row r="3475" spans="1:28" x14ac:dyDescent="0.25">
      <c r="A3475" t="s">
        <v>3479</v>
      </c>
      <c r="B3475">
        <v>0.98018197421672304</v>
      </c>
      <c r="C3475">
        <v>0.97111905726481895</v>
      </c>
      <c r="D3475">
        <v>0.93202406170234997</v>
      </c>
      <c r="E3475">
        <v>0.82205907553895397</v>
      </c>
      <c r="F3475">
        <v>0.65646968192546795</v>
      </c>
      <c r="G3475">
        <v>0.26027206837732803</v>
      </c>
      <c r="H3475">
        <v>8.1113800502286199E-2</v>
      </c>
      <c r="I3475">
        <v>6.1368044743475798E-2</v>
      </c>
      <c r="J3475">
        <v>5.3631930121084602E-2</v>
      </c>
      <c r="K3475">
        <v>6.8378605097161704E-2</v>
      </c>
      <c r="L3475">
        <v>1151.7185230058501</v>
      </c>
      <c r="M3475">
        <v>21.3135353505225</v>
      </c>
      <c r="N3475">
        <v>54.211506317784597</v>
      </c>
      <c r="O3475">
        <v>53.568003415907803</v>
      </c>
      <c r="P3475">
        <v>-9.6173336551362995E-2</v>
      </c>
      <c r="Q3475">
        <v>3.31621321447911E-2</v>
      </c>
      <c r="R3475">
        <v>0.99520694998511205</v>
      </c>
      <c r="S3475" t="s">
        <v>7104</v>
      </c>
      <c r="T3475" t="s">
        <v>7256</v>
      </c>
      <c r="U3475" t="s">
        <v>7256</v>
      </c>
      <c r="V3475" t="s">
        <v>7256</v>
      </c>
      <c r="W3475">
        <v>10</v>
      </c>
      <c r="X3475" t="s">
        <v>10731</v>
      </c>
      <c r="Y3475">
        <v>0.4973749579511314</v>
      </c>
      <c r="Z3475" t="str">
        <f>HYPERLINK("Melting_Curves/meltCurve_tr_H3BS10_H3BS10_HUMAN_.pdf", "Melting_Curves/meltCurve_tr_H3BS10_H3BS10_HUMAN_.pdf")</f>
        <v>Melting_Curves/meltCurve_tr_H3BS10_H3BS10_HUMAN_.pdf</v>
      </c>
      <c r="AA3475" t="s">
        <v>14288</v>
      </c>
      <c r="AB3475" t="s">
        <v>17880</v>
      </c>
    </row>
    <row r="3476" spans="1:28" x14ac:dyDescent="0.25">
      <c r="A3476" t="s">
        <v>3480</v>
      </c>
      <c r="B3476">
        <v>0.98018197421672304</v>
      </c>
      <c r="C3476">
        <v>1.0869492546690001</v>
      </c>
      <c r="D3476">
        <v>0.94428085026980202</v>
      </c>
      <c r="E3476">
        <v>0.78754242723486501</v>
      </c>
      <c r="F3476">
        <v>0.57722154856186203</v>
      </c>
      <c r="G3476">
        <v>0.26320827978601202</v>
      </c>
      <c r="H3476">
        <v>0.14202066825691201</v>
      </c>
      <c r="I3476">
        <v>9.4415336882806594E-2</v>
      </c>
      <c r="J3476">
        <v>9.1287273434771901E-2</v>
      </c>
      <c r="K3476">
        <v>4.7607407067295701E-2</v>
      </c>
      <c r="L3476">
        <v>1027.1021738350701</v>
      </c>
      <c r="M3476">
        <v>19.2245038970539</v>
      </c>
      <c r="N3476">
        <v>53.758738792845797</v>
      </c>
      <c r="O3476">
        <v>52.858695911233902</v>
      </c>
      <c r="P3476">
        <v>-8.5837700976650902E-2</v>
      </c>
      <c r="Q3476">
        <v>5.5976383583785802E-2</v>
      </c>
      <c r="R3476">
        <v>0.99320872411762195</v>
      </c>
      <c r="S3476" t="s">
        <v>7105</v>
      </c>
      <c r="T3476" t="s">
        <v>7256</v>
      </c>
      <c r="U3476" t="s">
        <v>7256</v>
      </c>
      <c r="V3476" t="s">
        <v>7256</v>
      </c>
      <c r="W3476">
        <v>1</v>
      </c>
      <c r="X3476" t="s">
        <v>10732</v>
      </c>
      <c r="Y3476">
        <v>0.49228049805315421</v>
      </c>
      <c r="Z3476" t="str">
        <f>HYPERLINK("Melting_Curves/meltCurve_tr_H3BSW0_H3BSW0_HUMAN_.pdf", "Melting_Curves/meltCurve_tr_H3BSW0_H3BSW0_HUMAN_.pdf")</f>
        <v>Melting_Curves/meltCurve_tr_H3BSW0_H3BSW0_HUMAN_.pdf</v>
      </c>
      <c r="AA3476" t="s">
        <v>14289</v>
      </c>
      <c r="AB3476" t="s">
        <v>17881</v>
      </c>
    </row>
    <row r="3477" spans="1:28" x14ac:dyDescent="0.25">
      <c r="A3477" t="s">
        <v>3481</v>
      </c>
      <c r="B3477">
        <v>0.98018197421672304</v>
      </c>
      <c r="C3477">
        <v>0.87075925627862305</v>
      </c>
      <c r="D3477">
        <v>0.75492129104846495</v>
      </c>
      <c r="E3477">
        <v>0.29673545724095601</v>
      </c>
      <c r="F3477">
        <v>0.170328723430691</v>
      </c>
      <c r="G3477">
        <v>0.117271250930294</v>
      </c>
      <c r="H3477">
        <v>9.17263944056632E-2</v>
      </c>
      <c r="I3477">
        <v>7.4962359202107406E-2</v>
      </c>
      <c r="J3477">
        <v>0.105020014296095</v>
      </c>
      <c r="K3477">
        <v>6.7073261239788906E-2</v>
      </c>
      <c r="L3477">
        <v>1058.6996944852399</v>
      </c>
      <c r="M3477">
        <v>22.218064839118799</v>
      </c>
      <c r="N3477">
        <v>48.037708348736899</v>
      </c>
      <c r="O3477">
        <v>47.269434209259302</v>
      </c>
      <c r="P3477">
        <v>-0.107873892566986</v>
      </c>
      <c r="Q3477">
        <v>8.2003369396503198E-2</v>
      </c>
      <c r="R3477">
        <v>0.99463862661258995</v>
      </c>
      <c r="S3477" t="s">
        <v>7106</v>
      </c>
      <c r="T3477" t="s">
        <v>7256</v>
      </c>
      <c r="U3477" t="s">
        <v>7256</v>
      </c>
      <c r="V3477" t="s">
        <v>7256</v>
      </c>
      <c r="W3477">
        <v>5</v>
      </c>
      <c r="X3477" t="s">
        <v>10733</v>
      </c>
      <c r="Y3477">
        <v>0.32658703802397809</v>
      </c>
      <c r="Z3477" t="str">
        <f>HYPERLINK("Melting_Curves/meltCurve_tr_H3BTB7_H3BTB7_HUMAN_.pdf", "Melting_Curves/meltCurve_tr_H3BTB7_H3BTB7_HUMAN_.pdf")</f>
        <v>Melting_Curves/meltCurve_tr_H3BTB7_H3BTB7_HUMAN_.pdf</v>
      </c>
      <c r="AA3477" t="s">
        <v>14290</v>
      </c>
      <c r="AB3477" t="s">
        <v>17882</v>
      </c>
    </row>
    <row r="3478" spans="1:28" x14ac:dyDescent="0.25">
      <c r="A3478" t="s">
        <v>3482</v>
      </c>
      <c r="B3478">
        <v>0.98018197421672304</v>
      </c>
      <c r="C3478">
        <v>0.88930663607738802</v>
      </c>
      <c r="D3478">
        <v>0.77006517346024805</v>
      </c>
      <c r="E3478">
        <v>0.51258143903063702</v>
      </c>
      <c r="F3478">
        <v>0.28769928229532998</v>
      </c>
      <c r="G3478">
        <v>0.149175367748869</v>
      </c>
      <c r="H3478">
        <v>6.49972076869723E-2</v>
      </c>
      <c r="I3478">
        <v>5.0771785870890901E-2</v>
      </c>
      <c r="J3478">
        <v>3.6281052138480999E-2</v>
      </c>
      <c r="K3478">
        <v>2.30401180082077E-2</v>
      </c>
      <c r="L3478">
        <v>711.27447599612196</v>
      </c>
      <c r="M3478">
        <v>14.2662016337613</v>
      </c>
      <c r="N3478">
        <v>49.897454338126998</v>
      </c>
      <c r="O3478">
        <v>48.908367020301903</v>
      </c>
      <c r="P3478">
        <v>-7.2515945261137804E-2</v>
      </c>
      <c r="Q3478">
        <v>5.7057680311331698E-3</v>
      </c>
      <c r="R3478">
        <v>0.99897981061867303</v>
      </c>
      <c r="S3478" t="s">
        <v>7107</v>
      </c>
      <c r="T3478" t="s">
        <v>7256</v>
      </c>
      <c r="U3478" t="s">
        <v>7256</v>
      </c>
      <c r="V3478" t="s">
        <v>7256</v>
      </c>
      <c r="W3478">
        <v>3</v>
      </c>
      <c r="X3478" t="s">
        <v>10734</v>
      </c>
      <c r="Y3478">
        <v>0.35843526865264758</v>
      </c>
      <c r="Z3478" t="str">
        <f>HYPERLINK("Melting_Curves/meltCurve_tr_H3BTL2_H3BTL2_HUMAN_.pdf", "Melting_Curves/meltCurve_tr_H3BTL2_H3BTL2_HUMAN_.pdf")</f>
        <v>Melting_Curves/meltCurve_tr_H3BTL2_H3BTL2_HUMAN_.pdf</v>
      </c>
      <c r="AA3478" t="s">
        <v>14291</v>
      </c>
      <c r="AB3478" t="s">
        <v>17883</v>
      </c>
    </row>
    <row r="3479" spans="1:28" x14ac:dyDescent="0.25">
      <c r="A3479" t="s">
        <v>3483</v>
      </c>
      <c r="B3479">
        <v>0.98018197421672304</v>
      </c>
      <c r="C3479">
        <v>0.946117644372518</v>
      </c>
      <c r="D3479">
        <v>0.89459709828303802</v>
      </c>
      <c r="E3479">
        <v>0.59373594991064904</v>
      </c>
      <c r="F3479">
        <v>0.49471351943414799</v>
      </c>
      <c r="G3479">
        <v>0.30853424749470298</v>
      </c>
      <c r="H3479">
        <v>0.24467730474287999</v>
      </c>
      <c r="I3479">
        <v>0.28395690824254799</v>
      </c>
      <c r="J3479">
        <v>0.55755791302006696</v>
      </c>
      <c r="K3479">
        <v>0.39860635236803599</v>
      </c>
      <c r="L3479">
        <v>1185.04537162576</v>
      </c>
      <c r="M3479">
        <v>24.198878958548399</v>
      </c>
      <c r="N3479">
        <v>51.696586362260902</v>
      </c>
      <c r="O3479">
        <v>48.640334395613003</v>
      </c>
      <c r="P3479">
        <v>-7.9553109928651805E-2</v>
      </c>
      <c r="Q3479">
        <v>0.36039505447615799</v>
      </c>
      <c r="R3479">
        <v>0.90139264402407804</v>
      </c>
      <c r="S3479" t="s">
        <v>7108</v>
      </c>
      <c r="T3479" t="s">
        <v>7256</v>
      </c>
      <c r="U3479" t="s">
        <v>7256</v>
      </c>
      <c r="V3479" t="s">
        <v>7256</v>
      </c>
      <c r="W3479">
        <v>2</v>
      </c>
      <c r="X3479" t="s">
        <v>10735</v>
      </c>
      <c r="Y3479">
        <v>0.55772052038523345</v>
      </c>
      <c r="Z3479" t="str">
        <f>HYPERLINK("Melting_Curves/meltCurve_tr_H3BTP7_H3BTP7_HUMAN_.pdf", "Melting_Curves/meltCurve_tr_H3BTP7_H3BTP7_HUMAN_.pdf")</f>
        <v>Melting_Curves/meltCurve_tr_H3BTP7_H3BTP7_HUMAN_.pdf</v>
      </c>
      <c r="AA3479" t="s">
        <v>14292</v>
      </c>
      <c r="AB3479" t="s">
        <v>17884</v>
      </c>
    </row>
    <row r="3480" spans="1:28" x14ac:dyDescent="0.25">
      <c r="A3480" t="s">
        <v>3484</v>
      </c>
      <c r="B3480">
        <v>0.98018197421672304</v>
      </c>
      <c r="C3480">
        <v>1.1884488479886901</v>
      </c>
      <c r="D3480">
        <v>0.983513639419344</v>
      </c>
      <c r="E3480">
        <v>0.86666727059076498</v>
      </c>
      <c r="F3480">
        <v>0.85493874287367999</v>
      </c>
      <c r="G3480">
        <v>0.57001671942181398</v>
      </c>
      <c r="H3480">
        <v>0.15834072050367301</v>
      </c>
      <c r="I3480">
        <v>9.9582769256254505E-2</v>
      </c>
      <c r="J3480">
        <v>0.17447216627825399</v>
      </c>
      <c r="K3480">
        <v>0.12691530549824301</v>
      </c>
      <c r="L3480">
        <v>1451.66196565514</v>
      </c>
      <c r="M3480">
        <v>25.626619904011701</v>
      </c>
      <c r="N3480">
        <v>57.145918083633298</v>
      </c>
      <c r="O3480">
        <v>56.3050673533603</v>
      </c>
      <c r="P3480">
        <v>-0.10237320900889101</v>
      </c>
      <c r="Q3480">
        <v>0.100300963953749</v>
      </c>
      <c r="R3480">
        <v>0.96273944885192098</v>
      </c>
      <c r="S3480" t="s">
        <v>7109</v>
      </c>
      <c r="T3480" t="s">
        <v>7256</v>
      </c>
      <c r="U3480" t="s">
        <v>7256</v>
      </c>
      <c r="V3480" t="s">
        <v>7256</v>
      </c>
      <c r="W3480">
        <v>1</v>
      </c>
      <c r="X3480" t="s">
        <v>10736</v>
      </c>
      <c r="Y3480">
        <v>0.60738631378189578</v>
      </c>
      <c r="Z3480" t="str">
        <f>HYPERLINK("Melting_Curves/meltCurve_tr_H3BU49_H3BU49_HUMAN_.pdf", "Melting_Curves/meltCurve_tr_H3BU49_H3BU49_HUMAN_.pdf")</f>
        <v>Melting_Curves/meltCurve_tr_H3BU49_H3BU49_HUMAN_.pdf</v>
      </c>
      <c r="AA3480" t="s">
        <v>14293</v>
      </c>
      <c r="AB3480" t="s">
        <v>17885</v>
      </c>
    </row>
    <row r="3481" spans="1:28" x14ac:dyDescent="0.25">
      <c r="A3481" t="s">
        <v>3485</v>
      </c>
      <c r="B3481">
        <v>0.98018197421672304</v>
      </c>
      <c r="C3481">
        <v>0.98225121414761096</v>
      </c>
      <c r="D3481">
        <v>0.86876062717274305</v>
      </c>
      <c r="E3481">
        <v>0.60563835234588204</v>
      </c>
      <c r="F3481">
        <v>0.28376046833149698</v>
      </c>
      <c r="G3481">
        <v>0.167685161347052</v>
      </c>
      <c r="H3481">
        <v>9.6823517899667005E-2</v>
      </c>
      <c r="I3481">
        <v>8.1116933327988597E-2</v>
      </c>
      <c r="J3481">
        <v>0.101962390155636</v>
      </c>
      <c r="K3481">
        <v>6.7954037234826306E-2</v>
      </c>
      <c r="L3481">
        <v>1071.7315390517099</v>
      </c>
      <c r="M3481">
        <v>21.275378927471198</v>
      </c>
      <c r="N3481">
        <v>50.779593099216598</v>
      </c>
      <c r="O3481">
        <v>49.935552446025397</v>
      </c>
      <c r="P3481">
        <v>-9.8198694173282905E-2</v>
      </c>
      <c r="Q3481">
        <v>7.8092835812041905E-2</v>
      </c>
      <c r="R3481">
        <v>0.99734376059373098</v>
      </c>
      <c r="S3481" t="s">
        <v>7110</v>
      </c>
      <c r="T3481" t="s">
        <v>7256</v>
      </c>
      <c r="U3481" t="s">
        <v>7256</v>
      </c>
      <c r="V3481" t="s">
        <v>7256</v>
      </c>
      <c r="W3481">
        <v>3</v>
      </c>
      <c r="X3481" t="s">
        <v>10737</v>
      </c>
      <c r="Y3481">
        <v>0.40826963114333681</v>
      </c>
      <c r="Z3481" t="str">
        <f>HYPERLINK("Melting_Curves/meltCurve_tr_H3BUL2_H3BUL2_HUMAN_.pdf", "Melting_Curves/meltCurve_tr_H3BUL2_H3BUL2_HUMAN_.pdf")</f>
        <v>Melting_Curves/meltCurve_tr_H3BUL2_H3BUL2_HUMAN_.pdf</v>
      </c>
      <c r="AA3481" t="s">
        <v>14294</v>
      </c>
      <c r="AB3481" t="s">
        <v>17886</v>
      </c>
    </row>
    <row r="3482" spans="1:28" x14ac:dyDescent="0.25">
      <c r="A3482" t="s">
        <v>3486</v>
      </c>
      <c r="B3482">
        <v>0.98018197421672304</v>
      </c>
      <c r="C3482">
        <v>0.94327767830639897</v>
      </c>
      <c r="D3482">
        <v>0.888237287563163</v>
      </c>
      <c r="E3482">
        <v>0.742620131011273</v>
      </c>
      <c r="F3482">
        <v>0.54765194405149697</v>
      </c>
      <c r="G3482">
        <v>0.34626833219251002</v>
      </c>
      <c r="H3482">
        <v>0.37106931631969903</v>
      </c>
      <c r="I3482">
        <v>0.389191103173117</v>
      </c>
      <c r="J3482">
        <v>0.47565580710035599</v>
      </c>
      <c r="K3482">
        <v>0.57088679161641198</v>
      </c>
      <c r="L3482">
        <v>1237.8700103370199</v>
      </c>
      <c r="M3482">
        <v>24.814760236175001</v>
      </c>
      <c r="N3482">
        <v>54.143461222775002</v>
      </c>
      <c r="O3482">
        <v>49.563844796354097</v>
      </c>
      <c r="P3482">
        <v>-7.1470100505137898E-2</v>
      </c>
      <c r="Q3482">
        <v>0.42900373420988402</v>
      </c>
      <c r="R3482">
        <v>0.91492135073540004</v>
      </c>
      <c r="S3482" t="s">
        <v>7111</v>
      </c>
      <c r="T3482" t="s">
        <v>7256</v>
      </c>
      <c r="U3482" t="s">
        <v>7256</v>
      </c>
      <c r="V3482" t="s">
        <v>7256</v>
      </c>
      <c r="W3482">
        <v>2</v>
      </c>
      <c r="X3482" t="s">
        <v>10738</v>
      </c>
      <c r="Y3482">
        <v>0.62231054459421731</v>
      </c>
      <c r="Z3482" t="str">
        <f>HYPERLINK("Melting_Curves/meltCurve_tr_H7BXP5_H7BXP5_HUMAN_.pdf", "Melting_Curves/meltCurve_tr_H7BXP5_H7BXP5_HUMAN_.pdf")</f>
        <v>Melting_Curves/meltCurve_tr_H7BXP5_H7BXP5_HUMAN_.pdf</v>
      </c>
      <c r="AA3482" t="s">
        <v>14295</v>
      </c>
      <c r="AB3482" t="s">
        <v>17887</v>
      </c>
    </row>
    <row r="3483" spans="1:28" x14ac:dyDescent="0.25">
      <c r="A3483" t="s">
        <v>3487</v>
      </c>
      <c r="B3483">
        <v>0.98018197421672304</v>
      </c>
      <c r="C3483">
        <v>0.93545264667859696</v>
      </c>
      <c r="D3483">
        <v>0.86204385173653397</v>
      </c>
      <c r="E3483">
        <v>0.69326514450662702</v>
      </c>
      <c r="F3483">
        <v>0.50158543610949202</v>
      </c>
      <c r="G3483">
        <v>0.36451751817282801</v>
      </c>
      <c r="H3483">
        <v>0.42284431113994397</v>
      </c>
      <c r="I3483">
        <v>0.41727088246654598</v>
      </c>
      <c r="J3483">
        <v>0.65696655817573502</v>
      </c>
      <c r="K3483">
        <v>0.84047819296816495</v>
      </c>
      <c r="L3483">
        <v>1288.0569382308199</v>
      </c>
      <c r="M3483">
        <v>27.0475290642438</v>
      </c>
      <c r="O3483">
        <v>47.363948004140298</v>
      </c>
      <c r="P3483">
        <v>-6.6278755889779994E-2</v>
      </c>
      <c r="Q3483">
        <v>0.53575165943372605</v>
      </c>
      <c r="R3483">
        <v>0.63519015198234796</v>
      </c>
      <c r="S3483" t="s">
        <v>7112</v>
      </c>
      <c r="T3483" t="s">
        <v>7256</v>
      </c>
      <c r="U3483" t="s">
        <v>7256</v>
      </c>
      <c r="V3483" t="s">
        <v>7256</v>
      </c>
      <c r="W3483">
        <v>4</v>
      </c>
      <c r="X3483" t="s">
        <v>10739</v>
      </c>
      <c r="Y3483">
        <v>0.65717367307325769</v>
      </c>
      <c r="Z3483" t="str">
        <f>HYPERLINK("Melting_Curves/meltCurve_tr_H7BY36_H7BY36_HUMAN_.pdf", "Melting_Curves/meltCurve_tr_H7BY36_H7BY36_HUMAN_.pdf")</f>
        <v>Melting_Curves/meltCurve_tr_H7BY36_H7BY36_HUMAN_.pdf</v>
      </c>
      <c r="AA3483" t="s">
        <v>12196</v>
      </c>
      <c r="AB3483" t="s">
        <v>17888</v>
      </c>
    </row>
    <row r="3484" spans="1:28" x14ac:dyDescent="0.25">
      <c r="A3484" t="s">
        <v>3488</v>
      </c>
      <c r="B3484">
        <v>0.98018197421672304</v>
      </c>
      <c r="C3484">
        <v>0.83351022476650605</v>
      </c>
      <c r="D3484">
        <v>0.78804450297180895</v>
      </c>
      <c r="E3484">
        <v>0.516746176323157</v>
      </c>
      <c r="F3484">
        <v>0.25029528923925598</v>
      </c>
      <c r="G3484">
        <v>0.157382524888593</v>
      </c>
      <c r="H3484">
        <v>0.11792937895613501</v>
      </c>
      <c r="I3484">
        <v>5.89208345065797E-2</v>
      </c>
      <c r="J3484">
        <v>7.49097368239348E-2</v>
      </c>
      <c r="K3484">
        <v>5.2844276788912597E-2</v>
      </c>
      <c r="L3484">
        <v>718.89224873135902</v>
      </c>
      <c r="M3484">
        <v>14.551670637852499</v>
      </c>
      <c r="N3484">
        <v>49.690729252377302</v>
      </c>
      <c r="O3484">
        <v>48.497861053720499</v>
      </c>
      <c r="P3484">
        <v>-7.1986604130408596E-2</v>
      </c>
      <c r="Q3484">
        <v>4.0440281459261498E-2</v>
      </c>
      <c r="R3484">
        <v>0.99068165837746802</v>
      </c>
      <c r="S3484" t="s">
        <v>7113</v>
      </c>
      <c r="T3484" t="s">
        <v>7256</v>
      </c>
      <c r="U3484" t="s">
        <v>7256</v>
      </c>
      <c r="V3484" t="s">
        <v>7256</v>
      </c>
      <c r="W3484">
        <v>1</v>
      </c>
      <c r="X3484" t="s">
        <v>10740</v>
      </c>
      <c r="Y3484">
        <v>0.36586152600685878</v>
      </c>
      <c r="Z3484" t="str">
        <f>HYPERLINK("Melting_Curves/meltCurve_tr_H7BYG8_H7BYG8_HUMAN_.pdf", "Melting_Curves/meltCurve_tr_H7BYG8_H7BYG8_HUMAN_.pdf")</f>
        <v>Melting_Curves/meltCurve_tr_H7BYG8_H7BYG8_HUMAN_.pdf</v>
      </c>
      <c r="AA3484" t="s">
        <v>14296</v>
      </c>
      <c r="AB3484" t="s">
        <v>17889</v>
      </c>
    </row>
    <row r="3485" spans="1:28" x14ac:dyDescent="0.25">
      <c r="A3485" t="s">
        <v>3489</v>
      </c>
      <c r="B3485">
        <v>0.98018197421672304</v>
      </c>
      <c r="C3485">
        <v>0.91197205993433395</v>
      </c>
      <c r="D3485">
        <v>0.88974167292170503</v>
      </c>
      <c r="E3485">
        <v>0.72174600567436598</v>
      </c>
      <c r="F3485">
        <v>0.68284350094431201</v>
      </c>
      <c r="G3485">
        <v>0.52852516968268204</v>
      </c>
      <c r="H3485">
        <v>0.42128103913213</v>
      </c>
      <c r="I3485">
        <v>0.40034327731819602</v>
      </c>
      <c r="J3485">
        <v>0.52560109235294705</v>
      </c>
      <c r="K3485">
        <v>0.485102013250578</v>
      </c>
      <c r="L3485">
        <v>673.19173850457105</v>
      </c>
      <c r="M3485">
        <v>13.335505243934101</v>
      </c>
      <c r="N3485">
        <v>59.6277007633064</v>
      </c>
      <c r="O3485">
        <v>49.3865155651891</v>
      </c>
      <c r="P3485">
        <v>-3.8123388513140698E-2</v>
      </c>
      <c r="Q3485">
        <v>0.43534799487503301</v>
      </c>
      <c r="R3485">
        <v>0.95262776439784802</v>
      </c>
      <c r="S3485" t="s">
        <v>7114</v>
      </c>
      <c r="T3485" t="s">
        <v>7256</v>
      </c>
      <c r="U3485" t="s">
        <v>7256</v>
      </c>
      <c r="V3485" t="s">
        <v>7256</v>
      </c>
      <c r="W3485">
        <v>25</v>
      </c>
      <c r="X3485" t="s">
        <v>10741</v>
      </c>
      <c r="Y3485">
        <v>0.64874597510613485</v>
      </c>
      <c r="Z3485" t="str">
        <f>HYPERLINK("Melting_Curves/meltCurve_tr_H7BYY1_H7BYY1_HUMAN_.pdf", "Melting_Curves/meltCurve_tr_H7BYY1_H7BYY1_HUMAN_.pdf")</f>
        <v>Melting_Curves/meltCurve_tr_H7BYY1_H7BYY1_HUMAN_.pdf</v>
      </c>
      <c r="AA3485" t="s">
        <v>11393</v>
      </c>
      <c r="AB3485" t="s">
        <v>17890</v>
      </c>
    </row>
    <row r="3486" spans="1:28" x14ac:dyDescent="0.25">
      <c r="A3486" t="s">
        <v>3490</v>
      </c>
      <c r="B3486">
        <v>0.98018197421672304</v>
      </c>
      <c r="C3486">
        <v>0.83873318877381697</v>
      </c>
      <c r="D3486">
        <v>0.82866344042792495</v>
      </c>
      <c r="E3486">
        <v>0.82255910741917704</v>
      </c>
      <c r="F3486">
        <v>0.77278127020377496</v>
      </c>
      <c r="G3486">
        <v>0.56888654149993101</v>
      </c>
      <c r="H3486">
        <v>0.70829771473230596</v>
      </c>
      <c r="I3486">
        <v>0.70559807458797896</v>
      </c>
      <c r="J3486">
        <v>0.46917919400985603</v>
      </c>
      <c r="K3486">
        <v>4.9470487412791898E-2</v>
      </c>
      <c r="L3486">
        <v>376.22416124456402</v>
      </c>
      <c r="M3486">
        <v>5.9359639942598097</v>
      </c>
      <c r="N3486">
        <v>63.380458890312902</v>
      </c>
      <c r="O3486">
        <v>57.3057514412736</v>
      </c>
      <c r="P3486">
        <v>-2.5983153186501198E-2</v>
      </c>
      <c r="Q3486">
        <v>0</v>
      </c>
      <c r="R3486">
        <v>0.68256318569123398</v>
      </c>
      <c r="S3486" t="s">
        <v>7115</v>
      </c>
      <c r="T3486" t="s">
        <v>7256</v>
      </c>
      <c r="U3486" t="s">
        <v>7256</v>
      </c>
      <c r="V3486" t="s">
        <v>7256</v>
      </c>
      <c r="W3486">
        <v>2</v>
      </c>
      <c r="X3486" t="s">
        <v>10742</v>
      </c>
      <c r="Y3486">
        <v>0.69632717766991159</v>
      </c>
      <c r="Z3486" t="str">
        <f>HYPERLINK("Melting_Curves/meltCurve_tr_H7BZ00_H7BZ00_HUMAN_.pdf", "Melting_Curves/meltCurve_tr_H7BZ00_H7BZ00_HUMAN_.pdf")</f>
        <v>Melting_Curves/meltCurve_tr_H7BZ00_H7BZ00_HUMAN_.pdf</v>
      </c>
      <c r="AA3486" t="s">
        <v>14297</v>
      </c>
      <c r="AB3486" t="s">
        <v>17891</v>
      </c>
    </row>
    <row r="3487" spans="1:28" x14ac:dyDescent="0.25">
      <c r="A3487" t="s">
        <v>3491</v>
      </c>
      <c r="B3487">
        <v>0.98018197421672304</v>
      </c>
      <c r="C3487">
        <v>1.2347270237341801</v>
      </c>
      <c r="D3487">
        <v>1.0029267029896101</v>
      </c>
      <c r="E3487">
        <v>0.76038446510666802</v>
      </c>
      <c r="F3487">
        <v>0.67510395188960104</v>
      </c>
      <c r="G3487">
        <v>0.747129563781327</v>
      </c>
      <c r="H3487">
        <v>0.43381154973760999</v>
      </c>
      <c r="I3487">
        <v>0.43265195885871899</v>
      </c>
      <c r="J3487">
        <v>0.67846197207035397</v>
      </c>
      <c r="K3487">
        <v>0.41300982347492698</v>
      </c>
      <c r="L3487">
        <v>936.02580733312004</v>
      </c>
      <c r="M3487">
        <v>17.997100240841199</v>
      </c>
      <c r="O3487">
        <v>51.380400073121301</v>
      </c>
      <c r="P3487">
        <v>-4.3773968653934098E-2</v>
      </c>
      <c r="Q3487">
        <v>0.50013858089428298</v>
      </c>
      <c r="R3487">
        <v>0.77809191642297204</v>
      </c>
      <c r="S3487" t="s">
        <v>7116</v>
      </c>
      <c r="T3487" t="s">
        <v>7256</v>
      </c>
      <c r="U3487" t="s">
        <v>7256</v>
      </c>
      <c r="V3487" t="s">
        <v>7256</v>
      </c>
      <c r="W3487">
        <v>1</v>
      </c>
      <c r="X3487" t="s">
        <v>10743</v>
      </c>
      <c r="Y3487">
        <v>0.70856593255907852</v>
      </c>
      <c r="Z3487" t="str">
        <f>HYPERLINK("Melting_Curves/meltCurve_tr_H7BZL0_H7BZL0_HUMAN_.pdf", "Melting_Curves/meltCurve_tr_H7BZL0_H7BZL0_HUMAN_.pdf")</f>
        <v>Melting_Curves/meltCurve_tr_H7BZL0_H7BZL0_HUMAN_.pdf</v>
      </c>
      <c r="AA3487" t="s">
        <v>14298</v>
      </c>
      <c r="AB3487" t="s">
        <v>17892</v>
      </c>
    </row>
    <row r="3488" spans="1:28" x14ac:dyDescent="0.25">
      <c r="A3488" t="s">
        <v>3492</v>
      </c>
      <c r="B3488">
        <v>0.98018197421672304</v>
      </c>
      <c r="C3488">
        <v>0.83407715859334997</v>
      </c>
      <c r="D3488">
        <v>0.81589399550720798</v>
      </c>
      <c r="E3488">
        <v>0.38223462483081</v>
      </c>
      <c r="F3488">
        <v>0.17298079007594799</v>
      </c>
      <c r="G3488">
        <v>0.21254518018597099</v>
      </c>
      <c r="H3488">
        <v>0.174345640849734</v>
      </c>
      <c r="I3488">
        <v>0.132562397148584</v>
      </c>
      <c r="J3488">
        <v>0.63391073393813102</v>
      </c>
      <c r="K3488">
        <v>7.9243320563835401E-2</v>
      </c>
      <c r="L3488">
        <v>1383.2394711883501</v>
      </c>
      <c r="M3488">
        <v>29.1730643668804</v>
      </c>
      <c r="N3488">
        <v>48.441971919842899</v>
      </c>
      <c r="O3488">
        <v>47.193833687106199</v>
      </c>
      <c r="P3488">
        <v>-0.11889919256399401</v>
      </c>
      <c r="Q3488">
        <v>0.23062345674554099</v>
      </c>
      <c r="R3488">
        <v>0.78359963599714499</v>
      </c>
      <c r="S3488" t="s">
        <v>7117</v>
      </c>
      <c r="T3488" t="s">
        <v>7256</v>
      </c>
      <c r="U3488" t="s">
        <v>7256</v>
      </c>
      <c r="V3488" t="s">
        <v>7256</v>
      </c>
      <c r="W3488">
        <v>1</v>
      </c>
      <c r="X3488" t="s">
        <v>10744</v>
      </c>
      <c r="Y3488">
        <v>0.42568357376091009</v>
      </c>
      <c r="Z3488" t="str">
        <f>HYPERLINK("Melting_Curves/meltCurve_tr_H7C0C0_H7C0C0_HUMAN_.pdf", "Melting_Curves/meltCurve_tr_H7C0C0_H7C0C0_HUMAN_.pdf")</f>
        <v>Melting_Curves/meltCurve_tr_H7C0C0_H7C0C0_HUMAN_.pdf</v>
      </c>
      <c r="AA3488" t="s">
        <v>14299</v>
      </c>
      <c r="AB3488" t="s">
        <v>17893</v>
      </c>
    </row>
    <row r="3489" spans="1:28" x14ac:dyDescent="0.25">
      <c r="A3489" t="s">
        <v>3493</v>
      </c>
      <c r="B3489">
        <v>0.98018197421672304</v>
      </c>
      <c r="C3489">
        <v>0.94862241173664097</v>
      </c>
      <c r="D3489">
        <v>0.84564680840272499</v>
      </c>
      <c r="E3489">
        <v>0.71229490288573905</v>
      </c>
      <c r="F3489">
        <v>0.56116528527244003</v>
      </c>
      <c r="G3489">
        <v>0.37232916387961601</v>
      </c>
      <c r="H3489">
        <v>0.262715048036056</v>
      </c>
      <c r="I3489">
        <v>0.21725298760780201</v>
      </c>
      <c r="J3489">
        <v>0.266350961191754</v>
      </c>
      <c r="K3489">
        <v>0.22316462947476401</v>
      </c>
      <c r="L3489">
        <v>681.91696986094803</v>
      </c>
      <c r="M3489">
        <v>13.1214482098195</v>
      </c>
      <c r="N3489">
        <v>53.885476548470301</v>
      </c>
      <c r="O3489">
        <v>50.807016547848697</v>
      </c>
      <c r="P3489">
        <v>-5.25385290467019E-2</v>
      </c>
      <c r="Q3489">
        <v>0.18640956818517701</v>
      </c>
      <c r="R3489">
        <v>0.99428536797131795</v>
      </c>
      <c r="S3489" t="s">
        <v>7118</v>
      </c>
      <c r="T3489" t="s">
        <v>7256</v>
      </c>
      <c r="U3489" t="s">
        <v>7256</v>
      </c>
      <c r="V3489" t="s">
        <v>7256</v>
      </c>
      <c r="W3489">
        <v>5</v>
      </c>
      <c r="X3489" t="s">
        <v>10745</v>
      </c>
      <c r="Y3489">
        <v>0.53316056555313396</v>
      </c>
      <c r="Z3489" t="str">
        <f>HYPERLINK("Melting_Curves/meltCurve_tr_H7C0E5_H7C0E5_HUMAN_.pdf", "Melting_Curves/meltCurve_tr_H7C0E5_H7C0E5_HUMAN_.pdf")</f>
        <v>Melting_Curves/meltCurve_tr_H7C0E5_H7C0E5_HUMAN_.pdf</v>
      </c>
      <c r="AA3489" t="s">
        <v>14300</v>
      </c>
      <c r="AB3489" t="s">
        <v>17894</v>
      </c>
    </row>
    <row r="3490" spans="1:28" x14ac:dyDescent="0.25">
      <c r="A3490" t="s">
        <v>3494</v>
      </c>
      <c r="B3490">
        <v>0.98018197421672304</v>
      </c>
      <c r="C3490">
        <v>0.86948903870195404</v>
      </c>
      <c r="D3490">
        <v>0.87573634840988102</v>
      </c>
      <c r="E3490">
        <v>0.85147386641692302</v>
      </c>
      <c r="F3490">
        <v>0.65049177713149398</v>
      </c>
      <c r="G3490">
        <v>0.31490879928158499</v>
      </c>
      <c r="H3490">
        <v>0.188918914166646</v>
      </c>
      <c r="I3490">
        <v>9.9226718906359507E-2</v>
      </c>
      <c r="J3490">
        <v>0.11923248346029899</v>
      </c>
      <c r="K3490">
        <v>0.16913574066112999</v>
      </c>
      <c r="L3490">
        <v>1015.30969392522</v>
      </c>
      <c r="M3490">
        <v>18.844507775728999</v>
      </c>
      <c r="N3490">
        <v>54.537164161829203</v>
      </c>
      <c r="O3490">
        <v>53.282552448434998</v>
      </c>
      <c r="P3490">
        <v>-7.9419681680879498E-2</v>
      </c>
      <c r="Q3490">
        <v>0.10180533814469001</v>
      </c>
      <c r="R3490">
        <v>0.974355441266188</v>
      </c>
      <c r="S3490" t="s">
        <v>7119</v>
      </c>
      <c r="T3490" t="s">
        <v>7256</v>
      </c>
      <c r="U3490" t="s">
        <v>7256</v>
      </c>
      <c r="V3490" t="s">
        <v>7256</v>
      </c>
      <c r="W3490">
        <v>1</v>
      </c>
      <c r="X3490" t="s">
        <v>10746</v>
      </c>
      <c r="Y3490">
        <v>0.53076200081307434</v>
      </c>
      <c r="Z3490" t="str">
        <f>HYPERLINK("Melting_Curves/meltCurve_tr_H7C0I1_H7C0I1_HUMAN_.pdf", "Melting_Curves/meltCurve_tr_H7C0I1_H7C0I1_HUMAN_.pdf")</f>
        <v>Melting_Curves/meltCurve_tr_H7C0I1_H7C0I1_HUMAN_.pdf</v>
      </c>
      <c r="AA3490" t="s">
        <v>14301</v>
      </c>
      <c r="AB3490" t="s">
        <v>17895</v>
      </c>
    </row>
    <row r="3491" spans="1:28" x14ac:dyDescent="0.25">
      <c r="A3491" t="s">
        <v>3495</v>
      </c>
      <c r="B3491">
        <v>0.98018197421672304</v>
      </c>
      <c r="C3491">
        <v>0.93144094166634706</v>
      </c>
      <c r="D3491">
        <v>0.88653300238719202</v>
      </c>
      <c r="E3491">
        <v>0.56079523017812405</v>
      </c>
      <c r="F3491">
        <v>0.34174028406672802</v>
      </c>
      <c r="G3491">
        <v>0.25411866200107103</v>
      </c>
      <c r="H3491">
        <v>0.206958072079134</v>
      </c>
      <c r="I3491">
        <v>0.213724286708464</v>
      </c>
      <c r="J3491">
        <v>0.35528369693877399</v>
      </c>
      <c r="K3491">
        <v>0.31454486552523497</v>
      </c>
      <c r="L3491">
        <v>1280.3176626251</v>
      </c>
      <c r="M3491">
        <v>26.098201962169099</v>
      </c>
      <c r="N3491">
        <v>50.505471512027299</v>
      </c>
      <c r="O3491">
        <v>48.772382877452102</v>
      </c>
      <c r="P3491">
        <v>-9.8543749598741195E-2</v>
      </c>
      <c r="Q3491">
        <v>0.26337316159554103</v>
      </c>
      <c r="R3491">
        <v>0.97547143722845997</v>
      </c>
      <c r="S3491" t="s">
        <v>7120</v>
      </c>
      <c r="T3491" t="s">
        <v>7256</v>
      </c>
      <c r="U3491" t="s">
        <v>7256</v>
      </c>
      <c r="V3491" t="s">
        <v>7256</v>
      </c>
      <c r="W3491">
        <v>3</v>
      </c>
      <c r="X3491" t="s">
        <v>10747</v>
      </c>
      <c r="Y3491">
        <v>0.49175519556859631</v>
      </c>
      <c r="Z3491" t="str">
        <f>HYPERLINK("Melting_Curves/meltCurve_tr_H7C1U3_H7C1U3_HUMAN_.pdf", "Melting_Curves/meltCurve_tr_H7C1U3_H7C1U3_HUMAN_.pdf")</f>
        <v>Melting_Curves/meltCurve_tr_H7C1U3_H7C1U3_HUMAN_.pdf</v>
      </c>
      <c r="AA3491" t="s">
        <v>14302</v>
      </c>
      <c r="AB3491" t="s">
        <v>17896</v>
      </c>
    </row>
    <row r="3492" spans="1:28" x14ac:dyDescent="0.25">
      <c r="A3492" t="s">
        <v>3496</v>
      </c>
      <c r="B3492">
        <v>0.98018197421672304</v>
      </c>
      <c r="C3492">
        <v>0.85951316136241296</v>
      </c>
      <c r="D3492">
        <v>0.902377662662877</v>
      </c>
      <c r="E3492">
        <v>0.76920758541942702</v>
      </c>
      <c r="F3492">
        <v>0.66851307191470899</v>
      </c>
      <c r="G3492">
        <v>0.51793334123399803</v>
      </c>
      <c r="H3492">
        <v>0.32101438797444698</v>
      </c>
      <c r="I3492">
        <v>0.418750062525725</v>
      </c>
      <c r="J3492">
        <v>0.427576225709831</v>
      </c>
      <c r="K3492">
        <v>0.60692090847095403</v>
      </c>
      <c r="L3492">
        <v>774.78967810318795</v>
      </c>
      <c r="M3492">
        <v>15.288721982201899</v>
      </c>
      <c r="N3492">
        <v>58.337214187858599</v>
      </c>
      <c r="O3492">
        <v>49.833930799680203</v>
      </c>
      <c r="P3492">
        <v>-4.3504476776963702E-2</v>
      </c>
      <c r="Q3492">
        <v>0.43283791975408298</v>
      </c>
      <c r="R3492">
        <v>0.856556206175766</v>
      </c>
      <c r="S3492" t="s">
        <v>7121</v>
      </c>
      <c r="T3492" t="s">
        <v>7256</v>
      </c>
      <c r="U3492" t="s">
        <v>7256</v>
      </c>
      <c r="V3492" t="s">
        <v>7256</v>
      </c>
      <c r="W3492">
        <v>2</v>
      </c>
      <c r="X3492" t="s">
        <v>10748</v>
      </c>
      <c r="Y3492">
        <v>0.64751026071071982</v>
      </c>
      <c r="Z3492" t="str">
        <f>HYPERLINK("Melting_Curves/meltCurve_tr_H7C2B1_H7C2B1_HUMAN_.pdf", "Melting_Curves/meltCurve_tr_H7C2B1_H7C2B1_HUMAN_.pdf")</f>
        <v>Melting_Curves/meltCurve_tr_H7C2B1_H7C2B1_HUMAN_.pdf</v>
      </c>
      <c r="AA3492" t="s">
        <v>14303</v>
      </c>
      <c r="AB3492" t="s">
        <v>17897</v>
      </c>
    </row>
    <row r="3493" spans="1:28" x14ac:dyDescent="0.25">
      <c r="A3493" t="s">
        <v>3497</v>
      </c>
      <c r="B3493">
        <v>0.98018197421672304</v>
      </c>
      <c r="C3493">
        <v>0.898653755826334</v>
      </c>
      <c r="D3493">
        <v>0.91588853662737302</v>
      </c>
      <c r="E3493">
        <v>0.76624189533744802</v>
      </c>
      <c r="F3493">
        <v>0.57498625790571101</v>
      </c>
      <c r="G3493">
        <v>0.38214603355467702</v>
      </c>
      <c r="H3493">
        <v>0.41100256128875001</v>
      </c>
      <c r="I3493">
        <v>0.405191596499415</v>
      </c>
      <c r="J3493">
        <v>0.461871304937434</v>
      </c>
      <c r="K3493">
        <v>0.208782823779498</v>
      </c>
      <c r="L3493">
        <v>782.45896555155798</v>
      </c>
      <c r="M3493">
        <v>15.254878164363999</v>
      </c>
      <c r="N3493">
        <v>55.192024062854301</v>
      </c>
      <c r="O3493">
        <v>50.435181637976399</v>
      </c>
      <c r="P3493">
        <v>-5.0680008612312803E-2</v>
      </c>
      <c r="Q3493">
        <v>0.32983700671355998</v>
      </c>
      <c r="R3493">
        <v>0.93261177557172403</v>
      </c>
      <c r="S3493" t="s">
        <v>7122</v>
      </c>
      <c r="T3493" t="s">
        <v>7256</v>
      </c>
      <c r="U3493" t="s">
        <v>7256</v>
      </c>
      <c r="V3493" t="s">
        <v>7256</v>
      </c>
      <c r="W3493">
        <v>4</v>
      </c>
      <c r="X3493" t="s">
        <v>10749</v>
      </c>
      <c r="Y3493">
        <v>0.59702075108891939</v>
      </c>
      <c r="Z3493" t="str">
        <f>HYPERLINK("Melting_Curves/meltCurve_tr_H7C331_H7C331_HUMAN_.pdf", "Melting_Curves/meltCurve_tr_H7C331_H7C331_HUMAN_.pdf")</f>
        <v>Melting_Curves/meltCurve_tr_H7C331_H7C331_HUMAN_.pdf</v>
      </c>
      <c r="AA3493" t="s">
        <v>14304</v>
      </c>
      <c r="AB3493" t="s">
        <v>17898</v>
      </c>
    </row>
    <row r="3494" spans="1:28" x14ac:dyDescent="0.25">
      <c r="A3494" t="s">
        <v>3498</v>
      </c>
      <c r="B3494">
        <v>0.98018197421672304</v>
      </c>
      <c r="C3494">
        <v>1.09096887264634</v>
      </c>
      <c r="D3494">
        <v>0.94695522651679098</v>
      </c>
      <c r="E3494">
        <v>0.69293438177849198</v>
      </c>
      <c r="F3494">
        <v>0.308763021881864</v>
      </c>
      <c r="G3494">
        <v>0.116646657705004</v>
      </c>
      <c r="H3494">
        <v>5.4786188841040098E-2</v>
      </c>
      <c r="I3494">
        <v>3.7803979065714602E-2</v>
      </c>
      <c r="J3494">
        <v>3.07888787877501E-2</v>
      </c>
      <c r="K3494">
        <v>1.81794069468026E-2</v>
      </c>
      <c r="L3494">
        <v>1405.11366996946</v>
      </c>
      <c r="M3494">
        <v>27.369877836415501</v>
      </c>
      <c r="N3494">
        <v>51.471059420832297</v>
      </c>
      <c r="O3494">
        <v>51.0662689518823</v>
      </c>
      <c r="P3494">
        <v>-0.12941555181595199</v>
      </c>
      <c r="Q3494">
        <v>3.4163839298211998E-2</v>
      </c>
      <c r="R3494">
        <v>0.99405516799716798</v>
      </c>
      <c r="S3494" t="s">
        <v>7123</v>
      </c>
      <c r="T3494" t="s">
        <v>7256</v>
      </c>
      <c r="U3494" t="s">
        <v>7256</v>
      </c>
      <c r="V3494" t="s">
        <v>7256</v>
      </c>
      <c r="W3494">
        <v>2</v>
      </c>
      <c r="X3494" t="s">
        <v>10750</v>
      </c>
      <c r="Y3494">
        <v>0.4065125249532951</v>
      </c>
      <c r="Z3494" t="str">
        <f>HYPERLINK("Melting_Curves/meltCurve_tr_H7C3G7_H7C3G7_HUMAN_.pdf", "Melting_Curves/meltCurve_tr_H7C3G7_H7C3G7_HUMAN_.pdf")</f>
        <v>Melting_Curves/meltCurve_tr_H7C3G7_H7C3G7_HUMAN_.pdf</v>
      </c>
      <c r="AA3494" t="s">
        <v>14305</v>
      </c>
      <c r="AB3494" t="s">
        <v>17899</v>
      </c>
    </row>
    <row r="3495" spans="1:28" x14ac:dyDescent="0.25">
      <c r="A3495" t="s">
        <v>3499</v>
      </c>
      <c r="B3495">
        <v>0.98018197421672304</v>
      </c>
      <c r="C3495">
        <v>1.0187847065459701</v>
      </c>
      <c r="D3495">
        <v>0.88717071212252596</v>
      </c>
      <c r="E3495">
        <v>0.80800756978713095</v>
      </c>
      <c r="F3495">
        <v>0.64915340627301699</v>
      </c>
      <c r="G3495">
        <v>0.55353585188982202</v>
      </c>
      <c r="H3495">
        <v>0.302361099373888</v>
      </c>
      <c r="I3495">
        <v>0.20851779115612601</v>
      </c>
      <c r="J3495">
        <v>0.11790556794218</v>
      </c>
      <c r="K3495">
        <v>9.4556509590382198E-2</v>
      </c>
      <c r="L3495">
        <v>634.735305722612</v>
      </c>
      <c r="M3495">
        <v>11.208721433499701</v>
      </c>
      <c r="N3495">
        <v>56.628698849840298</v>
      </c>
      <c r="O3495">
        <v>54.915931889377497</v>
      </c>
      <c r="P3495">
        <v>-5.1042746524384397E-2</v>
      </c>
      <c r="Q3495">
        <v>0</v>
      </c>
      <c r="R3495">
        <v>0.99001169424688595</v>
      </c>
      <c r="S3495" t="s">
        <v>7124</v>
      </c>
      <c r="T3495" t="s">
        <v>7256</v>
      </c>
      <c r="U3495" t="s">
        <v>7256</v>
      </c>
      <c r="V3495" t="s">
        <v>7256</v>
      </c>
      <c r="W3495">
        <v>4</v>
      </c>
      <c r="X3495" t="s">
        <v>10751</v>
      </c>
      <c r="Y3495">
        <v>0.57256422557547182</v>
      </c>
      <c r="Z3495" t="str">
        <f>HYPERLINK("Melting_Curves/meltCurve_tr_H7C3P4_H7C3P4_HUMAN_.pdf", "Melting_Curves/meltCurve_tr_H7C3P4_H7C3P4_HUMAN_.pdf")</f>
        <v>Melting_Curves/meltCurve_tr_H7C3P4_H7C3P4_HUMAN_.pdf</v>
      </c>
      <c r="AA3495" t="s">
        <v>14306</v>
      </c>
      <c r="AB3495" t="s">
        <v>17900</v>
      </c>
    </row>
    <row r="3496" spans="1:28" x14ac:dyDescent="0.25">
      <c r="A3496" t="s">
        <v>3500</v>
      </c>
      <c r="B3496">
        <v>0.98018197421672304</v>
      </c>
      <c r="C3496">
        <v>1.1388129388352</v>
      </c>
      <c r="D3496">
        <v>0.99116342663677903</v>
      </c>
      <c r="E3496">
        <v>0.94546244948852298</v>
      </c>
      <c r="F3496">
        <v>0.75629432990409595</v>
      </c>
      <c r="G3496">
        <v>0.51974619920605603</v>
      </c>
      <c r="H3496">
        <v>0.50006750968486302</v>
      </c>
      <c r="I3496">
        <v>0.41651168970792901</v>
      </c>
      <c r="J3496">
        <v>0.55875167588654595</v>
      </c>
      <c r="K3496">
        <v>0.68561663373755699</v>
      </c>
      <c r="L3496">
        <v>2402.03651183395</v>
      </c>
      <c r="M3496">
        <v>45.498284597990299</v>
      </c>
      <c r="O3496">
        <v>52.692325147389298</v>
      </c>
      <c r="P3496">
        <v>-0.100645608835902</v>
      </c>
      <c r="Q3496">
        <v>0.53376319822284202</v>
      </c>
      <c r="R3496">
        <v>0.89469813908721796</v>
      </c>
      <c r="S3496" t="s">
        <v>7125</v>
      </c>
      <c r="T3496" t="s">
        <v>7256</v>
      </c>
      <c r="U3496" t="s">
        <v>7256</v>
      </c>
      <c r="V3496" t="s">
        <v>7256</v>
      </c>
      <c r="W3496">
        <v>1</v>
      </c>
      <c r="X3496" t="s">
        <v>10752</v>
      </c>
      <c r="Y3496">
        <v>0.73390999502117926</v>
      </c>
      <c r="Z3496" t="str">
        <f>HYPERLINK("Melting_Curves/meltCurve_tr_H7C462_H7C462_HUMAN_.pdf", "Melting_Curves/meltCurve_tr_H7C462_H7C462_HUMAN_.pdf")</f>
        <v>Melting_Curves/meltCurve_tr_H7C462_H7C462_HUMAN_.pdf</v>
      </c>
      <c r="AA3496" t="s">
        <v>14307</v>
      </c>
      <c r="AB3496" t="s">
        <v>17901</v>
      </c>
    </row>
    <row r="3497" spans="1:28" x14ac:dyDescent="0.25">
      <c r="A3497" t="s">
        <v>3501</v>
      </c>
      <c r="B3497">
        <v>0.98018197421672304</v>
      </c>
      <c r="C3497">
        <v>0.82356250799091102</v>
      </c>
      <c r="D3497">
        <v>0.80388481431277004</v>
      </c>
      <c r="E3497">
        <v>0.60270273123995599</v>
      </c>
      <c r="F3497">
        <v>0.52900933127988303</v>
      </c>
      <c r="G3497">
        <v>0.43205128711421598</v>
      </c>
      <c r="H3497">
        <v>0.37027602014150102</v>
      </c>
      <c r="I3497">
        <v>0.375120462048465</v>
      </c>
      <c r="J3497">
        <v>0.44087539112570301</v>
      </c>
      <c r="K3497">
        <v>0.50349286107884705</v>
      </c>
      <c r="L3497">
        <v>670.76424726706398</v>
      </c>
      <c r="M3497">
        <v>14.175104518207901</v>
      </c>
      <c r="N3497">
        <v>53.783556608942298</v>
      </c>
      <c r="O3497">
        <v>46.4079920989833</v>
      </c>
      <c r="P3497">
        <v>-4.5136582700702199E-2</v>
      </c>
      <c r="Q3497">
        <v>0.40898245046611797</v>
      </c>
      <c r="R3497">
        <v>0.94632219290076103</v>
      </c>
      <c r="S3497" t="s">
        <v>7126</v>
      </c>
      <c r="T3497" t="s">
        <v>7256</v>
      </c>
      <c r="U3497" t="s">
        <v>7256</v>
      </c>
      <c r="V3497" t="s">
        <v>7256</v>
      </c>
      <c r="W3497">
        <v>2</v>
      </c>
      <c r="X3497" t="s">
        <v>10753</v>
      </c>
      <c r="Y3497">
        <v>0.57084113762180777</v>
      </c>
      <c r="Z3497" t="str">
        <f>HYPERLINK("Melting_Curves/meltCurve_tr_H7C485_H7C485_HUMAN_.pdf", "Melting_Curves/meltCurve_tr_H7C485_H7C485_HUMAN_.pdf")</f>
        <v>Melting_Curves/meltCurve_tr_H7C485_H7C485_HUMAN_.pdf</v>
      </c>
      <c r="AA3497" t="s">
        <v>14308</v>
      </c>
      <c r="AB3497" t="s">
        <v>17902</v>
      </c>
    </row>
    <row r="3498" spans="1:28" x14ac:dyDescent="0.25">
      <c r="A3498" t="s">
        <v>3502</v>
      </c>
      <c r="B3498">
        <v>0.98018197421672304</v>
      </c>
      <c r="C3498">
        <v>0.99895943607608395</v>
      </c>
      <c r="D3498">
        <v>0.96533168118725199</v>
      </c>
      <c r="E3498">
        <v>0.81767809946672598</v>
      </c>
      <c r="F3498">
        <v>0.58833739855827705</v>
      </c>
      <c r="G3498">
        <v>0.35291321027023098</v>
      </c>
      <c r="H3498">
        <v>0.48138671499629698</v>
      </c>
      <c r="I3498">
        <v>0.43144377933550998</v>
      </c>
      <c r="J3498">
        <v>0.59903646016854195</v>
      </c>
      <c r="K3498">
        <v>0.60536086988409199</v>
      </c>
      <c r="L3498">
        <v>2128.7203497482401</v>
      </c>
      <c r="M3498">
        <v>41.979972737683298</v>
      </c>
      <c r="N3498">
        <v>57.546752793384798</v>
      </c>
      <c r="O3498">
        <v>50.593334188791097</v>
      </c>
      <c r="P3498">
        <v>-0.104426008611786</v>
      </c>
      <c r="Q3498">
        <v>0.49659317193871699</v>
      </c>
      <c r="R3498">
        <v>0.90302700913799605</v>
      </c>
      <c r="S3498" t="s">
        <v>7127</v>
      </c>
      <c r="T3498" t="s">
        <v>7256</v>
      </c>
      <c r="U3498" t="s">
        <v>7256</v>
      </c>
      <c r="V3498" t="s">
        <v>7256</v>
      </c>
      <c r="W3498">
        <v>4</v>
      </c>
      <c r="X3498" t="s">
        <v>10754</v>
      </c>
      <c r="Y3498">
        <v>0.67787668813228974</v>
      </c>
      <c r="Z3498" t="str">
        <f>HYPERLINK("Melting_Curves/meltCurve_tr_H7C4T5_H7C4T5_HUMAN_.pdf", "Melting_Curves/meltCurve_tr_H7C4T5_H7C4T5_HUMAN_.pdf")</f>
        <v>Melting_Curves/meltCurve_tr_H7C4T5_H7C4T5_HUMAN_.pdf</v>
      </c>
      <c r="AA3498" t="s">
        <v>14309</v>
      </c>
      <c r="AB3498" t="s">
        <v>17903</v>
      </c>
    </row>
    <row r="3499" spans="1:28" x14ac:dyDescent="0.25">
      <c r="A3499" t="s">
        <v>3503</v>
      </c>
      <c r="B3499">
        <v>0.98018197421672304</v>
      </c>
      <c r="C3499">
        <v>0.97540296090158896</v>
      </c>
      <c r="D3499">
        <v>0.91431370565032999</v>
      </c>
      <c r="E3499">
        <v>0.80285432547368896</v>
      </c>
      <c r="F3499">
        <v>0.74641064127004597</v>
      </c>
      <c r="G3499">
        <v>0.61175287625113595</v>
      </c>
      <c r="H3499">
        <v>0.46348687747558498</v>
      </c>
      <c r="I3499">
        <v>0.32668448352587198</v>
      </c>
      <c r="J3499">
        <v>0.12481611169958801</v>
      </c>
      <c r="K3499">
        <v>7.8488127545676994E-2</v>
      </c>
      <c r="L3499">
        <v>631.61208726963503</v>
      </c>
      <c r="M3499">
        <v>10.7771889596057</v>
      </c>
      <c r="N3499">
        <v>58.6063712279878</v>
      </c>
      <c r="O3499">
        <v>56.696740115884801</v>
      </c>
      <c r="P3499">
        <v>-4.75385487036162E-2</v>
      </c>
      <c r="Q3499">
        <v>0</v>
      </c>
      <c r="R3499">
        <v>0.97664199377588801</v>
      </c>
      <c r="S3499" t="s">
        <v>7128</v>
      </c>
      <c r="T3499" t="s">
        <v>7256</v>
      </c>
      <c r="U3499" t="s">
        <v>7256</v>
      </c>
      <c r="V3499" t="s">
        <v>7256</v>
      </c>
      <c r="W3499">
        <v>7</v>
      </c>
      <c r="X3499" t="s">
        <v>10755</v>
      </c>
      <c r="Y3499">
        <v>0.62809049660295746</v>
      </c>
      <c r="Z3499" t="str">
        <f>HYPERLINK("Melting_Curves/meltCurve_tr_H7C5G1_H7C5G1_HUMAN_.pdf", "Melting_Curves/meltCurve_tr_H7C5G1_H7C5G1_HUMAN_.pdf")</f>
        <v>Melting_Curves/meltCurve_tr_H7C5G1_H7C5G1_HUMAN_.pdf</v>
      </c>
      <c r="AA3499" t="s">
        <v>14310</v>
      </c>
      <c r="AB3499" t="s">
        <v>17904</v>
      </c>
    </row>
    <row r="3500" spans="1:28" x14ac:dyDescent="0.25">
      <c r="A3500" t="s">
        <v>3504</v>
      </c>
      <c r="B3500">
        <v>0.98018197421672304</v>
      </c>
      <c r="C3500">
        <v>0.88548970643049696</v>
      </c>
      <c r="D3500">
        <v>0.81041835267643503</v>
      </c>
      <c r="E3500">
        <v>0.68794088163211697</v>
      </c>
      <c r="F3500">
        <v>0.60269520186821601</v>
      </c>
      <c r="G3500">
        <v>0.49529002936389599</v>
      </c>
      <c r="H3500">
        <v>0.35943959351767102</v>
      </c>
      <c r="I3500">
        <v>0.37306382584421999</v>
      </c>
      <c r="J3500">
        <v>0.30743503553413198</v>
      </c>
      <c r="K3500">
        <v>9.21820296508222E-2</v>
      </c>
      <c r="L3500">
        <v>387.41900954257801</v>
      </c>
      <c r="M3500">
        <v>6.8720703368049003</v>
      </c>
      <c r="N3500">
        <v>56.375879544382599</v>
      </c>
      <c r="O3500">
        <v>52.181442923571197</v>
      </c>
      <c r="P3500">
        <v>-3.2989225360254802E-2</v>
      </c>
      <c r="Q3500">
        <v>0</v>
      </c>
      <c r="R3500">
        <v>0.96773410472131205</v>
      </c>
      <c r="S3500" t="s">
        <v>7129</v>
      </c>
      <c r="T3500" t="s">
        <v>7256</v>
      </c>
      <c r="U3500" t="s">
        <v>7256</v>
      </c>
      <c r="V3500" t="s">
        <v>7256</v>
      </c>
      <c r="W3500">
        <v>2</v>
      </c>
      <c r="X3500" t="s">
        <v>10756</v>
      </c>
      <c r="Y3500">
        <v>0.55988420714001585</v>
      </c>
      <c r="Z3500" t="str">
        <f>HYPERLINK("Melting_Curves/meltCurve_tr_H8Y6P7_H8Y6P7_HUMAN_.pdf", "Melting_Curves/meltCurve_tr_H8Y6P7_H8Y6P7_HUMAN_.pdf")</f>
        <v>Melting_Curves/meltCurve_tr_H8Y6P7_H8Y6P7_HUMAN_.pdf</v>
      </c>
      <c r="AA3500" t="s">
        <v>14311</v>
      </c>
      <c r="AB3500" t="s">
        <v>17905</v>
      </c>
    </row>
    <row r="3501" spans="1:28" x14ac:dyDescent="0.25">
      <c r="A3501" t="s">
        <v>3505</v>
      </c>
      <c r="B3501">
        <v>0.98018197421672304</v>
      </c>
      <c r="C3501">
        <v>0.96046491371396603</v>
      </c>
      <c r="D3501">
        <v>0.97264550853846399</v>
      </c>
      <c r="E3501">
        <v>0.74559586385672105</v>
      </c>
      <c r="F3501">
        <v>0.48474331084276601</v>
      </c>
      <c r="G3501">
        <v>0.30382089684681002</v>
      </c>
      <c r="H3501">
        <v>0.313310416399322</v>
      </c>
      <c r="I3501">
        <v>0.32084391276794999</v>
      </c>
      <c r="J3501">
        <v>0.51101933278634004</v>
      </c>
      <c r="K3501">
        <v>0.41122478790306899</v>
      </c>
      <c r="L3501">
        <v>1876.0514134950199</v>
      </c>
      <c r="M3501">
        <v>37.121886512664801</v>
      </c>
      <c r="N3501">
        <v>52.4724573940859</v>
      </c>
      <c r="O3501">
        <v>50.391629937837997</v>
      </c>
      <c r="P3501">
        <v>-0.115510617975982</v>
      </c>
      <c r="Q3501">
        <v>0.37279577484007798</v>
      </c>
      <c r="R3501">
        <v>0.95212957494734696</v>
      </c>
      <c r="S3501" t="s">
        <v>7130</v>
      </c>
      <c r="T3501" t="s">
        <v>7256</v>
      </c>
      <c r="U3501" t="s">
        <v>7256</v>
      </c>
      <c r="V3501" t="s">
        <v>7256</v>
      </c>
      <c r="W3501">
        <v>2</v>
      </c>
      <c r="X3501" t="s">
        <v>10757</v>
      </c>
      <c r="Y3501">
        <v>0.59565090249161501</v>
      </c>
      <c r="Z3501" t="str">
        <f>HYPERLINK("Melting_Curves/meltCurve_tr_I3L097_I3L097_HUMAN_.pdf", "Melting_Curves/meltCurve_tr_I3L097_I3L097_HUMAN_.pdf")</f>
        <v>Melting_Curves/meltCurve_tr_I3L097_I3L097_HUMAN_.pdf</v>
      </c>
      <c r="AB3501" t="s">
        <v>17729</v>
      </c>
    </row>
    <row r="3502" spans="1:28" x14ac:dyDescent="0.25">
      <c r="A3502" t="s">
        <v>3506</v>
      </c>
      <c r="B3502">
        <v>0.98018197421672304</v>
      </c>
      <c r="C3502">
        <v>1.01174311044674</v>
      </c>
      <c r="D3502">
        <v>0.938431729508863</v>
      </c>
      <c r="E3502">
        <v>0.79441961486474499</v>
      </c>
      <c r="F3502">
        <v>0.54725400134053104</v>
      </c>
      <c r="G3502">
        <v>0.24535002815743201</v>
      </c>
      <c r="H3502">
        <v>0.16872069795480699</v>
      </c>
      <c r="I3502">
        <v>0.147740505875049</v>
      </c>
      <c r="J3502">
        <v>0.22059413531497199</v>
      </c>
      <c r="K3502">
        <v>0.17323673111590299</v>
      </c>
      <c r="L3502">
        <v>1284.4274175186699</v>
      </c>
      <c r="M3502">
        <v>24.514140719811699</v>
      </c>
      <c r="N3502">
        <v>53.267662623013898</v>
      </c>
      <c r="O3502">
        <v>52.0504329109975</v>
      </c>
      <c r="P3502">
        <v>-9.8278416078805497E-2</v>
      </c>
      <c r="Q3502">
        <v>0.165320966926436</v>
      </c>
      <c r="R3502">
        <v>0.99460066074749998</v>
      </c>
      <c r="S3502" t="s">
        <v>7131</v>
      </c>
      <c r="T3502" t="s">
        <v>7256</v>
      </c>
      <c r="U3502" t="s">
        <v>7256</v>
      </c>
      <c r="V3502" t="s">
        <v>7256</v>
      </c>
      <c r="W3502">
        <v>3</v>
      </c>
      <c r="X3502" t="s">
        <v>10758</v>
      </c>
      <c r="Y3502">
        <v>0.51813156652703485</v>
      </c>
      <c r="Z3502" t="str">
        <f>HYPERLINK("Melting_Curves/meltCurve_tr_I3L0X5_I3L0X5_HUMAN_.pdf", "Melting_Curves/meltCurve_tr_I3L0X5_I3L0X5_HUMAN_.pdf")</f>
        <v>Melting_Curves/meltCurve_tr_I3L0X5_I3L0X5_HUMAN_.pdf</v>
      </c>
      <c r="AA3502" t="s">
        <v>14312</v>
      </c>
      <c r="AB3502" t="s">
        <v>17906</v>
      </c>
    </row>
    <row r="3503" spans="1:28" x14ac:dyDescent="0.25">
      <c r="A3503" t="s">
        <v>3507</v>
      </c>
      <c r="B3503">
        <v>0.98018197421672304</v>
      </c>
      <c r="C3503">
        <v>0.96975350163934404</v>
      </c>
      <c r="D3503">
        <v>0.55347475586073902</v>
      </c>
      <c r="E3503">
        <v>0.63090888049284999</v>
      </c>
      <c r="F3503">
        <v>0.43499406351264802</v>
      </c>
      <c r="G3503">
        <v>0.22683777326541199</v>
      </c>
      <c r="H3503">
        <v>0.19892133784871199</v>
      </c>
      <c r="I3503">
        <v>0.174262654511467</v>
      </c>
      <c r="J3503">
        <v>0.149360756712002</v>
      </c>
      <c r="K3503">
        <v>8.8446369287828702E-2</v>
      </c>
      <c r="L3503">
        <v>518.34111093837498</v>
      </c>
      <c r="M3503">
        <v>10.322896299773101</v>
      </c>
      <c r="N3503">
        <v>50.9049835063419</v>
      </c>
      <c r="O3503">
        <v>48.437961048405199</v>
      </c>
      <c r="P3503">
        <v>-4.98115051360064E-2</v>
      </c>
      <c r="Q3503">
        <v>6.5483575464391305E-2</v>
      </c>
      <c r="R3503">
        <v>0.94052969720927704</v>
      </c>
      <c r="S3503" t="s">
        <v>7132</v>
      </c>
      <c r="T3503" t="s">
        <v>7256</v>
      </c>
      <c r="U3503" t="s">
        <v>7256</v>
      </c>
      <c r="V3503" t="s">
        <v>7256</v>
      </c>
      <c r="W3503">
        <v>2</v>
      </c>
      <c r="X3503" t="s">
        <v>10759</v>
      </c>
      <c r="Y3503">
        <v>0.42338637241345001</v>
      </c>
      <c r="Z3503" t="str">
        <f>HYPERLINK("Melting_Curves/meltCurve_tr_I3L1Q3_I3L1Q3_HUMAN_.pdf", "Melting_Curves/meltCurve_tr_I3L1Q3_I3L1Q3_HUMAN_.pdf")</f>
        <v>Melting_Curves/meltCurve_tr_I3L1Q3_I3L1Q3_HUMAN_.pdf</v>
      </c>
      <c r="AA3503" t="s">
        <v>14313</v>
      </c>
      <c r="AB3503" t="s">
        <v>17907</v>
      </c>
    </row>
    <row r="3504" spans="1:28" x14ac:dyDescent="0.25">
      <c r="A3504" t="s">
        <v>3508</v>
      </c>
      <c r="B3504">
        <v>0.98018197421672304</v>
      </c>
      <c r="C3504">
        <v>0.82523324737196502</v>
      </c>
      <c r="D3504">
        <v>0.89738959584030398</v>
      </c>
      <c r="E3504">
        <v>0.769484240616918</v>
      </c>
      <c r="F3504">
        <v>0.63540095938213603</v>
      </c>
      <c r="G3504">
        <v>0.23831077635839101</v>
      </c>
      <c r="H3504">
        <v>0.140693732965366</v>
      </c>
      <c r="I3504">
        <v>0.118317047014636</v>
      </c>
      <c r="J3504">
        <v>0.17498909782404301</v>
      </c>
      <c r="K3504">
        <v>0.18114312601913299</v>
      </c>
      <c r="L3504">
        <v>1012.54875806607</v>
      </c>
      <c r="M3504">
        <v>19.1314382720299</v>
      </c>
      <c r="N3504">
        <v>53.7019447486526</v>
      </c>
      <c r="O3504">
        <v>52.357822844015601</v>
      </c>
      <c r="P3504">
        <v>-8.03203791059596E-2</v>
      </c>
      <c r="Q3504">
        <v>0.120769304599779</v>
      </c>
      <c r="R3504">
        <v>0.95736035083217996</v>
      </c>
      <c r="S3504" t="s">
        <v>7133</v>
      </c>
      <c r="T3504" t="s">
        <v>7256</v>
      </c>
      <c r="U3504" t="s">
        <v>7256</v>
      </c>
      <c r="V3504" t="s">
        <v>7256</v>
      </c>
      <c r="W3504">
        <v>1</v>
      </c>
      <c r="X3504" t="s">
        <v>10760</v>
      </c>
      <c r="Y3504">
        <v>0.5126423918650177</v>
      </c>
      <c r="Z3504" t="str">
        <f>HYPERLINK("Melting_Curves/meltCurve_tr_I3L276_I3L276_HUMAN_.pdf", "Melting_Curves/meltCurve_tr_I3L276_I3L276_HUMAN_.pdf")</f>
        <v>Melting_Curves/meltCurve_tr_I3L276_I3L276_HUMAN_.pdf</v>
      </c>
      <c r="AA3504" t="s">
        <v>14314</v>
      </c>
      <c r="AB3504" t="s">
        <v>17908</v>
      </c>
    </row>
    <row r="3505" spans="1:28" x14ac:dyDescent="0.25">
      <c r="A3505" t="s">
        <v>3509</v>
      </c>
      <c r="B3505">
        <v>0.98018197421672304</v>
      </c>
      <c r="C3505">
        <v>0.92624010690027403</v>
      </c>
      <c r="D3505">
        <v>0.80283146480655698</v>
      </c>
      <c r="E3505">
        <v>0.50520963468717905</v>
      </c>
      <c r="F3505">
        <v>0.27321474534582801</v>
      </c>
      <c r="G3505">
        <v>0.198276115327054</v>
      </c>
      <c r="H3505">
        <v>0.17253911696577201</v>
      </c>
      <c r="I3505">
        <v>0.16049271798200601</v>
      </c>
      <c r="J3505">
        <v>0.110463346421541</v>
      </c>
      <c r="K3505">
        <v>0.209851880902615</v>
      </c>
      <c r="L3505">
        <v>956.67964761938401</v>
      </c>
      <c r="M3505">
        <v>19.593733817233101</v>
      </c>
      <c r="N3505">
        <v>49.749567065206001</v>
      </c>
      <c r="O3505">
        <v>48.325755206138901</v>
      </c>
      <c r="P3505">
        <v>-8.5908696250435998E-2</v>
      </c>
      <c r="Q3505">
        <v>0.152493360661488</v>
      </c>
      <c r="R3505">
        <v>0.99329115518074795</v>
      </c>
      <c r="S3505" t="s">
        <v>7134</v>
      </c>
      <c r="T3505" t="s">
        <v>7256</v>
      </c>
      <c r="U3505" t="s">
        <v>7256</v>
      </c>
      <c r="V3505" t="s">
        <v>7256</v>
      </c>
      <c r="W3505">
        <v>15</v>
      </c>
      <c r="X3505" t="s">
        <v>10761</v>
      </c>
      <c r="Y3505">
        <v>0.41422624238711508</v>
      </c>
      <c r="Z3505" t="str">
        <f>HYPERLINK("Melting_Curves/meltCurve_tr_I3L2B0_I3L2B0_HUMAN_.pdf", "Melting_Curves/meltCurve_tr_I3L2B0_I3L2B0_HUMAN_.pdf")</f>
        <v>Melting_Curves/meltCurve_tr_I3L2B0_I3L2B0_HUMAN_.pdf</v>
      </c>
      <c r="AA3505" t="s">
        <v>14315</v>
      </c>
      <c r="AB3505" t="s">
        <v>17909</v>
      </c>
    </row>
    <row r="3506" spans="1:28" x14ac:dyDescent="0.25">
      <c r="A3506" t="s">
        <v>3510</v>
      </c>
      <c r="B3506">
        <v>0.98018197421672304</v>
      </c>
      <c r="C3506">
        <v>1.0900654107135901</v>
      </c>
      <c r="D3506">
        <v>0.85376380965776899</v>
      </c>
      <c r="E3506">
        <v>0.78437278588123005</v>
      </c>
      <c r="F3506">
        <v>0.52515666500673597</v>
      </c>
      <c r="G3506">
        <v>0.399962680409851</v>
      </c>
      <c r="H3506">
        <v>0.37044191193441001</v>
      </c>
      <c r="I3506">
        <v>0.31566818973314498</v>
      </c>
      <c r="J3506">
        <v>0.46915462280512699</v>
      </c>
      <c r="K3506">
        <v>0.58563990592277704</v>
      </c>
      <c r="L3506">
        <v>1385.42158006876</v>
      </c>
      <c r="M3506">
        <v>27.506171234559002</v>
      </c>
      <c r="N3506">
        <v>54.041354510893697</v>
      </c>
      <c r="O3506">
        <v>50.103704526338397</v>
      </c>
      <c r="P3506">
        <v>-7.9201877650570393E-2</v>
      </c>
      <c r="Q3506">
        <v>0.42292652001250203</v>
      </c>
      <c r="R3506">
        <v>0.896934986183196</v>
      </c>
      <c r="S3506" t="s">
        <v>7135</v>
      </c>
      <c r="T3506" t="s">
        <v>7256</v>
      </c>
      <c r="U3506" t="s">
        <v>7256</v>
      </c>
      <c r="V3506" t="s">
        <v>7256</v>
      </c>
      <c r="W3506">
        <v>2</v>
      </c>
      <c r="X3506" t="s">
        <v>10762</v>
      </c>
      <c r="Y3506">
        <v>0.62663274078151299</v>
      </c>
      <c r="Z3506" t="str">
        <f>HYPERLINK("Melting_Curves/meltCurve_tr_I3L2J0_I3L2J0_HUMAN_.pdf", "Melting_Curves/meltCurve_tr_I3L2J0_I3L2J0_HUMAN_.pdf")</f>
        <v>Melting_Curves/meltCurve_tr_I3L2J0_I3L2J0_HUMAN_.pdf</v>
      </c>
      <c r="AA3506" t="s">
        <v>14316</v>
      </c>
      <c r="AB3506" t="s">
        <v>17910</v>
      </c>
    </row>
    <row r="3507" spans="1:28" x14ac:dyDescent="0.25">
      <c r="A3507" t="s">
        <v>3511</v>
      </c>
      <c r="B3507">
        <v>0.98018197421672304</v>
      </c>
      <c r="C3507">
        <v>1.0304881212554899</v>
      </c>
      <c r="D3507">
        <v>0.99406846915746805</v>
      </c>
      <c r="E3507">
        <v>0.841471215992045</v>
      </c>
      <c r="F3507">
        <v>0.79328150806104403</v>
      </c>
      <c r="G3507">
        <v>0.61205660751813196</v>
      </c>
      <c r="H3507">
        <v>0.41461754667352402</v>
      </c>
      <c r="I3507">
        <v>0.409511969251802</v>
      </c>
      <c r="J3507">
        <v>0.46136712067879698</v>
      </c>
      <c r="K3507">
        <v>0.54183728204505299</v>
      </c>
      <c r="L3507">
        <v>1096.88898566341</v>
      </c>
      <c r="M3507">
        <v>20.437040511438401</v>
      </c>
      <c r="N3507">
        <v>60.3201986695789</v>
      </c>
      <c r="O3507">
        <v>53.165665731812297</v>
      </c>
      <c r="P3507">
        <v>-5.3103303139786902E-2</v>
      </c>
      <c r="Q3507">
        <v>0.44743700358385402</v>
      </c>
      <c r="R3507">
        <v>0.95573606727732696</v>
      </c>
      <c r="S3507" t="s">
        <v>7136</v>
      </c>
      <c r="T3507" t="s">
        <v>7256</v>
      </c>
      <c r="U3507" t="s">
        <v>7256</v>
      </c>
      <c r="V3507" t="s">
        <v>7256</v>
      </c>
      <c r="W3507">
        <v>8</v>
      </c>
      <c r="X3507" t="s">
        <v>10763</v>
      </c>
      <c r="Y3507">
        <v>0.70653165649142224</v>
      </c>
      <c r="Z3507" t="str">
        <f>HYPERLINK("Melting_Curves/meltCurve_tr_I3L397_I3L397_HUMAN_.pdf", "Melting_Curves/meltCurve_tr_I3L397_I3L397_HUMAN_.pdf")</f>
        <v>Melting_Curves/meltCurve_tr_I3L397_I3L397_HUMAN_.pdf</v>
      </c>
      <c r="AA3507" t="s">
        <v>14317</v>
      </c>
      <c r="AB3507" t="s">
        <v>17911</v>
      </c>
    </row>
    <row r="3508" spans="1:28" x14ac:dyDescent="0.25">
      <c r="A3508" t="s">
        <v>3512</v>
      </c>
      <c r="B3508">
        <v>0.98018197421672304</v>
      </c>
      <c r="C3508">
        <v>0.85372689979628302</v>
      </c>
      <c r="D3508">
        <v>0.41804446559463398</v>
      </c>
      <c r="E3508">
        <v>0.19650152387966099</v>
      </c>
      <c r="F3508">
        <v>0.157070218249555</v>
      </c>
      <c r="G3508">
        <v>6.3593003863937597E-2</v>
      </c>
      <c r="H3508">
        <v>4.5929243634205197E-2</v>
      </c>
      <c r="I3508">
        <v>4.6623279115700203E-2</v>
      </c>
      <c r="J3508">
        <v>7.0849295600953405E-2</v>
      </c>
      <c r="K3508">
        <v>4.1984707615933502E-2</v>
      </c>
      <c r="L3508">
        <v>1095.9775512225899</v>
      </c>
      <c r="M3508">
        <v>24.127564975890699</v>
      </c>
      <c r="N3508">
        <v>45.695488335931699</v>
      </c>
      <c r="O3508">
        <v>45.115699970173402</v>
      </c>
      <c r="P3508">
        <v>-0.12478160195985501</v>
      </c>
      <c r="Q3508">
        <v>6.6706952854541396E-2</v>
      </c>
      <c r="R3508">
        <v>0.99068193307238495</v>
      </c>
      <c r="S3508" t="s">
        <v>7137</v>
      </c>
      <c r="T3508" t="s">
        <v>7256</v>
      </c>
      <c r="U3508" t="s">
        <v>7256</v>
      </c>
      <c r="V3508" t="s">
        <v>7256</v>
      </c>
      <c r="W3508">
        <v>2</v>
      </c>
      <c r="X3508" t="s">
        <v>10764</v>
      </c>
      <c r="Y3508">
        <v>0.24518703481179749</v>
      </c>
      <c r="Z3508" t="str">
        <f>HYPERLINK("Melting_Curves/meltCurve_tr_I3L3P7_I3L3P7_HUMAN_.pdf", "Melting_Curves/meltCurve_tr_I3L3P7_I3L3P7_HUMAN_.pdf")</f>
        <v>Melting_Curves/meltCurve_tr_I3L3P7_I3L3P7_HUMAN_.pdf</v>
      </c>
      <c r="AA3508" t="s">
        <v>14318</v>
      </c>
      <c r="AB3508" t="s">
        <v>17912</v>
      </c>
    </row>
    <row r="3509" spans="1:28" x14ac:dyDescent="0.25">
      <c r="A3509" t="s">
        <v>3513</v>
      </c>
      <c r="B3509">
        <v>0.98018197421672304</v>
      </c>
      <c r="C3509">
        <v>0.938470546179205</v>
      </c>
      <c r="D3509">
        <v>0.88698917461207405</v>
      </c>
      <c r="E3509">
        <v>0.784958302106182</v>
      </c>
      <c r="F3509">
        <v>0.55048585313049603</v>
      </c>
      <c r="G3509">
        <v>0.26087578003548201</v>
      </c>
      <c r="H3509">
        <v>0.144328703604229</v>
      </c>
      <c r="I3509">
        <v>8.3704895700934798E-2</v>
      </c>
      <c r="J3509">
        <v>5.8488890275173101E-2</v>
      </c>
      <c r="K3509">
        <v>4.0687121442894499E-2</v>
      </c>
      <c r="L3509">
        <v>830.60490550414102</v>
      </c>
      <c r="M3509">
        <v>15.5237373944178</v>
      </c>
      <c r="N3509">
        <v>53.592169247281802</v>
      </c>
      <c r="O3509">
        <v>52.641176419948202</v>
      </c>
      <c r="P3509">
        <v>-7.2816589146582705E-2</v>
      </c>
      <c r="Q3509">
        <v>1.23995688192916E-2</v>
      </c>
      <c r="R3509">
        <v>0.99613456786344401</v>
      </c>
      <c r="S3509" t="s">
        <v>7138</v>
      </c>
      <c r="T3509" t="s">
        <v>7256</v>
      </c>
      <c r="U3509" t="s">
        <v>7256</v>
      </c>
      <c r="V3509" t="s">
        <v>7256</v>
      </c>
      <c r="W3509">
        <v>4</v>
      </c>
      <c r="X3509" t="s">
        <v>10765</v>
      </c>
      <c r="Y3509">
        <v>0.47684299789266488</v>
      </c>
      <c r="Z3509" t="str">
        <f>HYPERLINK("Melting_Curves/meltCurve_tr_I3L3T4_I3L3T4_HUMAN_.pdf", "Melting_Curves/meltCurve_tr_I3L3T4_I3L3T4_HUMAN_.pdf")</f>
        <v>Melting_Curves/meltCurve_tr_I3L3T4_I3L3T4_HUMAN_.pdf</v>
      </c>
      <c r="AA3509" t="s">
        <v>14319</v>
      </c>
      <c r="AB3509" t="s">
        <v>17913</v>
      </c>
    </row>
    <row r="3510" spans="1:28" x14ac:dyDescent="0.25">
      <c r="A3510" t="s">
        <v>3514</v>
      </c>
      <c r="B3510">
        <v>0.98018197421672304</v>
      </c>
      <c r="C3510">
        <v>1.1142601415279201</v>
      </c>
      <c r="D3510">
        <v>0.86377850092415598</v>
      </c>
      <c r="E3510">
        <v>0.65508805099615997</v>
      </c>
      <c r="F3510">
        <v>0.36511246230545302</v>
      </c>
      <c r="G3510">
        <v>0.164627047989335</v>
      </c>
      <c r="H3510">
        <v>6.3830976828201103E-2</v>
      </c>
      <c r="I3510">
        <v>2.9671850816065101E-2</v>
      </c>
      <c r="J3510">
        <v>4.1360695753295998E-2</v>
      </c>
      <c r="K3510">
        <v>0</v>
      </c>
      <c r="L3510">
        <v>993.402275022813</v>
      </c>
      <c r="M3510">
        <v>19.2857544465746</v>
      </c>
      <c r="N3510">
        <v>51.587600192062602</v>
      </c>
      <c r="O3510">
        <v>50.965412030191096</v>
      </c>
      <c r="P3510">
        <v>-9.32469861634177E-2</v>
      </c>
      <c r="Q3510">
        <v>1.4362114565439E-2</v>
      </c>
      <c r="R3510">
        <v>0.98730542651097497</v>
      </c>
      <c r="S3510" t="s">
        <v>7139</v>
      </c>
      <c r="T3510" t="s">
        <v>7256</v>
      </c>
      <c r="U3510" t="s">
        <v>7256</v>
      </c>
      <c r="V3510" t="s">
        <v>7256</v>
      </c>
      <c r="W3510">
        <v>1</v>
      </c>
      <c r="X3510" t="s">
        <v>10766</v>
      </c>
      <c r="Y3510">
        <v>0.40710484049104301</v>
      </c>
      <c r="Z3510" t="str">
        <f>HYPERLINK("Melting_Curves/meltCurve_tr_I3L4X3_I3L4X3_HUMAN_.pdf", "Melting_Curves/meltCurve_tr_I3L4X3_I3L4X3_HUMAN_.pdf")</f>
        <v>Melting_Curves/meltCurve_tr_I3L4X3_I3L4X3_HUMAN_.pdf</v>
      </c>
      <c r="AA3510" t="s">
        <v>14320</v>
      </c>
      <c r="AB3510" t="s">
        <v>17914</v>
      </c>
    </row>
    <row r="3511" spans="1:28" x14ac:dyDescent="0.25">
      <c r="A3511" t="s">
        <v>3515</v>
      </c>
      <c r="B3511">
        <v>0.98018197421672304</v>
      </c>
      <c r="C3511">
        <v>0.95530384056949802</v>
      </c>
      <c r="D3511">
        <v>0.93523199165030302</v>
      </c>
      <c r="E3511">
        <v>0.85574341795732001</v>
      </c>
      <c r="F3511">
        <v>0.88935683876101901</v>
      </c>
      <c r="G3511">
        <v>0.71495879381572702</v>
      </c>
      <c r="H3511">
        <v>0.50037427481027497</v>
      </c>
      <c r="I3511">
        <v>0.47238694592147801</v>
      </c>
      <c r="J3511">
        <v>0.39621925838243199</v>
      </c>
      <c r="K3511">
        <v>0.36851389649524202</v>
      </c>
      <c r="L3511">
        <v>630.41955286369</v>
      </c>
      <c r="M3511">
        <v>10.665623689718201</v>
      </c>
      <c r="N3511">
        <v>62.735432291808699</v>
      </c>
      <c r="O3511">
        <v>57.143338421756198</v>
      </c>
      <c r="P3511">
        <v>-3.5935914994251E-2</v>
      </c>
      <c r="Q3511">
        <v>0.23015537682032899</v>
      </c>
      <c r="R3511">
        <v>0.97831627093423201</v>
      </c>
      <c r="S3511" t="s">
        <v>7140</v>
      </c>
      <c r="T3511" t="s">
        <v>7256</v>
      </c>
      <c r="U3511" t="s">
        <v>7256</v>
      </c>
      <c r="V3511" t="s">
        <v>7256</v>
      </c>
      <c r="W3511">
        <v>7</v>
      </c>
      <c r="X3511" t="s">
        <v>10767</v>
      </c>
      <c r="Y3511">
        <v>0.7239835611167531</v>
      </c>
      <c r="Z3511" t="str">
        <f>HYPERLINK("Melting_Curves/meltCurve_tr_J3KMY5_J3KMY5_HUMAN_.pdf", "Melting_Curves/meltCurve_tr_J3KMY5_J3KMY5_HUMAN_.pdf")</f>
        <v>Melting_Curves/meltCurve_tr_J3KMY5_J3KMY5_HUMAN_.pdf</v>
      </c>
      <c r="AA3511" t="s">
        <v>14321</v>
      </c>
      <c r="AB3511" t="s">
        <v>17915</v>
      </c>
    </row>
    <row r="3512" spans="1:28" x14ac:dyDescent="0.25">
      <c r="A3512" t="s">
        <v>3516</v>
      </c>
      <c r="B3512">
        <v>0.98018197421672304</v>
      </c>
      <c r="C3512">
        <v>0.82939349914250404</v>
      </c>
      <c r="D3512">
        <v>0.71106620044217095</v>
      </c>
      <c r="E3512">
        <v>0.59509787972726702</v>
      </c>
      <c r="F3512">
        <v>0.65836511065718395</v>
      </c>
      <c r="G3512">
        <v>0.52824661048458799</v>
      </c>
      <c r="H3512">
        <v>0.44297511554140401</v>
      </c>
      <c r="I3512">
        <v>0.48489759515942399</v>
      </c>
      <c r="J3512">
        <v>0.53769428157982502</v>
      </c>
      <c r="K3512">
        <v>0.64393009279318902</v>
      </c>
      <c r="L3512">
        <v>741.07012140447205</v>
      </c>
      <c r="M3512">
        <v>16.537740116144001</v>
      </c>
      <c r="O3512">
        <v>44.171028191152402</v>
      </c>
      <c r="P3512">
        <v>-4.3433796117035399E-2</v>
      </c>
      <c r="Q3512">
        <v>0.53599888434688403</v>
      </c>
      <c r="R3512">
        <v>0.85972154892683295</v>
      </c>
      <c r="S3512" t="s">
        <v>7141</v>
      </c>
      <c r="T3512" t="s">
        <v>7256</v>
      </c>
      <c r="U3512" t="s">
        <v>7256</v>
      </c>
      <c r="V3512" t="s">
        <v>7256</v>
      </c>
      <c r="W3512">
        <v>12</v>
      </c>
      <c r="X3512" t="s">
        <v>10768</v>
      </c>
      <c r="Y3512">
        <v>0.62275719402345453</v>
      </c>
      <c r="Z3512" t="str">
        <f>HYPERLINK("Melting_Curves/meltCurve_tr_J3KN29_J3KN29_HUMAN_.pdf", "Melting_Curves/meltCurve_tr_J3KN29_J3KN29_HUMAN_.pdf")</f>
        <v>Melting_Curves/meltCurve_tr_J3KN29_J3KN29_HUMAN_.pdf</v>
      </c>
      <c r="AA3512" t="s">
        <v>14322</v>
      </c>
      <c r="AB3512" t="s">
        <v>17916</v>
      </c>
    </row>
    <row r="3513" spans="1:28" x14ac:dyDescent="0.25">
      <c r="A3513" t="s">
        <v>3517</v>
      </c>
      <c r="B3513">
        <v>0.98018197421672304</v>
      </c>
      <c r="C3513">
        <v>1.0167354858750399</v>
      </c>
      <c r="D3513">
        <v>0.87316763090100602</v>
      </c>
      <c r="E3513">
        <v>0.67451145573592697</v>
      </c>
      <c r="F3513">
        <v>0.26545988360301598</v>
      </c>
      <c r="G3513">
        <v>9.9764537100568998E-2</v>
      </c>
      <c r="H3513">
        <v>5.7895880512228902E-2</v>
      </c>
      <c r="I3513">
        <v>5.2070168073725297E-2</v>
      </c>
      <c r="J3513">
        <v>4.6628517240970398E-2</v>
      </c>
      <c r="K3513">
        <v>4.6398721066455803E-2</v>
      </c>
      <c r="L3513">
        <v>1332.10578529244</v>
      </c>
      <c r="M3513">
        <v>26.161573325255102</v>
      </c>
      <c r="N3513">
        <v>51.095721208738802</v>
      </c>
      <c r="O3513">
        <v>50.623697211921296</v>
      </c>
      <c r="P3513">
        <v>-0.12359157605745499</v>
      </c>
      <c r="Q3513">
        <v>4.33920555374483E-2</v>
      </c>
      <c r="R3513">
        <v>0.99464119028217302</v>
      </c>
      <c r="S3513" t="s">
        <v>7142</v>
      </c>
      <c r="T3513" t="s">
        <v>7256</v>
      </c>
      <c r="U3513" t="s">
        <v>7256</v>
      </c>
      <c r="V3513" t="s">
        <v>7256</v>
      </c>
      <c r="W3513">
        <v>6</v>
      </c>
      <c r="X3513" t="s">
        <v>10769</v>
      </c>
      <c r="Y3513">
        <v>0.39943958519970862</v>
      </c>
      <c r="Z3513" t="str">
        <f>HYPERLINK("Melting_Curves/meltCurve_tr_J3KN75_J3KN75_HUMAN_.pdf", "Melting_Curves/meltCurve_tr_J3KN75_J3KN75_HUMAN_.pdf")</f>
        <v>Melting_Curves/meltCurve_tr_J3KN75_J3KN75_HUMAN_.pdf</v>
      </c>
      <c r="AA3513" t="s">
        <v>14323</v>
      </c>
      <c r="AB3513" t="s">
        <v>17917</v>
      </c>
    </row>
    <row r="3514" spans="1:28" x14ac:dyDescent="0.25">
      <c r="A3514" t="s">
        <v>3518</v>
      </c>
      <c r="B3514">
        <v>0.98018197421672304</v>
      </c>
      <c r="C3514">
        <v>0.97842667641812597</v>
      </c>
      <c r="D3514">
        <v>0.77939104431520201</v>
      </c>
      <c r="E3514">
        <v>0.33610152387957798</v>
      </c>
      <c r="F3514">
        <v>0.13293126123688001</v>
      </c>
      <c r="G3514">
        <v>5.2748396679668401E-2</v>
      </c>
      <c r="H3514">
        <v>4.0826085703027197E-2</v>
      </c>
      <c r="I3514">
        <v>3.24161643403739E-2</v>
      </c>
      <c r="J3514">
        <v>5.2798055805546203E-2</v>
      </c>
      <c r="K3514">
        <v>4.9184766288809002E-2</v>
      </c>
      <c r="L3514">
        <v>1207.4264535244799</v>
      </c>
      <c r="M3514">
        <v>24.9862868153979</v>
      </c>
      <c r="N3514">
        <v>48.4849078161322</v>
      </c>
      <c r="O3514">
        <v>48.017215317778103</v>
      </c>
      <c r="P3514">
        <v>-0.12490237420491</v>
      </c>
      <c r="Q3514">
        <v>3.9891909732621599E-2</v>
      </c>
      <c r="R3514">
        <v>0.99930030600744402</v>
      </c>
      <c r="S3514" t="s">
        <v>7143</v>
      </c>
      <c r="T3514" t="s">
        <v>7256</v>
      </c>
      <c r="U3514" t="s">
        <v>7256</v>
      </c>
      <c r="V3514" t="s">
        <v>7256</v>
      </c>
      <c r="W3514">
        <v>2</v>
      </c>
      <c r="X3514" t="s">
        <v>10770</v>
      </c>
      <c r="Y3514">
        <v>0.31477045773942869</v>
      </c>
      <c r="Z3514" t="str">
        <f>HYPERLINK("Melting_Curves/meltCurve_tr_J3KND9_J3KND9_HUMAN_.pdf", "Melting_Curves/meltCurve_tr_J3KND9_J3KND9_HUMAN_.pdf")</f>
        <v>Melting_Curves/meltCurve_tr_J3KND9_J3KND9_HUMAN_.pdf</v>
      </c>
      <c r="AA3514" t="s">
        <v>14324</v>
      </c>
      <c r="AB3514" t="s">
        <v>17918</v>
      </c>
    </row>
    <row r="3515" spans="1:28" x14ac:dyDescent="0.25">
      <c r="A3515" t="s">
        <v>3519</v>
      </c>
      <c r="B3515">
        <v>0.98018197421672304</v>
      </c>
      <c r="C3515">
        <v>0.97412096960750305</v>
      </c>
      <c r="D3515">
        <v>0.96856860444641202</v>
      </c>
      <c r="E3515">
        <v>0.80817992170484498</v>
      </c>
      <c r="F3515">
        <v>0.74778782339110395</v>
      </c>
      <c r="G3515">
        <v>0.52021215140557797</v>
      </c>
      <c r="H3515">
        <v>0.36881110353702501</v>
      </c>
      <c r="I3515">
        <v>0.296525867172793</v>
      </c>
      <c r="J3515">
        <v>0.35346288702135498</v>
      </c>
      <c r="K3515">
        <v>0.28967460231161601</v>
      </c>
      <c r="L3515">
        <v>819.75409630226204</v>
      </c>
      <c r="M3515">
        <v>15.0420161978228</v>
      </c>
      <c r="N3515">
        <v>57.385185702846599</v>
      </c>
      <c r="O3515">
        <v>53.561636497140398</v>
      </c>
      <c r="P3515">
        <v>-5.1577769299043598E-2</v>
      </c>
      <c r="Q3515">
        <v>0.26544057254023301</v>
      </c>
      <c r="R3515">
        <v>0.98997336165192795</v>
      </c>
      <c r="S3515" t="s">
        <v>7144</v>
      </c>
      <c r="T3515" t="s">
        <v>7256</v>
      </c>
      <c r="U3515" t="s">
        <v>7256</v>
      </c>
      <c r="V3515" t="s">
        <v>7256</v>
      </c>
      <c r="W3515">
        <v>13</v>
      </c>
      <c r="X3515" t="s">
        <v>10771</v>
      </c>
      <c r="Y3515">
        <v>0.6350166754556954</v>
      </c>
      <c r="Z3515" t="str">
        <f>HYPERLINK("Melting_Curves/meltCurve_tr_J3KNF4_J3KNF4_HUMAN_.pdf", "Melting_Curves/meltCurve_tr_J3KNF4_J3KNF4_HUMAN_.pdf")</f>
        <v>Melting_Curves/meltCurve_tr_J3KNF4_J3KNF4_HUMAN_.pdf</v>
      </c>
      <c r="AA3515" t="s">
        <v>14325</v>
      </c>
      <c r="AB3515" t="s">
        <v>17919</v>
      </c>
    </row>
    <row r="3516" spans="1:28" x14ac:dyDescent="0.25">
      <c r="A3516" t="s">
        <v>3520</v>
      </c>
      <c r="B3516">
        <v>0.98018197421672304</v>
      </c>
      <c r="C3516">
        <v>0.86555465020189404</v>
      </c>
      <c r="D3516">
        <v>0.84316684531003905</v>
      </c>
      <c r="E3516">
        <v>0.67326532808669703</v>
      </c>
      <c r="F3516">
        <v>0.25309145528098798</v>
      </c>
      <c r="G3516">
        <v>0.10599621154134201</v>
      </c>
      <c r="H3516">
        <v>6.3447828483927604E-2</v>
      </c>
      <c r="I3516">
        <v>5.5305963427082001E-2</v>
      </c>
      <c r="J3516">
        <v>7.0763530033380206E-2</v>
      </c>
      <c r="K3516">
        <v>5.84997739194804E-2</v>
      </c>
      <c r="L3516">
        <v>1060.4147780692399</v>
      </c>
      <c r="M3516">
        <v>20.936940635938701</v>
      </c>
      <c r="N3516">
        <v>50.861378991481502</v>
      </c>
      <c r="O3516">
        <v>50.192772944806002</v>
      </c>
      <c r="P3516">
        <v>-9.9901383763794593E-2</v>
      </c>
      <c r="Q3516">
        <v>4.2039354812936601E-2</v>
      </c>
      <c r="R3516">
        <v>0.97954892273142902</v>
      </c>
      <c r="S3516" t="s">
        <v>7145</v>
      </c>
      <c r="T3516" t="s">
        <v>7256</v>
      </c>
      <c r="U3516" t="s">
        <v>7256</v>
      </c>
      <c r="V3516" t="s">
        <v>7256</v>
      </c>
      <c r="W3516">
        <v>2</v>
      </c>
      <c r="X3516" t="s">
        <v>10772</v>
      </c>
      <c r="Y3516">
        <v>0.39424713254943661</v>
      </c>
      <c r="Z3516" t="str">
        <f>HYPERLINK("Melting_Curves/meltCurve_tr_J3KNJ2_J3KNJ2_HUMAN_.pdf", "Melting_Curves/meltCurve_tr_J3KNJ2_J3KNJ2_HUMAN_.pdf")</f>
        <v>Melting_Curves/meltCurve_tr_J3KNJ2_J3KNJ2_HUMAN_.pdf</v>
      </c>
      <c r="AA3516" t="s">
        <v>14326</v>
      </c>
      <c r="AB3516" t="s">
        <v>17920</v>
      </c>
    </row>
    <row r="3517" spans="1:28" x14ac:dyDescent="0.25">
      <c r="A3517" t="s">
        <v>3521</v>
      </c>
      <c r="B3517">
        <v>0.98018197421672304</v>
      </c>
      <c r="C3517">
        <v>1.0609212861550601</v>
      </c>
      <c r="D3517">
        <v>0.994607763621846</v>
      </c>
      <c r="E3517">
        <v>0.84746071506551102</v>
      </c>
      <c r="F3517">
        <v>0.69651738409011499</v>
      </c>
      <c r="G3517">
        <v>0.51383234251172305</v>
      </c>
      <c r="H3517">
        <v>0.49201724578453498</v>
      </c>
      <c r="I3517">
        <v>0.52068267762012099</v>
      </c>
      <c r="J3517">
        <v>0.726031440485986</v>
      </c>
      <c r="K3517">
        <v>0.82422459456265595</v>
      </c>
      <c r="L3517">
        <v>2053.701242657</v>
      </c>
      <c r="M3517">
        <v>40.582816013079203</v>
      </c>
      <c r="O3517">
        <v>50.48278972528</v>
      </c>
      <c r="P3517">
        <v>-7.6665625801529899E-2</v>
      </c>
      <c r="Q3517">
        <v>0.61852951904360398</v>
      </c>
      <c r="R3517">
        <v>0.75972876697849701</v>
      </c>
      <c r="S3517" t="s">
        <v>7146</v>
      </c>
      <c r="T3517" t="s">
        <v>7256</v>
      </c>
      <c r="U3517" t="s">
        <v>7256</v>
      </c>
      <c r="V3517" t="s">
        <v>7256</v>
      </c>
      <c r="W3517">
        <v>14</v>
      </c>
      <c r="X3517" t="s">
        <v>10773</v>
      </c>
      <c r="Y3517">
        <v>0.75467793334164179</v>
      </c>
      <c r="Z3517" t="str">
        <f>HYPERLINK("Melting_Curves/meltCurve_tr_J3KNL6_J3KNL6_HUMAN_.pdf", "Melting_Curves/meltCurve_tr_J3KNL6_J3KNL6_HUMAN_.pdf")</f>
        <v>Melting_Curves/meltCurve_tr_J3KNL6_J3KNL6_HUMAN_.pdf</v>
      </c>
      <c r="AA3517" t="s">
        <v>14327</v>
      </c>
      <c r="AB3517" t="s">
        <v>17921</v>
      </c>
    </row>
    <row r="3518" spans="1:28" x14ac:dyDescent="0.25">
      <c r="A3518" t="s">
        <v>3522</v>
      </c>
      <c r="B3518">
        <v>0.98018197421672304</v>
      </c>
      <c r="C3518">
        <v>0.89609459199112496</v>
      </c>
      <c r="D3518">
        <v>0.97589714944176198</v>
      </c>
      <c r="E3518">
        <v>0.77955747146701904</v>
      </c>
      <c r="F3518">
        <v>0.67002932045102603</v>
      </c>
      <c r="G3518">
        <v>0.51171786359833304</v>
      </c>
      <c r="H3518">
        <v>0.40669216121387203</v>
      </c>
      <c r="I3518">
        <v>0.38035446531172401</v>
      </c>
      <c r="J3518">
        <v>0.48773187729022999</v>
      </c>
      <c r="K3518">
        <v>0.47488896648630102</v>
      </c>
      <c r="L3518">
        <v>972.846320279108</v>
      </c>
      <c r="M3518">
        <v>18.859835776224902</v>
      </c>
      <c r="N3518">
        <v>57.475975404513399</v>
      </c>
      <c r="O3518">
        <v>51.013527773930697</v>
      </c>
      <c r="P3518">
        <v>-5.2897992018146302E-2</v>
      </c>
      <c r="Q3518">
        <v>0.42769333052359298</v>
      </c>
      <c r="R3518">
        <v>0.95698263440355402</v>
      </c>
      <c r="S3518" t="s">
        <v>7147</v>
      </c>
      <c r="T3518" t="s">
        <v>7256</v>
      </c>
      <c r="U3518" t="s">
        <v>7256</v>
      </c>
      <c r="V3518" t="s">
        <v>7256</v>
      </c>
      <c r="W3518">
        <v>4</v>
      </c>
      <c r="X3518" t="s">
        <v>10774</v>
      </c>
      <c r="Y3518">
        <v>0.65747886377363973</v>
      </c>
      <c r="Z3518" t="str">
        <f>HYPERLINK("Melting_Curves/meltCurve_tr_J3KP19_J3KP19_HUMAN_.pdf", "Melting_Curves/meltCurve_tr_J3KP19_J3KP19_HUMAN_.pdf")</f>
        <v>Melting_Curves/meltCurve_tr_J3KP19_J3KP19_HUMAN_.pdf</v>
      </c>
      <c r="AA3518" t="s">
        <v>14328</v>
      </c>
      <c r="AB3518" t="s">
        <v>17922</v>
      </c>
    </row>
    <row r="3519" spans="1:28" x14ac:dyDescent="0.25">
      <c r="A3519" t="s">
        <v>3523</v>
      </c>
      <c r="B3519">
        <v>0.98018197421672304</v>
      </c>
      <c r="C3519">
        <v>0.91867806980621702</v>
      </c>
      <c r="D3519">
        <v>0.88151234456781102</v>
      </c>
      <c r="E3519">
        <v>0.57453115038001601</v>
      </c>
      <c r="F3519">
        <v>0.35963939439528603</v>
      </c>
      <c r="G3519">
        <v>0.23699670950315899</v>
      </c>
      <c r="H3519">
        <v>0.201435246814576</v>
      </c>
      <c r="I3519">
        <v>0.26363701311611398</v>
      </c>
      <c r="J3519">
        <v>0.29702073185101702</v>
      </c>
      <c r="K3519">
        <v>0.27725548147700102</v>
      </c>
      <c r="L3519">
        <v>1166.10645356395</v>
      </c>
      <c r="M3519">
        <v>23.683815731890601</v>
      </c>
      <c r="N3519">
        <v>50.703364396625801</v>
      </c>
      <c r="O3519">
        <v>48.889446540256699</v>
      </c>
      <c r="P3519">
        <v>-9.1074320267700903E-2</v>
      </c>
      <c r="Q3519">
        <v>0.24801007572040901</v>
      </c>
      <c r="R3519">
        <v>0.98649040828512502</v>
      </c>
      <c r="S3519" t="s">
        <v>7148</v>
      </c>
      <c r="T3519" t="s">
        <v>7256</v>
      </c>
      <c r="U3519" t="s">
        <v>7256</v>
      </c>
      <c r="V3519" t="s">
        <v>7256</v>
      </c>
      <c r="W3519">
        <v>3</v>
      </c>
      <c r="X3519" t="s">
        <v>10775</v>
      </c>
      <c r="Y3519">
        <v>0.48698946655792602</v>
      </c>
      <c r="Z3519" t="str">
        <f>HYPERLINK("Melting_Curves/meltCurve_tr_J3KP29_J3KP29_HUMAN_.pdf", "Melting_Curves/meltCurve_tr_J3KP29_J3KP29_HUMAN_.pdf")</f>
        <v>Melting_Curves/meltCurve_tr_J3KP29_J3KP29_HUMAN_.pdf</v>
      </c>
      <c r="AA3519" t="s">
        <v>14329</v>
      </c>
      <c r="AB3519" t="s">
        <v>17923</v>
      </c>
    </row>
    <row r="3520" spans="1:28" x14ac:dyDescent="0.25">
      <c r="A3520" t="s">
        <v>3524</v>
      </c>
      <c r="B3520">
        <v>0.98018197421672304</v>
      </c>
      <c r="C3520">
        <v>0.94312235458154703</v>
      </c>
      <c r="D3520">
        <v>0.90108068581377498</v>
      </c>
      <c r="E3520">
        <v>0.72997153401913695</v>
      </c>
      <c r="F3520">
        <v>0.54972556393555005</v>
      </c>
      <c r="G3520">
        <v>0.354265519441685</v>
      </c>
      <c r="H3520">
        <v>0.37302023045576799</v>
      </c>
      <c r="I3520">
        <v>0.37515723928438499</v>
      </c>
      <c r="J3520">
        <v>0.41509582864548</v>
      </c>
      <c r="K3520">
        <v>0.47385132606410102</v>
      </c>
      <c r="L3520">
        <v>1139.15255282062</v>
      </c>
      <c r="M3520">
        <v>22.7077133223601</v>
      </c>
      <c r="N3520">
        <v>53.803627815829401</v>
      </c>
      <c r="O3520">
        <v>49.781688535821402</v>
      </c>
      <c r="P3520">
        <v>-6.93007996269209E-2</v>
      </c>
      <c r="Q3520">
        <v>0.39230465247490898</v>
      </c>
      <c r="R3520">
        <v>0.96919291953444797</v>
      </c>
      <c r="S3520" t="s">
        <v>7149</v>
      </c>
      <c r="T3520" t="s">
        <v>7256</v>
      </c>
      <c r="U3520" t="s">
        <v>7256</v>
      </c>
      <c r="V3520" t="s">
        <v>7256</v>
      </c>
      <c r="W3520">
        <v>9</v>
      </c>
      <c r="X3520" t="s">
        <v>10776</v>
      </c>
      <c r="Y3520">
        <v>0.60482068433627323</v>
      </c>
      <c r="Z3520" t="str">
        <f>HYPERLINK("Melting_Curves/meltCurve_tr_J3KP36_J3KP36_HUMAN_.pdf", "Melting_Curves/meltCurve_tr_J3KP36_J3KP36_HUMAN_.pdf")</f>
        <v>Melting_Curves/meltCurve_tr_J3KP36_J3KP36_HUMAN_.pdf</v>
      </c>
      <c r="AA3520" t="s">
        <v>14330</v>
      </c>
      <c r="AB3520" t="s">
        <v>17924</v>
      </c>
    </row>
    <row r="3521" spans="1:28" x14ac:dyDescent="0.25">
      <c r="A3521" t="s">
        <v>3525</v>
      </c>
      <c r="B3521">
        <v>0.98018197421672304</v>
      </c>
      <c r="C3521">
        <v>0.999149990566776</v>
      </c>
      <c r="D3521">
        <v>0.93088532956949799</v>
      </c>
      <c r="E3521">
        <v>0.71709650213486498</v>
      </c>
      <c r="F3521">
        <v>0.39063416704257098</v>
      </c>
      <c r="G3521">
        <v>0.144329270104497</v>
      </c>
      <c r="H3521">
        <v>7.7992861982022696E-2</v>
      </c>
      <c r="I3521">
        <v>5.1726515864388298E-2</v>
      </c>
      <c r="J3521">
        <v>5.7255248014981601E-2</v>
      </c>
      <c r="K3521">
        <v>3.2242250371817702E-2</v>
      </c>
      <c r="L3521">
        <v>1185.57518660748</v>
      </c>
      <c r="M3521">
        <v>22.897183034428199</v>
      </c>
      <c r="N3521">
        <v>51.9757561485266</v>
      </c>
      <c r="O3521">
        <v>51.3881206877655</v>
      </c>
      <c r="P3521">
        <v>-0.106753303167817</v>
      </c>
      <c r="Q3521">
        <v>4.1673013978311801E-2</v>
      </c>
      <c r="R3521">
        <v>0.99924867641233905</v>
      </c>
      <c r="S3521" t="s">
        <v>7150</v>
      </c>
      <c r="T3521" t="s">
        <v>7256</v>
      </c>
      <c r="U3521" t="s">
        <v>7256</v>
      </c>
      <c r="V3521" t="s">
        <v>7256</v>
      </c>
      <c r="W3521">
        <v>19</v>
      </c>
      <c r="X3521" t="s">
        <v>10777</v>
      </c>
      <c r="Y3521">
        <v>0.42824778704300021</v>
      </c>
      <c r="Z3521" t="str">
        <f>HYPERLINK("Melting_Curves/meltCurve_tr_J3KPV7_J3KPV7_HUMAN_.pdf", "Melting_Curves/meltCurve_tr_J3KPV7_J3KPV7_HUMAN_.pdf")</f>
        <v>Melting_Curves/meltCurve_tr_J3KPV7_J3KPV7_HUMAN_.pdf</v>
      </c>
      <c r="AA3521" t="s">
        <v>14331</v>
      </c>
      <c r="AB3521" t="s">
        <v>17925</v>
      </c>
    </row>
    <row r="3522" spans="1:28" x14ac:dyDescent="0.25">
      <c r="A3522" t="s">
        <v>3526</v>
      </c>
      <c r="B3522">
        <v>0.98018197421672304</v>
      </c>
      <c r="C3522">
        <v>0.75804203204093501</v>
      </c>
      <c r="D3522">
        <v>0.88079567647974899</v>
      </c>
      <c r="E3522">
        <v>0.92168702087745702</v>
      </c>
      <c r="F3522">
        <v>0.69412474536749202</v>
      </c>
      <c r="G3522">
        <v>0.26957735479983602</v>
      </c>
      <c r="H3522">
        <v>0.30036285311205402</v>
      </c>
      <c r="I3522">
        <v>0.39510576645176898</v>
      </c>
      <c r="J3522">
        <v>0</v>
      </c>
      <c r="K3522">
        <v>0.388870762411127</v>
      </c>
      <c r="L3522">
        <v>2169.8752719906902</v>
      </c>
      <c r="M3522">
        <v>40.6929750180106</v>
      </c>
      <c r="N3522">
        <v>54.310186378455001</v>
      </c>
      <c r="O3522">
        <v>53.194802777251297</v>
      </c>
      <c r="P3522">
        <v>-0.141264122737564</v>
      </c>
      <c r="Q3522">
        <v>0.26134645221025599</v>
      </c>
      <c r="R3522">
        <v>0.81860529907465296</v>
      </c>
      <c r="S3522" t="s">
        <v>7151</v>
      </c>
      <c r="T3522" t="s">
        <v>7256</v>
      </c>
      <c r="U3522" t="s">
        <v>7256</v>
      </c>
      <c r="V3522" t="s">
        <v>7256</v>
      </c>
      <c r="W3522">
        <v>1</v>
      </c>
      <c r="X3522" t="s">
        <v>10778</v>
      </c>
      <c r="Y3522">
        <v>0.59201171486515602</v>
      </c>
      <c r="Z3522" t="str">
        <f>HYPERLINK("Melting_Curves/meltCurve_tr_J3KQ72_J3KQ72_HUMAN_.pdf", "Melting_Curves/meltCurve_tr_J3KQ72_J3KQ72_HUMAN_.pdf")</f>
        <v>Melting_Curves/meltCurve_tr_J3KQ72_J3KQ72_HUMAN_.pdf</v>
      </c>
      <c r="AA3522" t="s">
        <v>14332</v>
      </c>
      <c r="AB3522" t="s">
        <v>17926</v>
      </c>
    </row>
    <row r="3523" spans="1:28" x14ac:dyDescent="0.25">
      <c r="A3523" t="s">
        <v>3527</v>
      </c>
      <c r="B3523">
        <v>0.98018197421672304</v>
      </c>
      <c r="C3523">
        <v>0.963129710261864</v>
      </c>
      <c r="D3523">
        <v>0.91257527089718904</v>
      </c>
      <c r="E3523">
        <v>0.76302121533056</v>
      </c>
      <c r="F3523">
        <v>0.65033226343580797</v>
      </c>
      <c r="G3523">
        <v>0.417001587782516</v>
      </c>
      <c r="H3523">
        <v>0.36511691727381701</v>
      </c>
      <c r="I3523">
        <v>0.41771273745915799</v>
      </c>
      <c r="J3523">
        <v>0.43040045896770002</v>
      </c>
      <c r="K3523">
        <v>0.53468352351972304</v>
      </c>
      <c r="L3523">
        <v>1075.9363373552601</v>
      </c>
      <c r="M3523">
        <v>21.1440151414069</v>
      </c>
      <c r="N3523">
        <v>55.874413240437001</v>
      </c>
      <c r="O3523">
        <v>50.437482688340097</v>
      </c>
      <c r="P3523">
        <v>-6.03378828726477E-2</v>
      </c>
      <c r="Q3523">
        <v>0.42428883080083701</v>
      </c>
      <c r="R3523">
        <v>0.95111603329928696</v>
      </c>
      <c r="S3523" t="s">
        <v>7152</v>
      </c>
      <c r="T3523" t="s">
        <v>7256</v>
      </c>
      <c r="U3523" t="s">
        <v>7256</v>
      </c>
      <c r="V3523" t="s">
        <v>7256</v>
      </c>
      <c r="W3523">
        <v>2</v>
      </c>
      <c r="X3523" t="s">
        <v>10779</v>
      </c>
      <c r="Y3523">
        <v>0.64039104262967517</v>
      </c>
      <c r="Z3523" t="str">
        <f>HYPERLINK("Melting_Curves/meltCurve_tr_J3KQC3_J3KQC3_HUMAN_.pdf", "Melting_Curves/meltCurve_tr_J3KQC3_J3KQC3_HUMAN_.pdf")</f>
        <v>Melting_Curves/meltCurve_tr_J3KQC3_J3KQC3_HUMAN_.pdf</v>
      </c>
      <c r="AA3523" t="s">
        <v>14333</v>
      </c>
      <c r="AB3523" t="s">
        <v>17927</v>
      </c>
    </row>
    <row r="3524" spans="1:28" x14ac:dyDescent="0.25">
      <c r="A3524" t="s">
        <v>3528</v>
      </c>
      <c r="B3524">
        <v>0.98018197421672304</v>
      </c>
      <c r="C3524">
        <v>0.99672562181576596</v>
      </c>
      <c r="D3524">
        <v>0.82014345117035703</v>
      </c>
      <c r="E3524">
        <v>0.52242344109919503</v>
      </c>
      <c r="F3524">
        <v>0.22792303557710999</v>
      </c>
      <c r="G3524">
        <v>9.3068402727665006E-2</v>
      </c>
      <c r="H3524">
        <v>6.7769097854170596E-2</v>
      </c>
      <c r="I3524">
        <v>5.5299674951124998E-2</v>
      </c>
      <c r="J3524">
        <v>5.0224696336380298E-2</v>
      </c>
      <c r="K3524">
        <v>1.65901102045517E-2</v>
      </c>
      <c r="L3524">
        <v>1027.75268588521</v>
      </c>
      <c r="M3524">
        <v>20.645893638500901</v>
      </c>
      <c r="N3524">
        <v>49.953742056879598</v>
      </c>
      <c r="O3524">
        <v>49.320065527407102</v>
      </c>
      <c r="P3524">
        <v>-0.101029960952916</v>
      </c>
      <c r="Q3524">
        <v>3.4644098503711501E-2</v>
      </c>
      <c r="R3524">
        <v>0.99729162298309604</v>
      </c>
      <c r="S3524" t="s">
        <v>7153</v>
      </c>
      <c r="T3524" t="s">
        <v>7256</v>
      </c>
      <c r="U3524" t="s">
        <v>7256</v>
      </c>
      <c r="V3524" t="s">
        <v>7256</v>
      </c>
      <c r="W3524">
        <v>2</v>
      </c>
      <c r="X3524" t="s">
        <v>10780</v>
      </c>
      <c r="Y3524">
        <v>0.36198368028725159</v>
      </c>
      <c r="Z3524" t="str">
        <f>HYPERLINK("Melting_Curves/meltCurve_tr_J3KQN6_J3KQN6_HUMAN_.pdf", "Melting_Curves/meltCurve_tr_J3KQN6_J3KQN6_HUMAN_.pdf")</f>
        <v>Melting_Curves/meltCurve_tr_J3KQN6_J3KQN6_HUMAN_.pdf</v>
      </c>
      <c r="AA3524" t="s">
        <v>14334</v>
      </c>
      <c r="AB3524" t="s">
        <v>17928</v>
      </c>
    </row>
    <row r="3525" spans="1:28" x14ac:dyDescent="0.25">
      <c r="A3525" t="s">
        <v>3529</v>
      </c>
      <c r="B3525">
        <v>0.98018197421672304</v>
      </c>
      <c r="C3525">
        <v>1.01721021446855</v>
      </c>
      <c r="D3525">
        <v>0.86590155110814304</v>
      </c>
      <c r="E3525">
        <v>0.73419739720624699</v>
      </c>
      <c r="F3525">
        <v>0.59113844557593598</v>
      </c>
      <c r="G3525">
        <v>0.41680534039203598</v>
      </c>
      <c r="H3525">
        <v>0.41266360230271798</v>
      </c>
      <c r="I3525">
        <v>0.39823622698591299</v>
      </c>
      <c r="J3525">
        <v>0.63375220105228303</v>
      </c>
      <c r="K3525">
        <v>0.69560640532154305</v>
      </c>
      <c r="L3525">
        <v>1195.9450473955001</v>
      </c>
      <c r="M3525">
        <v>24.432686179888101</v>
      </c>
      <c r="O3525">
        <v>48.624198336403403</v>
      </c>
      <c r="P3525">
        <v>-6.1118077754190599E-2</v>
      </c>
      <c r="Q3525">
        <v>0.51347571737722897</v>
      </c>
      <c r="R3525">
        <v>0.80924338202422597</v>
      </c>
      <c r="S3525" t="s">
        <v>7154</v>
      </c>
      <c r="T3525" t="s">
        <v>7256</v>
      </c>
      <c r="U3525" t="s">
        <v>7256</v>
      </c>
      <c r="V3525" t="s">
        <v>7256</v>
      </c>
      <c r="W3525">
        <v>10</v>
      </c>
      <c r="X3525" t="s">
        <v>10781</v>
      </c>
      <c r="Y3525">
        <v>0.66311789697546841</v>
      </c>
      <c r="Z3525" t="str">
        <f>HYPERLINK("Melting_Curves/meltCurve_tr_J3KR05_J3KR05_HUMAN_.pdf", "Melting_Curves/meltCurve_tr_J3KR05_J3KR05_HUMAN_.pdf")</f>
        <v>Melting_Curves/meltCurve_tr_J3KR05_J3KR05_HUMAN_.pdf</v>
      </c>
      <c r="AA3525" t="s">
        <v>14335</v>
      </c>
      <c r="AB3525" t="s">
        <v>17929</v>
      </c>
    </row>
    <row r="3526" spans="1:28" x14ac:dyDescent="0.25">
      <c r="A3526" t="s">
        <v>3530</v>
      </c>
      <c r="B3526">
        <v>0.98018197421672304</v>
      </c>
      <c r="C3526">
        <v>1.08815699254709</v>
      </c>
      <c r="D3526">
        <v>1.1076635944662201</v>
      </c>
      <c r="E3526">
        <v>0.53226363827443501</v>
      </c>
      <c r="F3526">
        <v>0.36133065126684399</v>
      </c>
      <c r="G3526">
        <v>0.27472245022360098</v>
      </c>
      <c r="H3526">
        <v>0.17894241536437799</v>
      </c>
      <c r="I3526">
        <v>5.6433246957966303E-2</v>
      </c>
      <c r="J3526">
        <v>4.7347504462475799E-2</v>
      </c>
      <c r="K3526">
        <v>4.4058559546330603E-2</v>
      </c>
      <c r="L3526">
        <v>1243.7502610563099</v>
      </c>
      <c r="M3526">
        <v>24.491789517858599</v>
      </c>
      <c r="N3526">
        <v>51.249998714607798</v>
      </c>
      <c r="O3526">
        <v>50.447416572286699</v>
      </c>
      <c r="P3526">
        <v>-0.10922033890209</v>
      </c>
      <c r="Q3526">
        <v>0.100138678843975</v>
      </c>
      <c r="R3526">
        <v>0.95491371477808595</v>
      </c>
      <c r="S3526" t="s">
        <v>7155</v>
      </c>
      <c r="T3526" t="s">
        <v>7256</v>
      </c>
      <c r="U3526" t="s">
        <v>7256</v>
      </c>
      <c r="V3526" t="s">
        <v>7256</v>
      </c>
      <c r="W3526">
        <v>2</v>
      </c>
      <c r="X3526" t="s">
        <v>10782</v>
      </c>
      <c r="Y3526">
        <v>0.43200444457766601</v>
      </c>
      <c r="Z3526" t="str">
        <f>HYPERLINK("Melting_Curves/meltCurve_tr_J3KSB8_J3KSB8_HUMAN_.pdf", "Melting_Curves/meltCurve_tr_J3KSB8_J3KSB8_HUMAN_.pdf")</f>
        <v>Melting_Curves/meltCurve_tr_J3KSB8_J3KSB8_HUMAN_.pdf</v>
      </c>
      <c r="AA3526" t="s">
        <v>14336</v>
      </c>
      <c r="AB3526" t="s">
        <v>17930</v>
      </c>
    </row>
    <row r="3527" spans="1:28" x14ac:dyDescent="0.25">
      <c r="A3527" t="s">
        <v>3531</v>
      </c>
      <c r="B3527">
        <v>0.98018197421672304</v>
      </c>
      <c r="C3527">
        <v>0.88197466158334203</v>
      </c>
      <c r="D3527">
        <v>0.72164907289272895</v>
      </c>
      <c r="E3527">
        <v>0.33408511233406502</v>
      </c>
      <c r="F3527">
        <v>7.1528515623565297E-2</v>
      </c>
      <c r="G3527">
        <v>5.0761858823932499E-2</v>
      </c>
      <c r="H3527">
        <v>0</v>
      </c>
      <c r="I3527">
        <v>0</v>
      </c>
      <c r="J3527">
        <v>0</v>
      </c>
      <c r="K3527">
        <v>6.8540261425469207E-2</v>
      </c>
      <c r="L3527">
        <v>1007.61451747563</v>
      </c>
      <c r="M3527">
        <v>21.012834976693402</v>
      </c>
      <c r="N3527">
        <v>47.988261851424099</v>
      </c>
      <c r="O3527">
        <v>47.524389532190398</v>
      </c>
      <c r="P3527">
        <v>-0.10967745399477</v>
      </c>
      <c r="Q3527">
        <v>7.8040221580732896E-3</v>
      </c>
      <c r="R3527">
        <v>0.99295440125137602</v>
      </c>
      <c r="S3527" t="s">
        <v>7156</v>
      </c>
      <c r="T3527" t="s">
        <v>7256</v>
      </c>
      <c r="U3527" t="s">
        <v>7256</v>
      </c>
      <c r="V3527" t="s">
        <v>7256</v>
      </c>
      <c r="W3527">
        <v>2</v>
      </c>
      <c r="X3527" t="s">
        <v>10783</v>
      </c>
      <c r="Y3527">
        <v>0.28351879943659569</v>
      </c>
      <c r="Z3527" t="str">
        <f>HYPERLINK("Melting_Curves/meltCurve_tr_J3KSI8_J3KSI8_HUMAN_.pdf", "Melting_Curves/meltCurve_tr_J3KSI8_J3KSI8_HUMAN_.pdf")</f>
        <v>Melting_Curves/meltCurve_tr_J3KSI8_J3KSI8_HUMAN_.pdf</v>
      </c>
      <c r="AA3527" t="s">
        <v>14337</v>
      </c>
      <c r="AB3527" t="s">
        <v>17931</v>
      </c>
    </row>
    <row r="3528" spans="1:28" x14ac:dyDescent="0.25">
      <c r="A3528" t="s">
        <v>3532</v>
      </c>
      <c r="B3528">
        <v>0.98018197421672304</v>
      </c>
      <c r="C3528">
        <v>0.78673426202683205</v>
      </c>
      <c r="D3528">
        <v>0.75530721602576001</v>
      </c>
      <c r="E3528">
        <v>0.66952264013980101</v>
      </c>
      <c r="F3528">
        <v>0.53022849952251205</v>
      </c>
      <c r="G3528">
        <v>0.35194176178519798</v>
      </c>
      <c r="H3528">
        <v>0.33978532181440202</v>
      </c>
      <c r="I3528">
        <v>0.24012365082369899</v>
      </c>
      <c r="J3528">
        <v>0.21972031486923099</v>
      </c>
      <c r="K3528">
        <v>0.34780066409451199</v>
      </c>
      <c r="L3528">
        <v>468.91920627140598</v>
      </c>
      <c r="M3528">
        <v>9.3225929957392992</v>
      </c>
      <c r="N3528">
        <v>53.187013914643202</v>
      </c>
      <c r="O3528">
        <v>48.147476762121002</v>
      </c>
      <c r="P3528">
        <v>-3.8817584558949902E-2</v>
      </c>
      <c r="Q3528">
        <v>0.19859984731868399</v>
      </c>
      <c r="R3528">
        <v>0.95232405827324895</v>
      </c>
      <c r="S3528" t="s">
        <v>7157</v>
      </c>
      <c r="T3528" t="s">
        <v>7256</v>
      </c>
      <c r="U3528" t="s">
        <v>7256</v>
      </c>
      <c r="V3528" t="s">
        <v>7256</v>
      </c>
      <c r="W3528">
        <v>3</v>
      </c>
      <c r="X3528" t="s">
        <v>10784</v>
      </c>
      <c r="Y3528">
        <v>0.51243139169072904</v>
      </c>
      <c r="Z3528" t="str">
        <f>HYPERLINK("Melting_Curves/meltCurve_tr_J3KSS7_J3KSS7_HUMAN_.pdf", "Melting_Curves/meltCurve_tr_J3KSS7_J3KSS7_HUMAN_.pdf")</f>
        <v>Melting_Curves/meltCurve_tr_J3KSS7_J3KSS7_HUMAN_.pdf</v>
      </c>
      <c r="AA3528" t="s">
        <v>14338</v>
      </c>
      <c r="AB3528" t="s">
        <v>17932</v>
      </c>
    </row>
    <row r="3529" spans="1:28" x14ac:dyDescent="0.25">
      <c r="A3529" t="s">
        <v>3533</v>
      </c>
      <c r="B3529">
        <v>0.98018197421672304</v>
      </c>
      <c r="C3529">
        <v>1.1280249642267799</v>
      </c>
      <c r="D3529">
        <v>0.982209601166808</v>
      </c>
      <c r="E3529">
        <v>0.796423119596815</v>
      </c>
      <c r="F3529">
        <v>0.70156528888367997</v>
      </c>
      <c r="G3529">
        <v>0.41523009984154902</v>
      </c>
      <c r="H3529">
        <v>0.28632818625454298</v>
      </c>
      <c r="I3529">
        <v>0.19092680362462999</v>
      </c>
      <c r="J3529">
        <v>0.209802677500186</v>
      </c>
      <c r="K3529">
        <v>0.209478621236037</v>
      </c>
      <c r="L3529">
        <v>974.63990593124004</v>
      </c>
      <c r="M3529">
        <v>17.9874089892818</v>
      </c>
      <c r="N3529">
        <v>55.547976519389998</v>
      </c>
      <c r="O3529">
        <v>53.528164850639598</v>
      </c>
      <c r="P3529">
        <v>-6.9019982726828799E-2</v>
      </c>
      <c r="Q3529">
        <v>0.17846306132400999</v>
      </c>
      <c r="R3529">
        <v>0.97993663674151699</v>
      </c>
      <c r="S3529" t="s">
        <v>7158</v>
      </c>
      <c r="T3529" t="s">
        <v>7256</v>
      </c>
      <c r="U3529" t="s">
        <v>7256</v>
      </c>
      <c r="V3529" t="s">
        <v>7256</v>
      </c>
      <c r="W3529">
        <v>4</v>
      </c>
      <c r="X3529" t="s">
        <v>10785</v>
      </c>
      <c r="Y3529">
        <v>0.57998956213816466</v>
      </c>
      <c r="Z3529" t="str">
        <f>HYPERLINK("Melting_Curves/meltCurve_tr_J3KSW8_J3KSW8_HUMAN_.pdf", "Melting_Curves/meltCurve_tr_J3KSW8_J3KSW8_HUMAN_.pdf")</f>
        <v>Melting_Curves/meltCurve_tr_J3KSW8_J3KSW8_HUMAN_.pdf</v>
      </c>
      <c r="AA3529" t="s">
        <v>14339</v>
      </c>
      <c r="AB3529" t="s">
        <v>17933</v>
      </c>
    </row>
    <row r="3530" spans="1:28" x14ac:dyDescent="0.25">
      <c r="A3530" t="s">
        <v>3534</v>
      </c>
      <c r="B3530">
        <v>0.98018197421672304</v>
      </c>
      <c r="C3530">
        <v>0.92750114696856101</v>
      </c>
      <c r="D3530">
        <v>0.87810216626482096</v>
      </c>
      <c r="E3530">
        <v>0.770802554765045</v>
      </c>
      <c r="F3530">
        <v>0.74000424757245198</v>
      </c>
      <c r="G3530">
        <v>0.59671009244124595</v>
      </c>
      <c r="H3530">
        <v>0.484435644427329</v>
      </c>
      <c r="I3530">
        <v>0.51488774671628301</v>
      </c>
      <c r="J3530">
        <v>0.64791684809201799</v>
      </c>
      <c r="K3530">
        <v>0.64998758780339605</v>
      </c>
      <c r="L3530">
        <v>707.05482786380799</v>
      </c>
      <c r="M3530">
        <v>14.3248038310374</v>
      </c>
      <c r="O3530">
        <v>48.4267533621775</v>
      </c>
      <c r="P3530">
        <v>-3.2110280901157702E-2</v>
      </c>
      <c r="Q3530">
        <v>0.56584157657079703</v>
      </c>
      <c r="R3530">
        <v>0.87743804433960304</v>
      </c>
      <c r="S3530" t="s">
        <v>7159</v>
      </c>
      <c r="T3530" t="s">
        <v>7256</v>
      </c>
      <c r="U3530" t="s">
        <v>7256</v>
      </c>
      <c r="V3530" t="s">
        <v>7256</v>
      </c>
      <c r="W3530">
        <v>3</v>
      </c>
      <c r="X3530" t="s">
        <v>10786</v>
      </c>
      <c r="Y3530">
        <v>0.7127858691704323</v>
      </c>
      <c r="Z3530" t="str">
        <f>HYPERLINK("Melting_Curves/meltCurve_tr_J3KT51_J3KT51_HUMAN_.pdf", "Melting_Curves/meltCurve_tr_J3KT51_J3KT51_HUMAN_.pdf")</f>
        <v>Melting_Curves/meltCurve_tr_J3KT51_J3KT51_HUMAN_.pdf</v>
      </c>
      <c r="AA3530" t="s">
        <v>14340</v>
      </c>
      <c r="AB3530" t="s">
        <v>17934</v>
      </c>
    </row>
    <row r="3531" spans="1:28" x14ac:dyDescent="0.25">
      <c r="A3531" t="s">
        <v>3535</v>
      </c>
      <c r="B3531">
        <v>0.98018197421672304</v>
      </c>
      <c r="C3531">
        <v>0.97633899262678903</v>
      </c>
      <c r="D3531">
        <v>0.945496157440743</v>
      </c>
      <c r="E3531">
        <v>0.79979911437904205</v>
      </c>
      <c r="F3531">
        <v>0.71412278603960999</v>
      </c>
      <c r="G3531">
        <v>0.23573879254103999</v>
      </c>
      <c r="H3531">
        <v>7.6428111584248504E-2</v>
      </c>
      <c r="I3531">
        <v>5.3284077418583098E-2</v>
      </c>
      <c r="J3531">
        <v>4.9709698408612703E-2</v>
      </c>
      <c r="K3531">
        <v>3.7607781641925998E-2</v>
      </c>
      <c r="L3531">
        <v>1210.5968767064001</v>
      </c>
      <c r="M3531">
        <v>22.2956638384934</v>
      </c>
      <c r="N3531">
        <v>54.393493683023301</v>
      </c>
      <c r="O3531">
        <v>53.8662674844363</v>
      </c>
      <c r="P3531">
        <v>-0.101481071295276</v>
      </c>
      <c r="Q3531">
        <v>1.9308716634943102E-2</v>
      </c>
      <c r="R3531">
        <v>0.99071462270731103</v>
      </c>
      <c r="S3531" t="s">
        <v>7160</v>
      </c>
      <c r="T3531" t="s">
        <v>7256</v>
      </c>
      <c r="U3531" t="s">
        <v>7256</v>
      </c>
      <c r="V3531" t="s">
        <v>7256</v>
      </c>
      <c r="W3531">
        <v>10</v>
      </c>
      <c r="X3531" t="s">
        <v>10787</v>
      </c>
      <c r="Y3531">
        <v>0.49778406075443749</v>
      </c>
      <c r="Z3531" t="str">
        <f>HYPERLINK("Melting_Curves/meltCurve_tr_J3KTF8_J3KTF8_HUMAN_.pdf", "Melting_Curves/meltCurve_tr_J3KTF8_J3KTF8_HUMAN_.pdf")</f>
        <v>Melting_Curves/meltCurve_tr_J3KTF8_J3KTF8_HUMAN_.pdf</v>
      </c>
      <c r="AA3531" t="s">
        <v>14341</v>
      </c>
      <c r="AB3531" t="s">
        <v>17935</v>
      </c>
    </row>
    <row r="3532" spans="1:28" x14ac:dyDescent="0.25">
      <c r="A3532" t="s">
        <v>3536</v>
      </c>
      <c r="B3532">
        <v>0.98018197421672304</v>
      </c>
      <c r="C3532">
        <v>0.683541048242859</v>
      </c>
      <c r="D3532">
        <v>0.586808683642287</v>
      </c>
      <c r="E3532">
        <v>0.44315220586460702</v>
      </c>
      <c r="F3532">
        <v>8.9618087187632506E-2</v>
      </c>
      <c r="G3532">
        <v>3.6103714473439803E-2</v>
      </c>
      <c r="H3532">
        <v>1.9727412415394802E-2</v>
      </c>
      <c r="I3532">
        <v>1.32335629107214E-2</v>
      </c>
      <c r="J3532">
        <v>6.6651132083924997E-3</v>
      </c>
      <c r="K3532">
        <v>5.9555280994968802E-3</v>
      </c>
      <c r="L3532">
        <v>641.18296453273297</v>
      </c>
      <c r="M3532">
        <v>13.6274642134288</v>
      </c>
      <c r="N3532">
        <v>47.050796395638798</v>
      </c>
      <c r="O3532">
        <v>46.072294675399903</v>
      </c>
      <c r="P3532">
        <v>-7.3956963715337706E-2</v>
      </c>
      <c r="Q3532">
        <v>0</v>
      </c>
      <c r="R3532">
        <v>0.96187021434406905</v>
      </c>
      <c r="S3532" t="s">
        <v>7161</v>
      </c>
      <c r="T3532" t="s">
        <v>7256</v>
      </c>
      <c r="U3532" t="s">
        <v>7256</v>
      </c>
      <c r="V3532" t="s">
        <v>7256</v>
      </c>
      <c r="W3532">
        <v>1</v>
      </c>
      <c r="X3532" t="s">
        <v>10788</v>
      </c>
      <c r="Y3532">
        <v>0.26787732695217759</v>
      </c>
      <c r="Z3532" t="str">
        <f>HYPERLINK("Melting_Curves/meltCurve_tr_J3QK84_J3QK84_HUMAN_.pdf", "Melting_Curves/meltCurve_tr_J3QK84_J3QK84_HUMAN_.pdf")</f>
        <v>Melting_Curves/meltCurve_tr_J3QK84_J3QK84_HUMAN_.pdf</v>
      </c>
      <c r="AA3532" t="s">
        <v>14342</v>
      </c>
      <c r="AB3532" t="s">
        <v>17936</v>
      </c>
    </row>
    <row r="3533" spans="1:28" x14ac:dyDescent="0.25">
      <c r="A3533" t="s">
        <v>3537</v>
      </c>
      <c r="B3533">
        <v>0.98018197421672304</v>
      </c>
      <c r="C3533">
        <v>0.88787402297908002</v>
      </c>
      <c r="D3533">
        <v>0.948140836129297</v>
      </c>
      <c r="E3533">
        <v>0.81945537070608299</v>
      </c>
      <c r="F3533">
        <v>0.62412996304475599</v>
      </c>
      <c r="G3533">
        <v>0.45646413053853502</v>
      </c>
      <c r="H3533">
        <v>0.26814403967483103</v>
      </c>
      <c r="I3533">
        <v>0.188609763131278</v>
      </c>
      <c r="J3533">
        <v>0.148630033969193</v>
      </c>
      <c r="K3533">
        <v>0.121998899009643</v>
      </c>
      <c r="L3533">
        <v>661.37393395864001</v>
      </c>
      <c r="M3533">
        <v>11.9367357143513</v>
      </c>
      <c r="N3533">
        <v>55.780263972364303</v>
      </c>
      <c r="O3533">
        <v>53.920235011048298</v>
      </c>
      <c r="P3533">
        <v>-5.32309240248275E-2</v>
      </c>
      <c r="Q3533">
        <v>3.8424567252189699E-2</v>
      </c>
      <c r="R3533">
        <v>0.99131405800645001</v>
      </c>
      <c r="S3533" t="s">
        <v>7162</v>
      </c>
      <c r="T3533" t="s">
        <v>7256</v>
      </c>
      <c r="U3533" t="s">
        <v>7256</v>
      </c>
      <c r="V3533" t="s">
        <v>7256</v>
      </c>
      <c r="W3533">
        <v>2</v>
      </c>
      <c r="X3533" t="s">
        <v>10789</v>
      </c>
      <c r="Y3533">
        <v>0.55371207312440018</v>
      </c>
      <c r="Z3533" t="str">
        <f>HYPERLINK("Melting_Curves/meltCurve_tr_J3QKK8_J3QKK8_HUMAN_.pdf", "Melting_Curves/meltCurve_tr_J3QKK8_J3QKK8_HUMAN_.pdf")</f>
        <v>Melting_Curves/meltCurve_tr_J3QKK8_J3QKK8_HUMAN_.pdf</v>
      </c>
      <c r="AA3533" t="s">
        <v>14343</v>
      </c>
      <c r="AB3533" t="s">
        <v>17937</v>
      </c>
    </row>
    <row r="3534" spans="1:28" x14ac:dyDescent="0.25">
      <c r="A3534" t="s">
        <v>3538</v>
      </c>
      <c r="B3534">
        <v>0.98018197421672304</v>
      </c>
      <c r="C3534">
        <v>0.90718094748314804</v>
      </c>
      <c r="D3534">
        <v>0.99897502396454696</v>
      </c>
      <c r="E3534">
        <v>0.86455319520491303</v>
      </c>
      <c r="F3534">
        <v>0.83799497415354396</v>
      </c>
      <c r="G3534">
        <v>0.74190893852907103</v>
      </c>
      <c r="H3534">
        <v>0.460065197671643</v>
      </c>
      <c r="I3534">
        <v>0.36293203947270702</v>
      </c>
      <c r="J3534">
        <v>0.32158554708452902</v>
      </c>
      <c r="K3534">
        <v>0.58794708527202699</v>
      </c>
      <c r="L3534">
        <v>1048.41866494385</v>
      </c>
      <c r="M3534">
        <v>18.719393683665199</v>
      </c>
      <c r="N3534">
        <v>61.203321397794802</v>
      </c>
      <c r="O3534">
        <v>55.3796728558914</v>
      </c>
      <c r="P3534">
        <v>-5.0876945123666403E-2</v>
      </c>
      <c r="Q3534">
        <v>0.397965735774366</v>
      </c>
      <c r="R3534">
        <v>0.87251021044061705</v>
      </c>
      <c r="S3534" t="s">
        <v>7163</v>
      </c>
      <c r="T3534" t="s">
        <v>7256</v>
      </c>
      <c r="U3534" t="s">
        <v>7256</v>
      </c>
      <c r="V3534" t="s">
        <v>7256</v>
      </c>
      <c r="W3534">
        <v>2</v>
      </c>
      <c r="X3534" t="s">
        <v>10790</v>
      </c>
      <c r="Y3534">
        <v>0.72764487175557968</v>
      </c>
      <c r="Z3534" t="str">
        <f>HYPERLINK("Melting_Curves/meltCurve_tr_J3QL05_J3QL05_HUMAN_.pdf", "Melting_Curves/meltCurve_tr_J3QL05_J3QL05_HUMAN_.pdf")</f>
        <v>Melting_Curves/meltCurve_tr_J3QL05_J3QL05_HUMAN_.pdf</v>
      </c>
      <c r="AA3534" t="s">
        <v>14344</v>
      </c>
      <c r="AB3534" t="s">
        <v>17938</v>
      </c>
    </row>
    <row r="3535" spans="1:28" x14ac:dyDescent="0.25">
      <c r="A3535" t="s">
        <v>3539</v>
      </c>
      <c r="B3535">
        <v>0.98018197421672304</v>
      </c>
      <c r="C3535">
        <v>1.0080964713123199</v>
      </c>
      <c r="D3535">
        <v>0.92289353513866101</v>
      </c>
      <c r="E3535">
        <v>0.55259596209030104</v>
      </c>
      <c r="F3535">
        <v>0.279321859245588</v>
      </c>
      <c r="G3535">
        <v>0.15240112020689101</v>
      </c>
      <c r="H3535">
        <v>9.2791845143588306E-2</v>
      </c>
      <c r="I3535">
        <v>6.6624238845159903E-2</v>
      </c>
      <c r="J3535">
        <v>7.5479844239513705E-2</v>
      </c>
      <c r="K3535">
        <v>7.5110351716723298E-2</v>
      </c>
      <c r="L3535">
        <v>1219.6249607755799</v>
      </c>
      <c r="M3535">
        <v>24.2862906695159</v>
      </c>
      <c r="N3535">
        <v>50.570467600759002</v>
      </c>
      <c r="O3535">
        <v>49.881891421189501</v>
      </c>
      <c r="P3535">
        <v>-0.112259920299836</v>
      </c>
      <c r="Q3535">
        <v>7.7726136555767905E-2</v>
      </c>
      <c r="R3535">
        <v>0.99860508023695105</v>
      </c>
      <c r="S3535" t="s">
        <v>7164</v>
      </c>
      <c r="T3535" t="s">
        <v>7256</v>
      </c>
      <c r="U3535" t="s">
        <v>7256</v>
      </c>
      <c r="V3535" t="s">
        <v>7256</v>
      </c>
      <c r="W3535">
        <v>1</v>
      </c>
      <c r="X3535" t="s">
        <v>10791</v>
      </c>
      <c r="Y3535">
        <v>0.40062686680608828</v>
      </c>
      <c r="Z3535" t="str">
        <f>HYPERLINK("Melting_Curves/meltCurve_tr_J3QL56_J3QL56_HUMAN_.pdf", "Melting_Curves/meltCurve_tr_J3QL56_J3QL56_HUMAN_.pdf")</f>
        <v>Melting_Curves/meltCurve_tr_J3QL56_J3QL56_HUMAN_.pdf</v>
      </c>
      <c r="AA3535" t="s">
        <v>14345</v>
      </c>
      <c r="AB3535" t="s">
        <v>17939</v>
      </c>
    </row>
    <row r="3536" spans="1:28" x14ac:dyDescent="0.25">
      <c r="A3536" t="s">
        <v>3540</v>
      </c>
      <c r="B3536">
        <v>0.98018197421672304</v>
      </c>
      <c r="C3536">
        <v>0.99198348613271004</v>
      </c>
      <c r="D3536">
        <v>0.83814199150844504</v>
      </c>
      <c r="E3536">
        <v>0.74353720211500696</v>
      </c>
      <c r="F3536">
        <v>0.65366077942872403</v>
      </c>
      <c r="G3536">
        <v>0.73188264778027101</v>
      </c>
      <c r="H3536">
        <v>0.41997720916626702</v>
      </c>
      <c r="I3536">
        <v>0.40388731251536703</v>
      </c>
      <c r="J3536">
        <v>0.45384026084870699</v>
      </c>
      <c r="K3536">
        <v>0.28277484160073701</v>
      </c>
      <c r="L3536">
        <v>369.22747693740399</v>
      </c>
      <c r="M3536">
        <v>6.1464901267728402</v>
      </c>
      <c r="N3536">
        <v>60.902714746732599</v>
      </c>
      <c r="O3536">
        <v>54.645725428524699</v>
      </c>
      <c r="P3536">
        <v>-2.7068259262344199E-2</v>
      </c>
      <c r="Q3536">
        <v>4.0243602950036997E-2</v>
      </c>
      <c r="R3536">
        <v>0.92297632984010503</v>
      </c>
      <c r="S3536" t="s">
        <v>7165</v>
      </c>
      <c r="T3536" t="s">
        <v>7256</v>
      </c>
      <c r="U3536" t="s">
        <v>7256</v>
      </c>
      <c r="V3536" t="s">
        <v>7256</v>
      </c>
      <c r="W3536">
        <v>5</v>
      </c>
      <c r="X3536" t="s">
        <v>10792</v>
      </c>
      <c r="Y3536">
        <v>0.65056773133102075</v>
      </c>
      <c r="Z3536" t="str">
        <f>HYPERLINK("Melting_Curves/meltCurve_tr_J3QLE5_J3QLE5_HUMAN_.pdf", "Melting_Curves/meltCurve_tr_J3QLE5_J3QLE5_HUMAN_.pdf")</f>
        <v>Melting_Curves/meltCurve_tr_J3QLE5_J3QLE5_HUMAN_.pdf</v>
      </c>
      <c r="AA3536" t="s">
        <v>14346</v>
      </c>
      <c r="AB3536" t="s">
        <v>17940</v>
      </c>
    </row>
    <row r="3537" spans="1:28" x14ac:dyDescent="0.25">
      <c r="A3537" t="s">
        <v>3541</v>
      </c>
      <c r="B3537">
        <v>0.98018197421672304</v>
      </c>
      <c r="C3537">
        <v>1.07075000153894</v>
      </c>
      <c r="D3537">
        <v>0.87194120784788598</v>
      </c>
      <c r="E3537">
        <v>0.747368155433632</v>
      </c>
      <c r="F3537">
        <v>0.61800308745344101</v>
      </c>
      <c r="G3537">
        <v>0.459362373014852</v>
      </c>
      <c r="H3537">
        <v>0.55324080925290697</v>
      </c>
      <c r="I3537">
        <v>0.31892942022065701</v>
      </c>
      <c r="J3537">
        <v>1.2859551787405801</v>
      </c>
      <c r="K3537">
        <v>0.21411840347767699</v>
      </c>
      <c r="L3537">
        <v>1276.9167312572199</v>
      </c>
      <c r="M3537">
        <v>26.218081183967598</v>
      </c>
      <c r="O3537">
        <v>48.422991153894301</v>
      </c>
      <c r="P3537">
        <v>-5.8460354735376502E-2</v>
      </c>
      <c r="Q3537">
        <v>0.56811596001931397</v>
      </c>
      <c r="R3537">
        <v>0.311323076808115</v>
      </c>
      <c r="S3537" t="s">
        <v>7166</v>
      </c>
      <c r="T3537" t="s">
        <v>7256</v>
      </c>
      <c r="U3537" t="s">
        <v>7256</v>
      </c>
      <c r="V3537" t="s">
        <v>7256</v>
      </c>
      <c r="W3537">
        <v>1</v>
      </c>
      <c r="X3537" t="s">
        <v>10793</v>
      </c>
      <c r="Y3537">
        <v>0.69687668310191953</v>
      </c>
      <c r="Z3537" t="str">
        <f>HYPERLINK("Melting_Curves/meltCurve_tr_J3QLI9_J3QLI9_HUMAN_.pdf", "Melting_Curves/meltCurve_tr_J3QLI9_J3QLI9_HUMAN_.pdf")</f>
        <v>Melting_Curves/meltCurve_tr_J3QLI9_J3QLI9_HUMAN_.pdf</v>
      </c>
      <c r="AA3537" t="s">
        <v>14347</v>
      </c>
      <c r="AB3537" t="s">
        <v>15661</v>
      </c>
    </row>
    <row r="3538" spans="1:28" x14ac:dyDescent="0.25">
      <c r="A3538" t="s">
        <v>3542</v>
      </c>
      <c r="B3538">
        <v>0.98018197421672304</v>
      </c>
      <c r="C3538">
        <v>0.96227841728208996</v>
      </c>
      <c r="D3538">
        <v>0.78922779440997803</v>
      </c>
      <c r="E3538">
        <v>0.63745639115342601</v>
      </c>
      <c r="F3538">
        <v>0.51363439075448603</v>
      </c>
      <c r="G3538">
        <v>0.188673042353942</v>
      </c>
      <c r="H3538">
        <v>7.7988232581414796E-2</v>
      </c>
      <c r="I3538">
        <v>5.6951076479173801E-2</v>
      </c>
      <c r="J3538">
        <v>4.5259317991470503E-2</v>
      </c>
      <c r="K3538">
        <v>3.5161784816918597E-2</v>
      </c>
      <c r="L3538">
        <v>716.94427473014798</v>
      </c>
      <c r="M3538">
        <v>13.7851077131825</v>
      </c>
      <c r="N3538">
        <v>52.008596819070704</v>
      </c>
      <c r="O3538">
        <v>50.950777285425403</v>
      </c>
      <c r="P3538">
        <v>-6.76488476278784E-2</v>
      </c>
      <c r="Q3538">
        <v>0</v>
      </c>
      <c r="R3538">
        <v>0.98964939007048702</v>
      </c>
      <c r="S3538" t="s">
        <v>7167</v>
      </c>
      <c r="T3538" t="s">
        <v>7256</v>
      </c>
      <c r="U3538" t="s">
        <v>7256</v>
      </c>
      <c r="V3538" t="s">
        <v>7256</v>
      </c>
      <c r="W3538">
        <v>1</v>
      </c>
      <c r="X3538" t="s">
        <v>10794</v>
      </c>
      <c r="Y3538">
        <v>0.42561689056862939</v>
      </c>
      <c r="Z3538" t="str">
        <f>HYPERLINK("Melting_Curves/meltCurve_tr_J3QLV0_J3QLV0_HUMAN_.pdf", "Melting_Curves/meltCurve_tr_J3QLV0_J3QLV0_HUMAN_.pdf")</f>
        <v>Melting_Curves/meltCurve_tr_J3QLV0_J3QLV0_HUMAN_.pdf</v>
      </c>
      <c r="AA3538" t="s">
        <v>14348</v>
      </c>
      <c r="AB3538" t="s">
        <v>17941</v>
      </c>
    </row>
    <row r="3539" spans="1:28" x14ac:dyDescent="0.25">
      <c r="A3539" t="s">
        <v>3543</v>
      </c>
      <c r="B3539">
        <v>0.98018197421672304</v>
      </c>
      <c r="C3539">
        <v>0.93153955971876501</v>
      </c>
      <c r="D3539">
        <v>0.95535703275786199</v>
      </c>
      <c r="E3539">
        <v>0.77147996637494098</v>
      </c>
      <c r="F3539">
        <v>0.63620289726282497</v>
      </c>
      <c r="G3539">
        <v>0.399225346468498</v>
      </c>
      <c r="H3539">
        <v>0.27036973883577697</v>
      </c>
      <c r="I3539">
        <v>0.22482020370064401</v>
      </c>
      <c r="J3539">
        <v>0.27436234425587103</v>
      </c>
      <c r="K3539">
        <v>0.233646596549903</v>
      </c>
      <c r="L3539">
        <v>876.99698101566503</v>
      </c>
      <c r="M3539">
        <v>16.5315040204339</v>
      </c>
      <c r="N3539">
        <v>54.881332388186699</v>
      </c>
      <c r="O3539">
        <v>52.292002835306903</v>
      </c>
      <c r="P3539">
        <v>-6.2284023305596799E-2</v>
      </c>
      <c r="Q3539">
        <v>0.21199385904040399</v>
      </c>
      <c r="R3539">
        <v>0.99212342810838205</v>
      </c>
      <c r="S3539" t="s">
        <v>7168</v>
      </c>
      <c r="T3539" t="s">
        <v>7256</v>
      </c>
      <c r="U3539" t="s">
        <v>7256</v>
      </c>
      <c r="V3539" t="s">
        <v>7256</v>
      </c>
      <c r="W3539">
        <v>2</v>
      </c>
      <c r="X3539" t="s">
        <v>10795</v>
      </c>
      <c r="Y3539">
        <v>0.56948374842356153</v>
      </c>
      <c r="Z3539" t="str">
        <f>HYPERLINK("Melting_Curves/meltCurve_tr_J3QR09_J3QR09_HUMAN_.pdf", "Melting_Curves/meltCurve_tr_J3QR09_J3QR09_HUMAN_.pdf")</f>
        <v>Melting_Curves/meltCurve_tr_J3QR09_J3QR09_HUMAN_.pdf</v>
      </c>
      <c r="AA3539" t="s">
        <v>14349</v>
      </c>
      <c r="AB3539" t="s">
        <v>17942</v>
      </c>
    </row>
    <row r="3540" spans="1:28" x14ac:dyDescent="0.25">
      <c r="A3540" t="s">
        <v>3544</v>
      </c>
      <c r="B3540">
        <v>0.98018197421672304</v>
      </c>
      <c r="C3540">
        <v>0.78027106293923199</v>
      </c>
      <c r="D3540">
        <v>0.72580939160088098</v>
      </c>
      <c r="E3540">
        <v>0.56700386638668099</v>
      </c>
      <c r="F3540">
        <v>0.15566151890632501</v>
      </c>
      <c r="G3540">
        <v>0.116166694856926</v>
      </c>
      <c r="H3540">
        <v>6.5009647952341196E-2</v>
      </c>
      <c r="I3540">
        <v>1.31570684805166E-2</v>
      </c>
      <c r="J3540">
        <v>3.4562162964975003E-2</v>
      </c>
      <c r="K3540">
        <v>3.16626278744261E-2</v>
      </c>
      <c r="L3540">
        <v>681.02489891831601</v>
      </c>
      <c r="M3540">
        <v>13.8655691391492</v>
      </c>
      <c r="N3540">
        <v>49.116259925883803</v>
      </c>
      <c r="O3540">
        <v>48.128436056167502</v>
      </c>
      <c r="P3540">
        <v>-7.2033687169779897E-2</v>
      </c>
      <c r="Q3540">
        <v>0</v>
      </c>
      <c r="R3540">
        <v>0.96787547561448195</v>
      </c>
      <c r="S3540" t="s">
        <v>7169</v>
      </c>
      <c r="T3540" t="s">
        <v>7256</v>
      </c>
      <c r="U3540" t="s">
        <v>7256</v>
      </c>
      <c r="V3540" t="s">
        <v>7256</v>
      </c>
      <c r="W3540">
        <v>11</v>
      </c>
      <c r="X3540" t="s">
        <v>10796</v>
      </c>
      <c r="Y3540">
        <v>0.3322687853166521</v>
      </c>
      <c r="Z3540" t="str">
        <f>HYPERLINK("Melting_Curves/meltCurve_tr_J3QR64_J3QR64_HUMAN_.pdf", "Melting_Curves/meltCurve_tr_J3QR64_J3QR64_HUMAN_.pdf")</f>
        <v>Melting_Curves/meltCurve_tr_J3QR64_J3QR64_HUMAN_.pdf</v>
      </c>
      <c r="AA3540" t="s">
        <v>12047</v>
      </c>
      <c r="AB3540" t="s">
        <v>17943</v>
      </c>
    </row>
    <row r="3541" spans="1:28" x14ac:dyDescent="0.25">
      <c r="A3541" t="s">
        <v>3545</v>
      </c>
      <c r="B3541">
        <v>0.98018197421672304</v>
      </c>
      <c r="C3541">
        <v>0.85168463969441599</v>
      </c>
      <c r="D3541">
        <v>0.76203549233321499</v>
      </c>
      <c r="E3541">
        <v>0.46291412424762302</v>
      </c>
      <c r="F3541">
        <v>0.28990124110703402</v>
      </c>
      <c r="G3541">
        <v>0.190834684467001</v>
      </c>
      <c r="H3541">
        <v>0.13378266652774901</v>
      </c>
      <c r="I3541">
        <v>7.6671578732479401E-2</v>
      </c>
      <c r="J3541">
        <v>9.9717209275883401E-2</v>
      </c>
      <c r="K3541">
        <v>6.7732301452141805E-2</v>
      </c>
      <c r="L3541">
        <v>688.91787258082695</v>
      </c>
      <c r="M3541">
        <v>14.053332000388099</v>
      </c>
      <c r="N3541">
        <v>49.500643525638097</v>
      </c>
      <c r="O3541">
        <v>48.0610669713666</v>
      </c>
      <c r="P3541">
        <v>-6.8463289979147302E-2</v>
      </c>
      <c r="Q3541">
        <v>6.3570013634418707E-2</v>
      </c>
      <c r="R3541">
        <v>0.99649965690141395</v>
      </c>
      <c r="S3541" t="s">
        <v>7170</v>
      </c>
      <c r="T3541" t="s">
        <v>7256</v>
      </c>
      <c r="U3541" t="s">
        <v>7256</v>
      </c>
      <c r="V3541" t="s">
        <v>7256</v>
      </c>
      <c r="W3541">
        <v>2</v>
      </c>
      <c r="X3541" t="s">
        <v>10797</v>
      </c>
      <c r="Y3541">
        <v>0.37123241396348827</v>
      </c>
      <c r="Z3541" t="str">
        <f>HYPERLINK("Melting_Curves/meltCurve_tr_J3QRD1_J3QRD1_HUMAN_.pdf", "Melting_Curves/meltCurve_tr_J3QRD1_J3QRD1_HUMAN_.pdf")</f>
        <v>Melting_Curves/meltCurve_tr_J3QRD1_J3QRD1_HUMAN_.pdf</v>
      </c>
      <c r="AA3541" t="s">
        <v>14350</v>
      </c>
      <c r="AB3541" t="s">
        <v>17944</v>
      </c>
    </row>
    <row r="3542" spans="1:28" x14ac:dyDescent="0.25">
      <c r="A3542" t="s">
        <v>3546</v>
      </c>
      <c r="B3542">
        <v>0.98018197421672304</v>
      </c>
      <c r="C3542">
        <v>0.79628168332374605</v>
      </c>
      <c r="D3542">
        <v>0.73270762276222201</v>
      </c>
      <c r="E3542">
        <v>0.55406745500913901</v>
      </c>
      <c r="F3542">
        <v>0.42242330097547898</v>
      </c>
      <c r="G3542">
        <v>0.395206315757058</v>
      </c>
      <c r="H3542">
        <v>0.33435264579688501</v>
      </c>
      <c r="I3542">
        <v>0.38273216807210397</v>
      </c>
      <c r="J3542">
        <v>0.33658105811748001</v>
      </c>
      <c r="K3542">
        <v>0.46623250499173602</v>
      </c>
      <c r="L3542">
        <v>695.08236207409402</v>
      </c>
      <c r="M3542">
        <v>14.9953103519231</v>
      </c>
      <c r="N3542">
        <v>50.883227076358899</v>
      </c>
      <c r="O3542">
        <v>45.552383338214099</v>
      </c>
      <c r="P3542">
        <v>-5.1982755376600603E-2</v>
      </c>
      <c r="Q3542">
        <v>0.36841616744748001</v>
      </c>
      <c r="R3542">
        <v>0.95508051496599999</v>
      </c>
      <c r="S3542" t="s">
        <v>7171</v>
      </c>
      <c r="T3542" t="s">
        <v>7256</v>
      </c>
      <c r="U3542" t="s">
        <v>7256</v>
      </c>
      <c r="V3542" t="s">
        <v>7256</v>
      </c>
      <c r="W3542">
        <v>1</v>
      </c>
      <c r="X3542" t="s">
        <v>10798</v>
      </c>
      <c r="Y3542">
        <v>0.5201208219223622</v>
      </c>
      <c r="Z3542" t="str">
        <f>HYPERLINK("Melting_Curves/meltCurve_tr_J3QRX6_J3QRX6_HUMAN_.pdf", "Melting_Curves/meltCurve_tr_J3QRX6_J3QRX6_HUMAN_.pdf")</f>
        <v>Melting_Curves/meltCurve_tr_J3QRX6_J3QRX6_HUMAN_.pdf</v>
      </c>
      <c r="AA3542" t="s">
        <v>14351</v>
      </c>
      <c r="AB3542" t="s">
        <v>17945</v>
      </c>
    </row>
    <row r="3543" spans="1:28" x14ac:dyDescent="0.25">
      <c r="A3543" t="s">
        <v>3547</v>
      </c>
      <c r="B3543">
        <v>0.98018197421672304</v>
      </c>
      <c r="C3543">
        <v>0.87632381363226797</v>
      </c>
      <c r="D3543">
        <v>0.89430038816908197</v>
      </c>
      <c r="E3543">
        <v>0.70170307225514705</v>
      </c>
      <c r="F3543">
        <v>0.76701087940341695</v>
      </c>
      <c r="G3543">
        <v>0.65344113261143999</v>
      </c>
      <c r="H3543">
        <v>0.47343512589414899</v>
      </c>
      <c r="I3543">
        <v>0.46001638149860102</v>
      </c>
      <c r="J3543">
        <v>0.66001851312766702</v>
      </c>
      <c r="K3543">
        <v>0.57087710859630203</v>
      </c>
      <c r="L3543">
        <v>526.07151395542996</v>
      </c>
      <c r="M3543">
        <v>10.5619796060305</v>
      </c>
      <c r="O3543">
        <v>48.121978991365403</v>
      </c>
      <c r="P3543">
        <v>-2.63477169445346E-2</v>
      </c>
      <c r="Q3543">
        <v>0.52001258598918298</v>
      </c>
      <c r="R3543">
        <v>0.82479557326445097</v>
      </c>
      <c r="S3543" t="s">
        <v>7172</v>
      </c>
      <c r="T3543" t="s">
        <v>7256</v>
      </c>
      <c r="U3543" t="s">
        <v>7256</v>
      </c>
      <c r="V3543" t="s">
        <v>7256</v>
      </c>
      <c r="W3543">
        <v>2</v>
      </c>
      <c r="X3543" t="s">
        <v>10799</v>
      </c>
      <c r="Y3543">
        <v>0.69733035245676322</v>
      </c>
      <c r="Z3543" t="str">
        <f>HYPERLINK("Melting_Curves/meltCurve_tr_J3QSV6_J3QSV6_HUMAN_.pdf", "Melting_Curves/meltCurve_tr_J3QSV6_J3QSV6_HUMAN_.pdf")</f>
        <v>Melting_Curves/meltCurve_tr_J3QSV6_J3QSV6_HUMAN_.pdf</v>
      </c>
      <c r="AA3543" t="s">
        <v>14352</v>
      </c>
      <c r="AB3543" t="s">
        <v>17946</v>
      </c>
    </row>
    <row r="3544" spans="1:28" x14ac:dyDescent="0.25">
      <c r="A3544" t="s">
        <v>3548</v>
      </c>
      <c r="B3544">
        <v>0.98018197421672304</v>
      </c>
      <c r="C3544">
        <v>0.97470013607144002</v>
      </c>
      <c r="D3544">
        <v>0.93415427802068496</v>
      </c>
      <c r="E3544">
        <v>0.71311661327589804</v>
      </c>
      <c r="F3544">
        <v>0.403631677086493</v>
      </c>
      <c r="G3544">
        <v>0.21370819648213599</v>
      </c>
      <c r="H3544">
        <v>0.145624849490506</v>
      </c>
      <c r="I3544">
        <v>0.12863229533422599</v>
      </c>
      <c r="J3544">
        <v>9.6318204114526296E-2</v>
      </c>
      <c r="K3544">
        <v>6.7561229560679101E-2</v>
      </c>
      <c r="L3544">
        <v>1080.6606535061301</v>
      </c>
      <c r="M3544">
        <v>20.931504396286702</v>
      </c>
      <c r="N3544">
        <v>52.145282692699297</v>
      </c>
      <c r="O3544">
        <v>51.164121572732398</v>
      </c>
      <c r="P3544">
        <v>-9.2697851251897695E-2</v>
      </c>
      <c r="Q3544">
        <v>9.3677153197413807E-2</v>
      </c>
      <c r="R3544">
        <v>0.99783443541595396</v>
      </c>
      <c r="S3544" t="s">
        <v>7173</v>
      </c>
      <c r="T3544" t="s">
        <v>7256</v>
      </c>
      <c r="U3544" t="s">
        <v>7256</v>
      </c>
      <c r="V3544" t="s">
        <v>7256</v>
      </c>
      <c r="W3544">
        <v>4</v>
      </c>
      <c r="X3544" t="s">
        <v>10800</v>
      </c>
      <c r="Y3544">
        <v>0.45653256120034941</v>
      </c>
      <c r="Z3544" t="str">
        <f>HYPERLINK("Melting_Curves/meltCurve_tr_J3QT28_J3QT28_HUMAN_.pdf", "Melting_Curves/meltCurve_tr_J3QT28_J3QT28_HUMAN_.pdf")</f>
        <v>Melting_Curves/meltCurve_tr_J3QT28_J3QT28_HUMAN_.pdf</v>
      </c>
      <c r="AA3544" t="s">
        <v>14353</v>
      </c>
      <c r="AB3544" t="s">
        <v>17947</v>
      </c>
    </row>
    <row r="3545" spans="1:28" x14ac:dyDescent="0.25">
      <c r="A3545" t="s">
        <v>3549</v>
      </c>
      <c r="B3545">
        <v>0.98018197421672304</v>
      </c>
      <c r="C3545">
        <v>0.79977097965854904</v>
      </c>
      <c r="D3545">
        <v>0.90127090451622704</v>
      </c>
      <c r="E3545">
        <v>0.85443375816574396</v>
      </c>
      <c r="F3545">
        <v>0.56439145008362102</v>
      </c>
      <c r="G3545">
        <v>0.150943592098914</v>
      </c>
      <c r="H3545">
        <v>6.9420938113154002E-2</v>
      </c>
      <c r="I3545">
        <v>5.88652851630991E-2</v>
      </c>
      <c r="J3545">
        <v>6.7392974727709803E-2</v>
      </c>
      <c r="K3545">
        <v>6.0055985813285397E-2</v>
      </c>
      <c r="L3545">
        <v>1444.58806609165</v>
      </c>
      <c r="M3545">
        <v>27.176853914456199</v>
      </c>
      <c r="N3545">
        <v>53.358459771733699</v>
      </c>
      <c r="O3545">
        <v>52.869782682366299</v>
      </c>
      <c r="P3545">
        <v>-0.122187107526898</v>
      </c>
      <c r="Q3545">
        <v>4.9199210037744197E-2</v>
      </c>
      <c r="R3545">
        <v>0.96678479852046295</v>
      </c>
      <c r="S3545" t="s">
        <v>7174</v>
      </c>
      <c r="T3545" t="s">
        <v>7256</v>
      </c>
      <c r="U3545" t="s">
        <v>7256</v>
      </c>
      <c r="V3545" t="s">
        <v>7256</v>
      </c>
      <c r="W3545">
        <v>2</v>
      </c>
      <c r="X3545" t="s">
        <v>10801</v>
      </c>
      <c r="Y3545">
        <v>0.47361037489638858</v>
      </c>
      <c r="Z3545" t="str">
        <f>HYPERLINK("Melting_Curves/meltCurve_tr_J3QT87_J3QT87_HUMAN_.pdf", "Melting_Curves/meltCurve_tr_J3QT87_J3QT87_HUMAN_.pdf")</f>
        <v>Melting_Curves/meltCurve_tr_J3QT87_J3QT87_HUMAN_.pdf</v>
      </c>
      <c r="AA3545" t="s">
        <v>14354</v>
      </c>
      <c r="AB3545" t="s">
        <v>17948</v>
      </c>
    </row>
    <row r="3546" spans="1:28" x14ac:dyDescent="0.25">
      <c r="A3546" t="s">
        <v>3550</v>
      </c>
      <c r="B3546">
        <v>0.98018197421672304</v>
      </c>
      <c r="C3546">
        <v>0.908879008045959</v>
      </c>
      <c r="D3546">
        <v>0.89035959893355998</v>
      </c>
      <c r="E3546">
        <v>0.74190108661089005</v>
      </c>
      <c r="F3546">
        <v>0.64596524924078702</v>
      </c>
      <c r="G3546">
        <v>0.54662497319076497</v>
      </c>
      <c r="H3546">
        <v>0.39603596411773401</v>
      </c>
      <c r="I3546">
        <v>0.410259593634974</v>
      </c>
      <c r="J3546">
        <v>0.44654634190412001</v>
      </c>
      <c r="K3546">
        <v>0.43377071343509499</v>
      </c>
      <c r="L3546">
        <v>627.08133817599003</v>
      </c>
      <c r="M3546">
        <v>12.226292126310099</v>
      </c>
      <c r="N3546">
        <v>58.260668287934102</v>
      </c>
      <c r="O3546">
        <v>49.9753446154998</v>
      </c>
      <c r="P3546">
        <v>-3.7670531587924098E-2</v>
      </c>
      <c r="Q3546">
        <v>0.384220257350741</v>
      </c>
      <c r="R3546">
        <v>0.980982280740054</v>
      </c>
      <c r="S3546" t="s">
        <v>7175</v>
      </c>
      <c r="T3546" t="s">
        <v>7256</v>
      </c>
      <c r="U3546" t="s">
        <v>7256</v>
      </c>
      <c r="V3546" t="s">
        <v>7256</v>
      </c>
      <c r="W3546">
        <v>9</v>
      </c>
      <c r="X3546" t="s">
        <v>10802</v>
      </c>
      <c r="Y3546">
        <v>0.63516928057203459</v>
      </c>
      <c r="Z3546" t="str">
        <f>HYPERLINK("Melting_Curves/meltCurve_tr_J9JIE9_J9JIE9_HUMAN_.pdf", "Melting_Curves/meltCurve_tr_J9JIE9_J9JIE9_HUMAN_.pdf")</f>
        <v>Melting_Curves/meltCurve_tr_J9JIE9_J9JIE9_HUMAN_.pdf</v>
      </c>
      <c r="AA3546" t="s">
        <v>14355</v>
      </c>
      <c r="AB3546" t="s">
        <v>17949</v>
      </c>
    </row>
    <row r="3547" spans="1:28" x14ac:dyDescent="0.25">
      <c r="A3547" t="s">
        <v>3551</v>
      </c>
      <c r="B3547">
        <v>0.98018197421672304</v>
      </c>
      <c r="C3547">
        <v>0.87543346615293605</v>
      </c>
      <c r="D3547">
        <v>0.73168783244106805</v>
      </c>
      <c r="E3547">
        <v>0.355547356785754</v>
      </c>
      <c r="F3547">
        <v>0.15787082227546001</v>
      </c>
      <c r="G3547">
        <v>9.0218055277827697E-2</v>
      </c>
      <c r="H3547">
        <v>6.2010770176085403E-2</v>
      </c>
      <c r="I3547">
        <v>4.8108481209875598E-2</v>
      </c>
      <c r="J3547">
        <v>4.5553728468060203E-2</v>
      </c>
      <c r="K3547">
        <v>4.1179830899325497E-2</v>
      </c>
      <c r="L3547">
        <v>907.81282001043405</v>
      </c>
      <c r="M3547">
        <v>18.8894444020153</v>
      </c>
      <c r="N3547">
        <v>48.2656825308555</v>
      </c>
      <c r="O3547">
        <v>47.530355628179201</v>
      </c>
      <c r="P3547">
        <v>-9.5502883201047897E-2</v>
      </c>
      <c r="Q3547">
        <v>3.88069143934111E-2</v>
      </c>
      <c r="R3547">
        <v>0.99829935083019095</v>
      </c>
      <c r="S3547" t="s">
        <v>7176</v>
      </c>
      <c r="T3547" t="s">
        <v>7256</v>
      </c>
      <c r="U3547" t="s">
        <v>7256</v>
      </c>
      <c r="V3547" t="s">
        <v>7256</v>
      </c>
      <c r="W3547">
        <v>27</v>
      </c>
      <c r="X3547" t="s">
        <v>10803</v>
      </c>
      <c r="Y3547">
        <v>0.31241377704192702</v>
      </c>
      <c r="Z3547" t="str">
        <f>HYPERLINK("Melting_Curves/meltCurve_tr_K7EIG1_K7EIG1_HUMAN_.pdf", "Melting_Curves/meltCurve_tr_K7EIG1_K7EIG1_HUMAN_.pdf")</f>
        <v>Melting_Curves/meltCurve_tr_K7EIG1_K7EIG1_HUMAN_.pdf</v>
      </c>
      <c r="AA3547" t="s">
        <v>14315</v>
      </c>
      <c r="AB3547" t="s">
        <v>17909</v>
      </c>
    </row>
    <row r="3548" spans="1:28" x14ac:dyDescent="0.25">
      <c r="A3548" t="s">
        <v>3552</v>
      </c>
      <c r="B3548">
        <v>0.98018197421672304</v>
      </c>
      <c r="C3548">
        <v>0.69217063100655196</v>
      </c>
      <c r="D3548">
        <v>0.92512913441464595</v>
      </c>
      <c r="E3548">
        <v>0.776590280979641</v>
      </c>
      <c r="F3548">
        <v>0.60389410461222004</v>
      </c>
      <c r="G3548">
        <v>0.34185485984359198</v>
      </c>
      <c r="H3548">
        <v>0.287209766393974</v>
      </c>
      <c r="I3548">
        <v>0.21268136960805201</v>
      </c>
      <c r="J3548">
        <v>0.116601472583395</v>
      </c>
      <c r="K3548">
        <v>0.117007643049726</v>
      </c>
      <c r="L3548">
        <v>512.656295224578</v>
      </c>
      <c r="M3548">
        <v>9.3756906018778903</v>
      </c>
      <c r="N3548">
        <v>54.679310201702698</v>
      </c>
      <c r="O3548">
        <v>52.364780842002098</v>
      </c>
      <c r="P3548">
        <v>-4.4789269379260803E-2</v>
      </c>
      <c r="Q3548">
        <v>0</v>
      </c>
      <c r="R3548">
        <v>0.92593970736997</v>
      </c>
      <c r="S3548" t="s">
        <v>7177</v>
      </c>
      <c r="T3548" t="s">
        <v>7256</v>
      </c>
      <c r="U3548" t="s">
        <v>7256</v>
      </c>
      <c r="V3548" t="s">
        <v>7256</v>
      </c>
      <c r="W3548">
        <v>3</v>
      </c>
      <c r="X3548" t="s">
        <v>10804</v>
      </c>
      <c r="Y3548">
        <v>0.51741053844113505</v>
      </c>
      <c r="Z3548" t="str">
        <f>HYPERLINK("Melting_Curves/meltCurve_tr_K7EIJ0_K7EIJ0_HUMAN_.pdf", "Melting_Curves/meltCurve_tr_K7EIJ0_K7EIJ0_HUMAN_.pdf")</f>
        <v>Melting_Curves/meltCurve_tr_K7EIJ0_K7EIJ0_HUMAN_.pdf</v>
      </c>
      <c r="AA3548" t="s">
        <v>14356</v>
      </c>
      <c r="AB3548" t="s">
        <v>17950</v>
      </c>
    </row>
    <row r="3549" spans="1:28" x14ac:dyDescent="0.25">
      <c r="A3549" t="s">
        <v>3553</v>
      </c>
      <c r="B3549">
        <v>0.98018197421672304</v>
      </c>
      <c r="C3549">
        <v>0.83144736038031297</v>
      </c>
      <c r="D3549">
        <v>0.85123114191597904</v>
      </c>
      <c r="E3549">
        <v>0.73900477044695401</v>
      </c>
      <c r="F3549">
        <v>0.60752800571760901</v>
      </c>
      <c r="G3549">
        <v>0.44234822336658602</v>
      </c>
      <c r="H3549">
        <v>0.26341878363058502</v>
      </c>
      <c r="I3549">
        <v>0.17549462388360099</v>
      </c>
      <c r="J3549">
        <v>0.18528118093464899</v>
      </c>
      <c r="K3549">
        <v>8.3976876853557494E-2</v>
      </c>
      <c r="L3549">
        <v>510.88687200970401</v>
      </c>
      <c r="M3549">
        <v>9.3007582224245606</v>
      </c>
      <c r="N3549">
        <v>54.929593862246797</v>
      </c>
      <c r="O3549">
        <v>52.569490227711803</v>
      </c>
      <c r="P3549">
        <v>-4.4259137475849697E-2</v>
      </c>
      <c r="Q3549">
        <v>0</v>
      </c>
      <c r="R3549">
        <v>0.98379745122668605</v>
      </c>
      <c r="S3549" t="s">
        <v>7178</v>
      </c>
      <c r="T3549" t="s">
        <v>7256</v>
      </c>
      <c r="U3549" t="s">
        <v>7256</v>
      </c>
      <c r="V3549" t="s">
        <v>7256</v>
      </c>
      <c r="W3549">
        <v>3</v>
      </c>
      <c r="X3549" t="s">
        <v>10805</v>
      </c>
      <c r="Y3549">
        <v>0.52452989547267159</v>
      </c>
      <c r="Z3549" t="str">
        <f>HYPERLINK("Melting_Curves/meltCurve_tr_K7EIU8_K7EIU8_HUMAN_.pdf", "Melting_Curves/meltCurve_tr_K7EIU8_K7EIU8_HUMAN_.pdf")</f>
        <v>Melting_Curves/meltCurve_tr_K7EIU8_K7EIU8_HUMAN_.pdf</v>
      </c>
      <c r="AA3549" t="s">
        <v>14357</v>
      </c>
      <c r="AB3549" t="s">
        <v>17951</v>
      </c>
    </row>
    <row r="3550" spans="1:28" x14ac:dyDescent="0.25">
      <c r="A3550" t="s">
        <v>3554</v>
      </c>
      <c r="B3550">
        <v>0.98018197421672304</v>
      </c>
      <c r="C3550">
        <v>0.93983199635194503</v>
      </c>
      <c r="D3550">
        <v>0.71436367029582704</v>
      </c>
      <c r="E3550">
        <v>0.39404336416823199</v>
      </c>
      <c r="F3550">
        <v>0.21105598158893099</v>
      </c>
      <c r="G3550">
        <v>0.117905550327658</v>
      </c>
      <c r="H3550">
        <v>8.9555769442418998E-2</v>
      </c>
      <c r="I3550">
        <v>6.36004558635581E-2</v>
      </c>
      <c r="J3550">
        <v>9.7100110003600096E-2</v>
      </c>
      <c r="K3550">
        <v>4.6845032346250801E-2</v>
      </c>
      <c r="L3550">
        <v>898.82379732889797</v>
      </c>
      <c r="M3550">
        <v>18.629442138234001</v>
      </c>
      <c r="N3550">
        <v>48.615370726812799</v>
      </c>
      <c r="O3550">
        <v>47.701862420987403</v>
      </c>
      <c r="P3550">
        <v>-9.1219936460157705E-2</v>
      </c>
      <c r="Q3550">
        <v>6.5742634388078799E-2</v>
      </c>
      <c r="R3550">
        <v>0.99820399055148501</v>
      </c>
      <c r="S3550" t="s">
        <v>7179</v>
      </c>
      <c r="T3550" t="s">
        <v>7256</v>
      </c>
      <c r="U3550" t="s">
        <v>7256</v>
      </c>
      <c r="V3550" t="s">
        <v>7256</v>
      </c>
      <c r="W3550">
        <v>1</v>
      </c>
      <c r="X3550" t="s">
        <v>10806</v>
      </c>
      <c r="Y3550">
        <v>0.33791302106239629</v>
      </c>
      <c r="Z3550" t="str">
        <f>HYPERLINK("Melting_Curves/meltCurve_tr_K7EJ78_K7EJ78_HUMAN_.pdf", "Melting_Curves/meltCurve_tr_K7EJ78_K7EJ78_HUMAN_.pdf")</f>
        <v>Melting_Curves/meltCurve_tr_K7EJ78_K7EJ78_HUMAN_.pdf</v>
      </c>
      <c r="AA3550" t="s">
        <v>14358</v>
      </c>
      <c r="AB3550" t="s">
        <v>17952</v>
      </c>
    </row>
    <row r="3551" spans="1:28" x14ac:dyDescent="0.25">
      <c r="A3551" t="s">
        <v>3555</v>
      </c>
      <c r="B3551">
        <v>0.98018197421672304</v>
      </c>
      <c r="C3551">
        <v>0.69268473343320802</v>
      </c>
      <c r="D3551">
        <v>0.74009010336952896</v>
      </c>
      <c r="E3551">
        <v>0.59770152628109596</v>
      </c>
      <c r="F3551">
        <v>0.44142988958929302</v>
      </c>
      <c r="G3551">
        <v>0.29782784320488898</v>
      </c>
      <c r="H3551">
        <v>0.178372795385109</v>
      </c>
      <c r="I3551">
        <v>0.159225127155004</v>
      </c>
      <c r="J3551">
        <v>0.14471211231075801</v>
      </c>
      <c r="K3551">
        <v>0.111872919864342</v>
      </c>
      <c r="L3551">
        <v>409.67310716908702</v>
      </c>
      <c r="M3551">
        <v>8.0000562894428295</v>
      </c>
      <c r="N3551">
        <v>51.208772868687099</v>
      </c>
      <c r="O3551">
        <v>48.3061805764846</v>
      </c>
      <c r="P3551">
        <v>-4.1449685213104902E-2</v>
      </c>
      <c r="Q3551">
        <v>0</v>
      </c>
      <c r="R3551">
        <v>0.96582855892748298</v>
      </c>
      <c r="S3551" t="s">
        <v>7180</v>
      </c>
      <c r="T3551" t="s">
        <v>7256</v>
      </c>
      <c r="U3551" t="s">
        <v>7256</v>
      </c>
      <c r="V3551" t="s">
        <v>7256</v>
      </c>
      <c r="W3551">
        <v>12</v>
      </c>
      <c r="X3551" t="s">
        <v>10807</v>
      </c>
      <c r="Y3551">
        <v>0.42570293526678188</v>
      </c>
      <c r="Z3551" t="str">
        <f>HYPERLINK("Melting_Curves/meltCurve_tr_K7EJB9_K7EJB9_HUMAN_.pdf", "Melting_Curves/meltCurve_tr_K7EJB9_K7EJB9_HUMAN_.pdf")</f>
        <v>Melting_Curves/meltCurve_tr_K7EJB9_K7EJB9_HUMAN_.pdf</v>
      </c>
      <c r="AA3551" t="s">
        <v>11643</v>
      </c>
      <c r="AB3551" t="s">
        <v>17953</v>
      </c>
    </row>
    <row r="3552" spans="1:28" x14ac:dyDescent="0.25">
      <c r="A3552" t="s">
        <v>3556</v>
      </c>
      <c r="B3552">
        <v>0.98018197421672304</v>
      </c>
      <c r="C3552">
        <v>0.82408316123099401</v>
      </c>
      <c r="D3552">
        <v>0.732920557410769</v>
      </c>
      <c r="E3552">
        <v>0.58713179895238199</v>
      </c>
      <c r="F3552">
        <v>0.33926608711946799</v>
      </c>
      <c r="G3552">
        <v>0.16395712851174199</v>
      </c>
      <c r="H3552">
        <v>0.27775090688334603</v>
      </c>
      <c r="I3552">
        <v>0.25088221191888799</v>
      </c>
      <c r="J3552">
        <v>0.75400438534539804</v>
      </c>
      <c r="K3552">
        <v>0.422016900882766</v>
      </c>
      <c r="L3552">
        <v>912.31928079605598</v>
      </c>
      <c r="M3552">
        <v>19.684767174763</v>
      </c>
      <c r="N3552">
        <v>49.759489436480202</v>
      </c>
      <c r="O3552">
        <v>45.876085389461302</v>
      </c>
      <c r="P3552">
        <v>-6.75399255391117E-2</v>
      </c>
      <c r="Q3552">
        <v>0.37040428075764398</v>
      </c>
      <c r="R3552">
        <v>0.655781576424599</v>
      </c>
      <c r="S3552" t="s">
        <v>7181</v>
      </c>
      <c r="T3552" t="s">
        <v>7256</v>
      </c>
      <c r="U3552" t="s">
        <v>7256</v>
      </c>
      <c r="V3552" t="s">
        <v>7256</v>
      </c>
      <c r="W3552">
        <v>3</v>
      </c>
      <c r="X3552" t="s">
        <v>10808</v>
      </c>
      <c r="Y3552">
        <v>0.51346028303472147</v>
      </c>
      <c r="Z3552" t="str">
        <f>HYPERLINK("Melting_Curves/meltCurve_tr_K7EJG0_K7EJG0_HUMAN_.pdf", "Melting_Curves/meltCurve_tr_K7EJG0_K7EJG0_HUMAN_.pdf")</f>
        <v>Melting_Curves/meltCurve_tr_K7EJG0_K7EJG0_HUMAN_.pdf</v>
      </c>
      <c r="AA3552" t="s">
        <v>14359</v>
      </c>
      <c r="AB3552" t="s">
        <v>17954</v>
      </c>
    </row>
    <row r="3553" spans="1:28" x14ac:dyDescent="0.25">
      <c r="A3553" t="s">
        <v>3557</v>
      </c>
      <c r="B3553">
        <v>0.98018197421672304</v>
      </c>
      <c r="C3553">
        <v>0.92488205990212202</v>
      </c>
      <c r="D3553">
        <v>0.890619357628334</v>
      </c>
      <c r="E3553">
        <v>0.78068532543762603</v>
      </c>
      <c r="F3553">
        <v>0.50931432554869704</v>
      </c>
      <c r="G3553">
        <v>0.26568327978988598</v>
      </c>
      <c r="H3553">
        <v>0.17659150959259701</v>
      </c>
      <c r="I3553">
        <v>0.10571498092442699</v>
      </c>
      <c r="J3553">
        <v>9.5851699932971796E-2</v>
      </c>
      <c r="K3553">
        <v>6.8757078966828603E-2</v>
      </c>
      <c r="L3553">
        <v>831.81048253105996</v>
      </c>
      <c r="M3553">
        <v>15.703706424391701</v>
      </c>
      <c r="N3553">
        <v>53.347843487544402</v>
      </c>
      <c r="O3553">
        <v>52.1324134065744</v>
      </c>
      <c r="P3553">
        <v>-7.1340021850667096E-2</v>
      </c>
      <c r="Q3553">
        <v>5.2755184950135897E-2</v>
      </c>
      <c r="R3553">
        <v>0.99446955519995195</v>
      </c>
      <c r="S3553" t="s">
        <v>7182</v>
      </c>
      <c r="T3553" t="s">
        <v>7256</v>
      </c>
      <c r="U3553" t="s">
        <v>7256</v>
      </c>
      <c r="V3553" t="s">
        <v>7256</v>
      </c>
      <c r="W3553">
        <v>13</v>
      </c>
      <c r="X3553" t="s">
        <v>10809</v>
      </c>
      <c r="Y3553">
        <v>0.48137122700769602</v>
      </c>
      <c r="Z3553" t="str">
        <f>HYPERLINK("Melting_Curves/meltCurve_tr_K7EJL1_K7EJL1_HUMAN_.pdf", "Melting_Curves/meltCurve_tr_K7EJL1_K7EJL1_HUMAN_.pdf")</f>
        <v>Melting_Curves/meltCurve_tr_K7EJL1_K7EJL1_HUMAN_.pdf</v>
      </c>
      <c r="AA3553" t="s">
        <v>14360</v>
      </c>
      <c r="AB3553" t="s">
        <v>17955</v>
      </c>
    </row>
    <row r="3554" spans="1:28" x14ac:dyDescent="0.25">
      <c r="A3554" t="s">
        <v>3558</v>
      </c>
      <c r="B3554">
        <v>0.98018197421672304</v>
      </c>
      <c r="C3554">
        <v>0.98955816932013896</v>
      </c>
      <c r="D3554">
        <v>0.91944834633081596</v>
      </c>
      <c r="E3554">
        <v>0.732635321470264</v>
      </c>
      <c r="F3554">
        <v>0.55964553301447095</v>
      </c>
      <c r="G3554">
        <v>0.26572509185336202</v>
      </c>
      <c r="H3554">
        <v>0.213435816638776</v>
      </c>
      <c r="I3554">
        <v>0.17490920913231001</v>
      </c>
      <c r="J3554">
        <v>0.34083766603320298</v>
      </c>
      <c r="K3554">
        <v>0.203867064016617</v>
      </c>
      <c r="L3554">
        <v>1104.1397293615601</v>
      </c>
      <c r="M3554">
        <v>21.3380786736044</v>
      </c>
      <c r="N3554">
        <v>53.156630914019701</v>
      </c>
      <c r="O3554">
        <v>51.296997603092201</v>
      </c>
      <c r="P3554">
        <v>-8.1502573426599695E-2</v>
      </c>
      <c r="Q3554">
        <v>0.21628708394826701</v>
      </c>
      <c r="R3554">
        <v>0.97679310963690402</v>
      </c>
      <c r="S3554" t="s">
        <v>7183</v>
      </c>
      <c r="T3554" t="s">
        <v>7256</v>
      </c>
      <c r="U3554" t="s">
        <v>7256</v>
      </c>
      <c r="V3554" t="s">
        <v>7256</v>
      </c>
      <c r="W3554">
        <v>16</v>
      </c>
      <c r="X3554" t="s">
        <v>10810</v>
      </c>
      <c r="Y3554">
        <v>0.53275168887461122</v>
      </c>
      <c r="Z3554" t="str">
        <f>HYPERLINK("Melting_Curves/meltCurve_tr_K7EJU8_K7EJU8_HUMAN_.pdf", "Melting_Curves/meltCurve_tr_K7EJU8_K7EJU8_HUMAN_.pdf")</f>
        <v>Melting_Curves/meltCurve_tr_K7EJU8_K7EJU8_HUMAN_.pdf</v>
      </c>
      <c r="AA3554" t="s">
        <v>13595</v>
      </c>
      <c r="AB3554" t="s">
        <v>17956</v>
      </c>
    </row>
    <row r="3555" spans="1:28" x14ac:dyDescent="0.25">
      <c r="A3555" t="s">
        <v>3559</v>
      </c>
      <c r="B3555">
        <v>0.98018197421672304</v>
      </c>
      <c r="C3555">
        <v>0.94079654573578497</v>
      </c>
      <c r="D3555">
        <v>0.85660722398696998</v>
      </c>
      <c r="E3555">
        <v>0.470659553584311</v>
      </c>
      <c r="F3555">
        <v>0.27131743859709201</v>
      </c>
      <c r="G3555">
        <v>0.24976918448976501</v>
      </c>
      <c r="H3555">
        <v>0.109828438652566</v>
      </c>
      <c r="I3555">
        <v>7.8892163566227899E-2</v>
      </c>
      <c r="J3555">
        <v>0.14696238386034299</v>
      </c>
      <c r="K3555">
        <v>0.103149007067279</v>
      </c>
      <c r="L3555">
        <v>985.05232794441201</v>
      </c>
      <c r="M3555">
        <v>20.0021053425567</v>
      </c>
      <c r="N3555">
        <v>49.900366220862601</v>
      </c>
      <c r="O3555">
        <v>48.763099578060199</v>
      </c>
      <c r="P3555">
        <v>-9.0743243966860496E-2</v>
      </c>
      <c r="Q3555">
        <v>0.115137352365211</v>
      </c>
      <c r="R3555">
        <v>0.99021236000476198</v>
      </c>
      <c r="S3555" t="s">
        <v>7184</v>
      </c>
      <c r="T3555" t="s">
        <v>7256</v>
      </c>
      <c r="U3555" t="s">
        <v>7256</v>
      </c>
      <c r="V3555" t="s">
        <v>7256</v>
      </c>
      <c r="W3555">
        <v>2</v>
      </c>
      <c r="X3555" t="s">
        <v>10811</v>
      </c>
      <c r="Y3555">
        <v>0.40026081619589748</v>
      </c>
      <c r="Z3555" t="str">
        <f>HYPERLINK("Melting_Curves/meltCurve_tr_K7EK07_K7EK07_HUMAN_.pdf", "Melting_Curves/meltCurve_tr_K7EK07_K7EK07_HUMAN_.pdf")</f>
        <v>Melting_Curves/meltCurve_tr_K7EK07_K7EK07_HUMAN_.pdf</v>
      </c>
      <c r="AA3555" t="s">
        <v>14361</v>
      </c>
      <c r="AB3555" t="s">
        <v>17957</v>
      </c>
    </row>
    <row r="3556" spans="1:28" x14ac:dyDescent="0.25">
      <c r="A3556" t="s">
        <v>3560</v>
      </c>
      <c r="B3556">
        <v>0.98018197421672304</v>
      </c>
      <c r="C3556">
        <v>0.88544504826677295</v>
      </c>
      <c r="D3556">
        <v>0.82086878780786299</v>
      </c>
      <c r="E3556">
        <v>0.48279990931871503</v>
      </c>
      <c r="F3556">
        <v>0.21112772740126101</v>
      </c>
      <c r="G3556">
        <v>0.117241521443749</v>
      </c>
      <c r="H3556">
        <v>7.3390077040614302E-2</v>
      </c>
      <c r="I3556">
        <v>5.4471650811223897E-2</v>
      </c>
      <c r="J3556">
        <v>6.4994291548826702E-2</v>
      </c>
      <c r="K3556">
        <v>3.8256446454921399E-2</v>
      </c>
      <c r="L3556">
        <v>919.44579563592197</v>
      </c>
      <c r="M3556">
        <v>18.648420653355799</v>
      </c>
      <c r="N3556">
        <v>49.539413938463703</v>
      </c>
      <c r="O3556">
        <v>48.7477552240736</v>
      </c>
      <c r="P3556">
        <v>-9.15895848701265E-2</v>
      </c>
      <c r="Q3556">
        <v>4.2365017642110099E-2</v>
      </c>
      <c r="R3556">
        <v>0.99541686725517597</v>
      </c>
      <c r="S3556" t="s">
        <v>7185</v>
      </c>
      <c r="T3556" t="s">
        <v>7256</v>
      </c>
      <c r="U3556" t="s">
        <v>7256</v>
      </c>
      <c r="V3556" t="s">
        <v>7256</v>
      </c>
      <c r="W3556">
        <v>9</v>
      </c>
      <c r="X3556" t="s">
        <v>10812</v>
      </c>
      <c r="Y3556">
        <v>0.35475179726621447</v>
      </c>
      <c r="Z3556" t="str">
        <f>HYPERLINK("Melting_Curves/meltCurve_tr_K7EK11_K7EK11_HUMAN_.pdf", "Melting_Curves/meltCurve_tr_K7EK11_K7EK11_HUMAN_.pdf")</f>
        <v>Melting_Curves/meltCurve_tr_K7EK11_K7EK11_HUMAN_.pdf</v>
      </c>
      <c r="AA3556" t="s">
        <v>14362</v>
      </c>
      <c r="AB3556" t="s">
        <v>17958</v>
      </c>
    </row>
    <row r="3557" spans="1:28" x14ac:dyDescent="0.25">
      <c r="A3557" t="s">
        <v>3561</v>
      </c>
      <c r="B3557">
        <v>0.98018197421672304</v>
      </c>
      <c r="C3557">
        <v>0.98089742697539195</v>
      </c>
      <c r="D3557">
        <v>0.84948975688642903</v>
      </c>
      <c r="E3557">
        <v>0.35036212551717899</v>
      </c>
      <c r="F3557">
        <v>0.15139269354401899</v>
      </c>
      <c r="G3557">
        <v>8.3474151239054301E-2</v>
      </c>
      <c r="H3557">
        <v>4.8111012342810497E-2</v>
      </c>
      <c r="I3557">
        <v>3.8821093060547401E-2</v>
      </c>
      <c r="J3557">
        <v>4.1944325385259003E-2</v>
      </c>
      <c r="K3557">
        <v>2.9253002662181199E-2</v>
      </c>
      <c r="L3557">
        <v>1327.81634728878</v>
      </c>
      <c r="M3557">
        <v>27.252419150587802</v>
      </c>
      <c r="N3557">
        <v>48.889087473247997</v>
      </c>
      <c r="O3557">
        <v>48.4628004993818</v>
      </c>
      <c r="P3557">
        <v>-0.134365569103788</v>
      </c>
      <c r="Q3557">
        <v>4.4243449221568698E-2</v>
      </c>
      <c r="R3557">
        <v>0.99908879411788798</v>
      </c>
      <c r="S3557" t="s">
        <v>7186</v>
      </c>
      <c r="T3557" t="s">
        <v>7256</v>
      </c>
      <c r="U3557" t="s">
        <v>7256</v>
      </c>
      <c r="V3557" t="s">
        <v>7256</v>
      </c>
      <c r="W3557">
        <v>28</v>
      </c>
      <c r="X3557" t="s">
        <v>10813</v>
      </c>
      <c r="Y3557">
        <v>0.32921297163001823</v>
      </c>
      <c r="Z3557" t="str">
        <f>HYPERLINK("Melting_Curves/meltCurve_tr_K7EKE6_K7EKE6_HUMAN_.pdf", "Melting_Curves/meltCurve_tr_K7EKE6_K7EKE6_HUMAN_.pdf")</f>
        <v>Melting_Curves/meltCurve_tr_K7EKE6_K7EKE6_HUMAN_.pdf</v>
      </c>
      <c r="AA3557" t="s">
        <v>14363</v>
      </c>
      <c r="AB3557" t="s">
        <v>17959</v>
      </c>
    </row>
    <row r="3558" spans="1:28" x14ac:dyDescent="0.25">
      <c r="A3558" t="s">
        <v>3562</v>
      </c>
      <c r="B3558">
        <v>0.98018197421672304</v>
      </c>
      <c r="C3558">
        <v>0.92995846480897404</v>
      </c>
      <c r="D3558">
        <v>0.87248447536976004</v>
      </c>
      <c r="E3558">
        <v>0.63893463268472295</v>
      </c>
      <c r="F3558">
        <v>0.498771573062672</v>
      </c>
      <c r="G3558">
        <v>0.33881316117153398</v>
      </c>
      <c r="H3558">
        <v>0.27939322968538099</v>
      </c>
      <c r="I3558">
        <v>0.28156043303421902</v>
      </c>
      <c r="J3558">
        <v>0.33520546129779599</v>
      </c>
      <c r="K3558">
        <v>0.26909135982467403</v>
      </c>
      <c r="L3558">
        <v>828.35592511705295</v>
      </c>
      <c r="M3558">
        <v>16.540617397525899</v>
      </c>
      <c r="N3558">
        <v>52.576831391434098</v>
      </c>
      <c r="O3558">
        <v>49.365277678578401</v>
      </c>
      <c r="P3558">
        <v>-6.0982287245424101E-2</v>
      </c>
      <c r="Q3558">
        <v>0.27204643718203197</v>
      </c>
      <c r="R3558">
        <v>0.99299818878914003</v>
      </c>
      <c r="S3558" t="s">
        <v>7187</v>
      </c>
      <c r="T3558" t="s">
        <v>7256</v>
      </c>
      <c r="U3558" t="s">
        <v>7256</v>
      </c>
      <c r="V3558" t="s">
        <v>7256</v>
      </c>
      <c r="W3558">
        <v>65</v>
      </c>
      <c r="X3558" t="s">
        <v>10814</v>
      </c>
      <c r="Y3558">
        <v>0.53116097796898676</v>
      </c>
      <c r="Z3558" t="str">
        <f>HYPERLINK("Melting_Curves/meltCurve_tr_K7EKI8_K7EKI8_HUMAN_.pdf", "Melting_Curves/meltCurve_tr_K7EKI8_K7EKI8_HUMAN_.pdf")</f>
        <v>Melting_Curves/meltCurve_tr_K7EKI8_K7EKI8_HUMAN_.pdf</v>
      </c>
      <c r="AA3558" t="s">
        <v>14364</v>
      </c>
      <c r="AB3558" t="s">
        <v>17960</v>
      </c>
    </row>
    <row r="3559" spans="1:28" x14ac:dyDescent="0.25">
      <c r="A3559" t="s">
        <v>3563</v>
      </c>
      <c r="B3559">
        <v>0.98018197421672304</v>
      </c>
      <c r="C3559">
        <v>0.91711684022842299</v>
      </c>
      <c r="D3559">
        <v>0.82573042315604595</v>
      </c>
      <c r="E3559">
        <v>0.66895805089924598</v>
      </c>
      <c r="F3559">
        <v>0.42181387485768301</v>
      </c>
      <c r="G3559">
        <v>0.238511928076833</v>
      </c>
      <c r="H3559">
        <v>0.12949940435652199</v>
      </c>
      <c r="I3559">
        <v>8.0277043643179904E-2</v>
      </c>
      <c r="J3559">
        <v>9.0117062926566294E-2</v>
      </c>
      <c r="K3559">
        <v>5.7997939361163202E-2</v>
      </c>
      <c r="L3559">
        <v>693.02167861922896</v>
      </c>
      <c r="M3559">
        <v>13.385339018149599</v>
      </c>
      <c r="N3559">
        <v>51.970700255976702</v>
      </c>
      <c r="O3559">
        <v>50.660033485607698</v>
      </c>
      <c r="P3559">
        <v>-6.4438876499406897E-2</v>
      </c>
      <c r="Q3559">
        <v>2.4616103496950099E-2</v>
      </c>
      <c r="R3559">
        <v>0.99683108732310699</v>
      </c>
      <c r="S3559" t="s">
        <v>7188</v>
      </c>
      <c r="T3559" t="s">
        <v>7256</v>
      </c>
      <c r="U3559" t="s">
        <v>7256</v>
      </c>
      <c r="V3559" t="s">
        <v>7256</v>
      </c>
      <c r="W3559">
        <v>3</v>
      </c>
      <c r="X3559" t="s">
        <v>10815</v>
      </c>
      <c r="Y3559">
        <v>0.43350747431041459</v>
      </c>
      <c r="Z3559" t="str">
        <f>HYPERLINK("Melting_Curves/meltCurve_tr_K7ELV2_K7ELV2_HUMAN_.pdf", "Melting_Curves/meltCurve_tr_K7ELV2_K7ELV2_HUMAN_.pdf")</f>
        <v>Melting_Curves/meltCurve_tr_K7ELV2_K7ELV2_HUMAN_.pdf</v>
      </c>
      <c r="AA3559" t="s">
        <v>14365</v>
      </c>
      <c r="AB3559" t="s">
        <v>17961</v>
      </c>
    </row>
    <row r="3560" spans="1:28" x14ac:dyDescent="0.25">
      <c r="A3560" t="s">
        <v>3564</v>
      </c>
      <c r="B3560">
        <v>0.98018197421672304</v>
      </c>
      <c r="C3560">
        <v>0.82653945289250597</v>
      </c>
      <c r="D3560">
        <v>0.83019280060420397</v>
      </c>
      <c r="E3560">
        <v>0.60628732993712597</v>
      </c>
      <c r="F3560">
        <v>0.33605738231069399</v>
      </c>
      <c r="G3560">
        <v>0.19837603590830699</v>
      </c>
      <c r="H3560">
        <v>0.111648921355561</v>
      </c>
      <c r="I3560">
        <v>9.7123270246218904E-2</v>
      </c>
      <c r="J3560">
        <v>9.1466941042583905E-2</v>
      </c>
      <c r="K3560">
        <v>6.7815978259417695E-2</v>
      </c>
      <c r="L3560">
        <v>683.22583673452095</v>
      </c>
      <c r="M3560">
        <v>13.519009303174499</v>
      </c>
      <c r="N3560">
        <v>50.855169144313201</v>
      </c>
      <c r="O3560">
        <v>49.470794227279796</v>
      </c>
      <c r="P3560">
        <v>-6.5567381283649195E-2</v>
      </c>
      <c r="Q3560">
        <v>4.0409404848446101E-2</v>
      </c>
      <c r="R3560">
        <v>0.98747165249979596</v>
      </c>
      <c r="S3560" t="s">
        <v>7189</v>
      </c>
      <c r="T3560" t="s">
        <v>7256</v>
      </c>
      <c r="U3560" t="s">
        <v>7256</v>
      </c>
      <c r="V3560" t="s">
        <v>7256</v>
      </c>
      <c r="W3560">
        <v>1</v>
      </c>
      <c r="X3560" t="s">
        <v>10816</v>
      </c>
      <c r="Y3560">
        <v>0.4042240809954239</v>
      </c>
      <c r="Z3560" t="str">
        <f>HYPERLINK("Melting_Curves/meltCurve_tr_K7EMA2_K7EMA2_HUMAN_.pdf", "Melting_Curves/meltCurve_tr_K7EMA2_K7EMA2_HUMAN_.pdf")</f>
        <v>Melting_Curves/meltCurve_tr_K7EMA2_K7EMA2_HUMAN_.pdf</v>
      </c>
      <c r="AA3560" t="s">
        <v>14366</v>
      </c>
      <c r="AB3560" t="s">
        <v>17962</v>
      </c>
    </row>
    <row r="3561" spans="1:28" x14ac:dyDescent="0.25">
      <c r="A3561" t="s">
        <v>3565</v>
      </c>
      <c r="B3561">
        <v>0.98018197421672304</v>
      </c>
      <c r="C3561">
        <v>0.85228365283688001</v>
      </c>
      <c r="D3561">
        <v>0.79726555854331005</v>
      </c>
      <c r="E3561">
        <v>0.73906777995234396</v>
      </c>
      <c r="F3561">
        <v>0.60741329799780697</v>
      </c>
      <c r="G3561">
        <v>0.38102678173725402</v>
      </c>
      <c r="H3561">
        <v>0.31659078169474703</v>
      </c>
      <c r="I3561">
        <v>0.30106038139377</v>
      </c>
      <c r="J3561">
        <v>0.18300541025011699</v>
      </c>
      <c r="K3561">
        <v>3.6670413154279297E-2</v>
      </c>
      <c r="L3561">
        <v>462.977249644707</v>
      </c>
      <c r="M3561">
        <v>8.4282857912548206</v>
      </c>
      <c r="N3561">
        <v>54.9313657455833</v>
      </c>
      <c r="O3561">
        <v>52.1003693029798</v>
      </c>
      <c r="P3561">
        <v>-4.0480175795660697E-2</v>
      </c>
      <c r="Q3561">
        <v>0</v>
      </c>
      <c r="R3561">
        <v>0.971315114765676</v>
      </c>
      <c r="S3561" t="s">
        <v>7190</v>
      </c>
      <c r="T3561" t="s">
        <v>7256</v>
      </c>
      <c r="U3561" t="s">
        <v>7256</v>
      </c>
      <c r="V3561" t="s">
        <v>7256</v>
      </c>
      <c r="W3561">
        <v>29</v>
      </c>
      <c r="X3561" t="s">
        <v>10817</v>
      </c>
      <c r="Y3561">
        <v>0.52518990097727469</v>
      </c>
      <c r="Z3561" t="str">
        <f>HYPERLINK("Melting_Curves/meltCurve_tr_K7EME0_K7EME0_HUMAN_.pdf", "Melting_Curves/meltCurve_tr_K7EME0_K7EME0_HUMAN_.pdf")</f>
        <v>Melting_Curves/meltCurve_tr_K7EME0_K7EME0_HUMAN_.pdf</v>
      </c>
      <c r="AA3561" t="s">
        <v>11819</v>
      </c>
      <c r="AB3561" t="s">
        <v>15379</v>
      </c>
    </row>
    <row r="3562" spans="1:28" x14ac:dyDescent="0.25">
      <c r="A3562" t="s">
        <v>3566</v>
      </c>
      <c r="B3562">
        <v>0.98018197421672304</v>
      </c>
      <c r="C3562">
        <v>0.77939595840822096</v>
      </c>
      <c r="D3562">
        <v>0.89519337012811495</v>
      </c>
      <c r="E3562">
        <v>0.85443282427090395</v>
      </c>
      <c r="F3562">
        <v>0.74528838657526797</v>
      </c>
      <c r="G3562">
        <v>0.59720921491308598</v>
      </c>
      <c r="H3562">
        <v>0.35504256562400199</v>
      </c>
      <c r="I3562">
        <v>0.13947283295930801</v>
      </c>
      <c r="J3562">
        <v>3.1435274813874897E-2</v>
      </c>
      <c r="K3562">
        <v>4.9620714457334902E-2</v>
      </c>
      <c r="L3562">
        <v>803.37063034933396</v>
      </c>
      <c r="M3562">
        <v>13.997853460466899</v>
      </c>
      <c r="N3562">
        <v>57.392416128310899</v>
      </c>
      <c r="O3562">
        <v>56.259134122017699</v>
      </c>
      <c r="P3562">
        <v>-6.2210803355771303E-2</v>
      </c>
      <c r="Q3562">
        <v>0</v>
      </c>
      <c r="R3562">
        <v>0.94167462558303205</v>
      </c>
      <c r="S3562" t="s">
        <v>7191</v>
      </c>
      <c r="T3562" t="s">
        <v>7256</v>
      </c>
      <c r="U3562" t="s">
        <v>7256</v>
      </c>
      <c r="V3562" t="s">
        <v>7256</v>
      </c>
      <c r="W3562">
        <v>1</v>
      </c>
      <c r="X3562" t="s">
        <v>10818</v>
      </c>
      <c r="Y3562">
        <v>0.59504311461695159</v>
      </c>
      <c r="Z3562" t="str">
        <f>HYPERLINK("Melting_Curves/meltCurve_tr_K7ENR6_K7ENR6_HUMAN_.pdf", "Melting_Curves/meltCurve_tr_K7ENR6_K7ENR6_HUMAN_.pdf")</f>
        <v>Melting_Curves/meltCurve_tr_K7ENR6_K7ENR6_HUMAN_.pdf</v>
      </c>
      <c r="AA3562" t="s">
        <v>14367</v>
      </c>
      <c r="AB3562" t="s">
        <v>17963</v>
      </c>
    </row>
    <row r="3563" spans="1:28" x14ac:dyDescent="0.25">
      <c r="A3563" t="s">
        <v>3567</v>
      </c>
      <c r="B3563">
        <v>0.98018197421672304</v>
      </c>
      <c r="C3563">
        <v>0.83324988957371104</v>
      </c>
      <c r="D3563">
        <v>0.605998720746174</v>
      </c>
      <c r="E3563">
        <v>0.41858141039863</v>
      </c>
      <c r="F3563">
        <v>0.25472055722939602</v>
      </c>
      <c r="G3563">
        <v>0.181767830312726</v>
      </c>
      <c r="H3563">
        <v>0.122633740344695</v>
      </c>
      <c r="I3563">
        <v>0.101144290963036</v>
      </c>
      <c r="J3563">
        <v>0.11112512667034501</v>
      </c>
      <c r="K3563">
        <v>9.6647878705235904E-2</v>
      </c>
      <c r="L3563">
        <v>661.29249410859597</v>
      </c>
      <c r="M3563">
        <v>13.9338714140527</v>
      </c>
      <c r="N3563">
        <v>48.137493020258198</v>
      </c>
      <c r="O3563">
        <v>46.513883795915604</v>
      </c>
      <c r="P3563">
        <v>-6.8226214788728798E-2</v>
      </c>
      <c r="Q3563">
        <v>8.9115159087869406E-2</v>
      </c>
      <c r="R3563">
        <v>0.99530985748591505</v>
      </c>
      <c r="S3563" t="s">
        <v>7192</v>
      </c>
      <c r="T3563" t="s">
        <v>7256</v>
      </c>
      <c r="U3563" t="s">
        <v>7256</v>
      </c>
      <c r="V3563" t="s">
        <v>7256</v>
      </c>
      <c r="W3563">
        <v>3</v>
      </c>
      <c r="X3563" t="s">
        <v>10819</v>
      </c>
      <c r="Y3563">
        <v>0.34350925416133138</v>
      </c>
      <c r="Z3563" t="str">
        <f>HYPERLINK("Melting_Curves/meltCurve_tr_K7ENT8_K7ENT8_HUMAN_.pdf", "Melting_Curves/meltCurve_tr_K7ENT8_K7ENT8_HUMAN_.pdf")</f>
        <v>Melting_Curves/meltCurve_tr_K7ENT8_K7ENT8_HUMAN_.pdf</v>
      </c>
      <c r="AA3563" t="s">
        <v>14368</v>
      </c>
      <c r="AB3563" t="s">
        <v>17964</v>
      </c>
    </row>
    <row r="3564" spans="1:28" x14ac:dyDescent="0.25">
      <c r="A3564" t="s">
        <v>3568</v>
      </c>
      <c r="B3564">
        <v>0.98018197421672304</v>
      </c>
      <c r="C3564">
        <v>0.90910842202008002</v>
      </c>
      <c r="D3564">
        <v>0.84792248632577205</v>
      </c>
      <c r="E3564">
        <v>0.67674128160499503</v>
      </c>
      <c r="F3564">
        <v>0.35425716967516202</v>
      </c>
      <c r="G3564">
        <v>0.198453560127406</v>
      </c>
      <c r="H3564">
        <v>0.265468429351018</v>
      </c>
      <c r="I3564">
        <v>0.20046052199775199</v>
      </c>
      <c r="J3564">
        <v>0.23742269917411599</v>
      </c>
      <c r="K3564">
        <v>0.160773510082515</v>
      </c>
      <c r="L3564">
        <v>987.09459348881296</v>
      </c>
      <c r="M3564">
        <v>19.688923121052099</v>
      </c>
      <c r="N3564">
        <v>51.379624435632302</v>
      </c>
      <c r="O3564">
        <v>49.625943798550097</v>
      </c>
      <c r="P3564">
        <v>-8.0371785298508705E-2</v>
      </c>
      <c r="Q3564">
        <v>0.189719806085662</v>
      </c>
      <c r="R3564">
        <v>0.97835757009362201</v>
      </c>
      <c r="S3564" t="s">
        <v>7193</v>
      </c>
      <c r="T3564" t="s">
        <v>7256</v>
      </c>
      <c r="U3564" t="s">
        <v>7256</v>
      </c>
      <c r="V3564" t="s">
        <v>7256</v>
      </c>
      <c r="W3564">
        <v>3</v>
      </c>
      <c r="X3564" t="s">
        <v>10820</v>
      </c>
      <c r="Y3564">
        <v>0.47506849920383287</v>
      </c>
      <c r="Z3564" t="str">
        <f>HYPERLINK("Melting_Curves/meltCurve_tr_K7EPS8_K7EPS8_HUMAN_.pdf", "Melting_Curves/meltCurve_tr_K7EPS8_K7EPS8_HUMAN_.pdf")</f>
        <v>Melting_Curves/meltCurve_tr_K7EPS8_K7EPS8_HUMAN_.pdf</v>
      </c>
      <c r="AA3564" t="s">
        <v>14369</v>
      </c>
      <c r="AB3564" t="s">
        <v>17965</v>
      </c>
    </row>
    <row r="3565" spans="1:28" x14ac:dyDescent="0.25">
      <c r="A3565" t="s">
        <v>3569</v>
      </c>
      <c r="B3565">
        <v>0.98018197421672304</v>
      </c>
      <c r="C3565">
        <v>0.99596574203773203</v>
      </c>
      <c r="D3565">
        <v>0.94769976781210596</v>
      </c>
      <c r="E3565">
        <v>0.87564227685225604</v>
      </c>
      <c r="F3565">
        <v>0.88354099569921096</v>
      </c>
      <c r="G3565">
        <v>0.78654489315717502</v>
      </c>
      <c r="H3565">
        <v>0.69524776729350402</v>
      </c>
      <c r="I3565">
        <v>0.65945749335784498</v>
      </c>
      <c r="J3565">
        <v>0.60906737002198397</v>
      </c>
      <c r="K3565">
        <v>0.23744571750745999</v>
      </c>
      <c r="L3565">
        <v>571.61089477191001</v>
      </c>
      <c r="M3565">
        <v>8.5738972638260105</v>
      </c>
      <c r="N3565">
        <v>66.6687356289153</v>
      </c>
      <c r="O3565">
        <v>63.339140233039501</v>
      </c>
      <c r="P3565">
        <v>-3.3870743799718099E-2</v>
      </c>
      <c r="Q3565">
        <v>0</v>
      </c>
      <c r="R3565">
        <v>0.88979306441946804</v>
      </c>
      <c r="S3565" t="s">
        <v>7194</v>
      </c>
      <c r="T3565" t="s">
        <v>7256</v>
      </c>
      <c r="U3565" t="s">
        <v>7256</v>
      </c>
      <c r="V3565" t="s">
        <v>7256</v>
      </c>
      <c r="W3565">
        <v>8</v>
      </c>
      <c r="X3565" t="s">
        <v>10821</v>
      </c>
      <c r="Y3565">
        <v>0.79601920760311207</v>
      </c>
      <c r="Z3565" t="str">
        <f>HYPERLINK("Melting_Curves/meltCurve_tr_K7ER15_K7ER15_HUMAN_.pdf", "Melting_Curves/meltCurve_tr_K7ER15_K7ER15_HUMAN_.pdf")</f>
        <v>Melting_Curves/meltCurve_tr_K7ER15_K7ER15_HUMAN_.pdf</v>
      </c>
      <c r="AA3565" t="s">
        <v>14370</v>
      </c>
      <c r="AB3565" t="s">
        <v>17966</v>
      </c>
    </row>
    <row r="3566" spans="1:28" x14ac:dyDescent="0.25">
      <c r="A3566" t="s">
        <v>3570</v>
      </c>
      <c r="B3566">
        <v>0.98018197421672304</v>
      </c>
      <c r="C3566">
        <v>0.85443388175360002</v>
      </c>
      <c r="D3566">
        <v>0.88520560856407604</v>
      </c>
      <c r="E3566">
        <v>0.95962598527685306</v>
      </c>
      <c r="F3566">
        <v>0.71763004044504397</v>
      </c>
      <c r="G3566">
        <v>0.66735822797950195</v>
      </c>
      <c r="H3566">
        <v>0.46000407291427498</v>
      </c>
      <c r="I3566">
        <v>0.36083762092296401</v>
      </c>
      <c r="J3566">
        <v>0.21429736890064699</v>
      </c>
      <c r="K3566">
        <v>8.5657536942559495E-2</v>
      </c>
      <c r="L3566">
        <v>645.33645087795503</v>
      </c>
      <c r="M3566">
        <v>10.827778371571901</v>
      </c>
      <c r="N3566">
        <v>59.600087619731603</v>
      </c>
      <c r="O3566">
        <v>57.675205105843801</v>
      </c>
      <c r="P3566">
        <v>-4.6951115852978502E-2</v>
      </c>
      <c r="Q3566">
        <v>0</v>
      </c>
      <c r="R3566">
        <v>0.95139325074643699</v>
      </c>
      <c r="S3566" t="s">
        <v>7195</v>
      </c>
      <c r="T3566" t="s">
        <v>7256</v>
      </c>
      <c r="U3566" t="s">
        <v>7256</v>
      </c>
      <c r="V3566" t="s">
        <v>7256</v>
      </c>
      <c r="W3566">
        <v>1</v>
      </c>
      <c r="X3566" t="s">
        <v>10822</v>
      </c>
      <c r="Y3566">
        <v>0.65513724277080576</v>
      </c>
      <c r="Z3566" t="str">
        <f>HYPERLINK("Melting_Curves/meltCurve_tr_K7ER25_K7ER25_HUMAN_.pdf", "Melting_Curves/meltCurve_tr_K7ER25_K7ER25_HUMAN_.pdf")</f>
        <v>Melting_Curves/meltCurve_tr_K7ER25_K7ER25_HUMAN_.pdf</v>
      </c>
      <c r="AA3566" t="s">
        <v>14371</v>
      </c>
      <c r="AB3566" t="s">
        <v>17967</v>
      </c>
    </row>
    <row r="3567" spans="1:28" x14ac:dyDescent="0.25">
      <c r="A3567" t="s">
        <v>3571</v>
      </c>
      <c r="B3567">
        <v>0.98018197421672304</v>
      </c>
      <c r="C3567">
        <v>0.946910325549293</v>
      </c>
      <c r="D3567">
        <v>0.78682587255268299</v>
      </c>
      <c r="E3567">
        <v>0.43850710426710299</v>
      </c>
      <c r="F3567">
        <v>0.30191534844354201</v>
      </c>
      <c r="G3567">
        <v>0.20215537998521901</v>
      </c>
      <c r="H3567">
        <v>0.121282121951996</v>
      </c>
      <c r="I3567">
        <v>6.8661566724679296E-2</v>
      </c>
      <c r="J3567">
        <v>7.6908193258511101E-2</v>
      </c>
      <c r="K3567">
        <v>6.1745747781406499E-2</v>
      </c>
      <c r="L3567">
        <v>802.49607942013301</v>
      </c>
      <c r="M3567">
        <v>16.3016743887373</v>
      </c>
      <c r="N3567">
        <v>49.684918040962401</v>
      </c>
      <c r="O3567">
        <v>48.504919276619802</v>
      </c>
      <c r="P3567">
        <v>-7.8175781618570694E-2</v>
      </c>
      <c r="Q3567">
        <v>6.9633325749329206E-2</v>
      </c>
      <c r="R3567">
        <v>0.99604194206420604</v>
      </c>
      <c r="S3567" t="s">
        <v>7196</v>
      </c>
      <c r="T3567" t="s">
        <v>7256</v>
      </c>
      <c r="U3567" t="s">
        <v>7256</v>
      </c>
      <c r="V3567" t="s">
        <v>7256</v>
      </c>
      <c r="W3567">
        <v>3</v>
      </c>
      <c r="X3567" t="s">
        <v>10823</v>
      </c>
      <c r="Y3567">
        <v>0.37527082603912632</v>
      </c>
      <c r="Z3567" t="str">
        <f>HYPERLINK("Melting_Curves/meltCurve_tr_K7ERI9_K7ERI9_HUMAN_.pdf", "Melting_Curves/meltCurve_tr_K7ERI9_K7ERI9_HUMAN_.pdf")</f>
        <v>Melting_Curves/meltCurve_tr_K7ERI9_K7ERI9_HUMAN_.pdf</v>
      </c>
      <c r="AA3567" t="s">
        <v>14372</v>
      </c>
      <c r="AB3567" t="s">
        <v>17968</v>
      </c>
    </row>
    <row r="3568" spans="1:28" x14ac:dyDescent="0.25">
      <c r="A3568" t="s">
        <v>3572</v>
      </c>
      <c r="B3568">
        <v>0.98018197421672304</v>
      </c>
      <c r="C3568">
        <v>0.93215889807376096</v>
      </c>
      <c r="D3568">
        <v>0.84687944019792505</v>
      </c>
      <c r="E3568">
        <v>0.64751597194986399</v>
      </c>
      <c r="F3568">
        <v>0.31796638242099301</v>
      </c>
      <c r="G3568">
        <v>0.173202016943385</v>
      </c>
      <c r="H3568">
        <v>0.101710814460993</v>
      </c>
      <c r="I3568">
        <v>5.9528670613942701E-2</v>
      </c>
      <c r="J3568">
        <v>8.9914169052595097E-2</v>
      </c>
      <c r="K3568">
        <v>2.70341106962626E-2</v>
      </c>
      <c r="L3568">
        <v>879.86510795054005</v>
      </c>
      <c r="M3568">
        <v>17.2879564492608</v>
      </c>
      <c r="N3568">
        <v>51.150786984850697</v>
      </c>
      <c r="O3568">
        <v>50.2283613119845</v>
      </c>
      <c r="P3568">
        <v>-8.2483948271664595E-2</v>
      </c>
      <c r="Q3568">
        <v>4.1461576943769202E-2</v>
      </c>
      <c r="R3568">
        <v>0.99405477366807704</v>
      </c>
      <c r="S3568" t="s">
        <v>7197</v>
      </c>
      <c r="T3568" t="s">
        <v>7256</v>
      </c>
      <c r="U3568" t="s">
        <v>7256</v>
      </c>
      <c r="V3568" t="s">
        <v>7256</v>
      </c>
      <c r="W3568">
        <v>3</v>
      </c>
      <c r="X3568" t="s">
        <v>10824</v>
      </c>
      <c r="Y3568">
        <v>0.40694932996637451</v>
      </c>
      <c r="Z3568" t="str">
        <f>HYPERLINK("Melting_Curves/meltCurve_tr_K7ES31_K7ES31_HUMAN_.pdf", "Melting_Curves/meltCurve_tr_K7ES31_K7ES31_HUMAN_.pdf")</f>
        <v>Melting_Curves/meltCurve_tr_K7ES31_K7ES31_HUMAN_.pdf</v>
      </c>
      <c r="AA3568" t="s">
        <v>14373</v>
      </c>
      <c r="AB3568" t="s">
        <v>17969</v>
      </c>
    </row>
    <row r="3569" spans="1:28" x14ac:dyDescent="0.25">
      <c r="A3569" t="s">
        <v>3573</v>
      </c>
      <c r="B3569">
        <v>0.98018197421672304</v>
      </c>
      <c r="C3569">
        <v>0.87822930955856104</v>
      </c>
      <c r="D3569">
        <v>0.86678254542236799</v>
      </c>
      <c r="E3569">
        <v>0.73507336047861005</v>
      </c>
      <c r="F3569">
        <v>0.63096392261867495</v>
      </c>
      <c r="G3569">
        <v>0.49255774956707798</v>
      </c>
      <c r="H3569">
        <v>0.42527130980114902</v>
      </c>
      <c r="I3569">
        <v>0.43151003336629801</v>
      </c>
      <c r="J3569">
        <v>0.49394348860319798</v>
      </c>
      <c r="K3569">
        <v>0.56028106850687698</v>
      </c>
      <c r="L3569">
        <v>694.29156978148796</v>
      </c>
      <c r="M3569">
        <v>14.072553063039701</v>
      </c>
      <c r="N3569">
        <v>60.003346955651701</v>
      </c>
      <c r="O3569">
        <v>48.372347709323698</v>
      </c>
      <c r="P3569">
        <v>-3.93503217327313E-2</v>
      </c>
      <c r="Q3569">
        <v>0.459026078140649</v>
      </c>
      <c r="R3569">
        <v>0.93779707169821402</v>
      </c>
      <c r="S3569" t="s">
        <v>7198</v>
      </c>
      <c r="T3569" t="s">
        <v>7256</v>
      </c>
      <c r="U3569" t="s">
        <v>7256</v>
      </c>
      <c r="V3569" t="s">
        <v>7256</v>
      </c>
      <c r="W3569">
        <v>9</v>
      </c>
      <c r="X3569" t="s">
        <v>10825</v>
      </c>
      <c r="Y3569">
        <v>0.64220144025092984</v>
      </c>
      <c r="Z3569" t="str">
        <f>HYPERLINK("Melting_Curves/meltCurve_tr_K7ESE3_K7ESE3_HUMAN_.pdf", "Melting_Curves/meltCurve_tr_K7ESE3_K7ESE3_HUMAN_.pdf")</f>
        <v>Melting_Curves/meltCurve_tr_K7ESE3_K7ESE3_HUMAN_.pdf</v>
      </c>
      <c r="AA3569" t="s">
        <v>14374</v>
      </c>
      <c r="AB3569" t="s">
        <v>17970</v>
      </c>
    </row>
    <row r="3570" spans="1:28" x14ac:dyDescent="0.25">
      <c r="A3570" t="s">
        <v>3574</v>
      </c>
      <c r="B3570">
        <v>0.98018197421672304</v>
      </c>
      <c r="C3570">
        <v>0.93981942522832396</v>
      </c>
      <c r="D3570">
        <v>0.80965760069116099</v>
      </c>
      <c r="E3570">
        <v>0.47817627338641</v>
      </c>
      <c r="F3570">
        <v>0.17908556717499699</v>
      </c>
      <c r="G3570">
        <v>9.8473947409578905E-2</v>
      </c>
      <c r="H3570">
        <v>7.21881153171548E-2</v>
      </c>
      <c r="I3570">
        <v>5.2336246970098498E-2</v>
      </c>
      <c r="J3570">
        <v>6.9546255710004001E-2</v>
      </c>
      <c r="K3570">
        <v>5.4317101671847397E-2</v>
      </c>
      <c r="L3570">
        <v>1044.7547238555401</v>
      </c>
      <c r="M3570">
        <v>21.247505397678601</v>
      </c>
      <c r="N3570">
        <v>49.421583184205303</v>
      </c>
      <c r="O3570">
        <v>48.741361636187101</v>
      </c>
      <c r="P3570">
        <v>-0.103412041107581</v>
      </c>
      <c r="Q3570">
        <v>5.1123478332685802E-2</v>
      </c>
      <c r="R3570">
        <v>0.99723068934592096</v>
      </c>
      <c r="S3570" t="s">
        <v>7199</v>
      </c>
      <c r="T3570" t="s">
        <v>7256</v>
      </c>
      <c r="U3570" t="s">
        <v>7256</v>
      </c>
      <c r="V3570" t="s">
        <v>7256</v>
      </c>
      <c r="W3570">
        <v>16</v>
      </c>
      <c r="X3570" t="s">
        <v>10826</v>
      </c>
      <c r="Y3570">
        <v>0.3529258132205263</v>
      </c>
      <c r="Z3570" t="str">
        <f>HYPERLINK("Melting_Curves/meltCurve_tr_M0QWZ7_M0QWZ7_HUMAN_.pdf", "Melting_Curves/meltCurve_tr_M0QWZ7_M0QWZ7_HUMAN_.pdf")</f>
        <v>Melting_Curves/meltCurve_tr_M0QWZ7_M0QWZ7_HUMAN_.pdf</v>
      </c>
      <c r="AA3570" t="s">
        <v>14375</v>
      </c>
      <c r="AB3570" t="s">
        <v>17971</v>
      </c>
    </row>
    <row r="3571" spans="1:28" x14ac:dyDescent="0.25">
      <c r="A3571" t="s">
        <v>3575</v>
      </c>
      <c r="B3571">
        <v>0.98018197421672304</v>
      </c>
      <c r="C3571">
        <v>0.85027254161952104</v>
      </c>
      <c r="D3571">
        <v>0.79430050926797602</v>
      </c>
      <c r="E3571">
        <v>0.56475248856313498</v>
      </c>
      <c r="F3571">
        <v>0.40958676815252698</v>
      </c>
      <c r="G3571">
        <v>0.243375718607275</v>
      </c>
      <c r="H3571">
        <v>0.210275744574863</v>
      </c>
      <c r="I3571">
        <v>0.20213425155109399</v>
      </c>
      <c r="J3571">
        <v>0.24675484082838101</v>
      </c>
      <c r="K3571">
        <v>0.220746747431845</v>
      </c>
      <c r="L3571">
        <v>700.16058236852803</v>
      </c>
      <c r="M3571">
        <v>14.258767161152701</v>
      </c>
      <c r="N3571">
        <v>50.795070265996202</v>
      </c>
      <c r="O3571">
        <v>48.168316236848199</v>
      </c>
      <c r="P3571">
        <v>-6.0027104849338001E-2</v>
      </c>
      <c r="Q3571">
        <v>0.18897661397356499</v>
      </c>
      <c r="R3571">
        <v>0.98869032484699604</v>
      </c>
      <c r="S3571" t="s">
        <v>7200</v>
      </c>
      <c r="T3571" t="s">
        <v>7256</v>
      </c>
      <c r="U3571" t="s">
        <v>7256</v>
      </c>
      <c r="V3571" t="s">
        <v>7256</v>
      </c>
      <c r="W3571">
        <v>2</v>
      </c>
      <c r="X3571" t="s">
        <v>10827</v>
      </c>
      <c r="Y3571">
        <v>0.45699092639768257</v>
      </c>
      <c r="Z3571" t="str">
        <f>HYPERLINK("Melting_Curves/meltCurve_tr_M0QX35_M0QX35_HUMAN_.pdf", "Melting_Curves/meltCurve_tr_M0QX35_M0QX35_HUMAN_.pdf")</f>
        <v>Melting_Curves/meltCurve_tr_M0QX35_M0QX35_HUMAN_.pdf</v>
      </c>
      <c r="AA3571" t="s">
        <v>14376</v>
      </c>
      <c r="AB3571" t="s">
        <v>17972</v>
      </c>
    </row>
    <row r="3572" spans="1:28" x14ac:dyDescent="0.25">
      <c r="A3572" t="s">
        <v>3576</v>
      </c>
      <c r="B3572">
        <v>0.98018197421672304</v>
      </c>
      <c r="C3572">
        <v>0.89256859534176303</v>
      </c>
      <c r="D3572">
        <v>0.95070101204030599</v>
      </c>
      <c r="E3572">
        <v>0.79464981340457697</v>
      </c>
      <c r="F3572">
        <v>0.73264319178209703</v>
      </c>
      <c r="G3572">
        <v>0.44498644567851198</v>
      </c>
      <c r="H3572">
        <v>0.53312055633206001</v>
      </c>
      <c r="I3572">
        <v>0.53822748972495704</v>
      </c>
      <c r="J3572">
        <v>0.70160507626658197</v>
      </c>
      <c r="K3572">
        <v>0.67494429935573297</v>
      </c>
      <c r="L3572">
        <v>1273.73770034175</v>
      </c>
      <c r="M3572">
        <v>25.417590224159799</v>
      </c>
      <c r="O3572">
        <v>49.805343953835603</v>
      </c>
      <c r="P3572">
        <v>-5.3006440026908103E-2</v>
      </c>
      <c r="Q3572">
        <v>0.584544279289261</v>
      </c>
      <c r="R3572">
        <v>0.77802553396265295</v>
      </c>
      <c r="S3572" t="s">
        <v>7201</v>
      </c>
      <c r="T3572" t="s">
        <v>7256</v>
      </c>
      <c r="U3572" t="s">
        <v>7256</v>
      </c>
      <c r="V3572" t="s">
        <v>7256</v>
      </c>
      <c r="W3572">
        <v>5</v>
      </c>
      <c r="X3572" t="s">
        <v>10828</v>
      </c>
      <c r="Y3572">
        <v>0.72818272299794196</v>
      </c>
      <c r="Z3572" t="str">
        <f>HYPERLINK("Melting_Curves/meltCurve_tr_M0QY97_M0QY97_HUMAN_.pdf", "Melting_Curves/meltCurve_tr_M0QY97_M0QY97_HUMAN_.pdf")</f>
        <v>Melting_Curves/meltCurve_tr_M0QY97_M0QY97_HUMAN_.pdf</v>
      </c>
      <c r="AA3572" t="s">
        <v>14377</v>
      </c>
      <c r="AB3572" t="s">
        <v>17973</v>
      </c>
    </row>
    <row r="3573" spans="1:28" x14ac:dyDescent="0.25">
      <c r="A3573" t="s">
        <v>3577</v>
      </c>
      <c r="B3573">
        <v>0.98018197421672304</v>
      </c>
      <c r="C3573">
        <v>0.75263959688975302</v>
      </c>
      <c r="D3573">
        <v>0.64373066673661306</v>
      </c>
      <c r="E3573">
        <v>0.55889922739757603</v>
      </c>
      <c r="F3573">
        <v>0.37687725115551601</v>
      </c>
      <c r="G3573">
        <v>0.243741380025156</v>
      </c>
      <c r="H3573">
        <v>0.16958202132840899</v>
      </c>
      <c r="I3573">
        <v>0.147353895144228</v>
      </c>
      <c r="J3573">
        <v>0.133976679683766</v>
      </c>
      <c r="K3573">
        <v>9.9600440969819598E-2</v>
      </c>
      <c r="L3573">
        <v>453.44999175723098</v>
      </c>
      <c r="M3573">
        <v>9.1568941659491205</v>
      </c>
      <c r="N3573">
        <v>49.964607352795902</v>
      </c>
      <c r="O3573">
        <v>47.329863892988897</v>
      </c>
      <c r="P3573">
        <v>-4.65069324281501E-2</v>
      </c>
      <c r="Q3573">
        <v>3.9119364181161499E-2</v>
      </c>
      <c r="R3573">
        <v>0.981853908059939</v>
      </c>
      <c r="S3573" t="s">
        <v>7202</v>
      </c>
      <c r="T3573" t="s">
        <v>7256</v>
      </c>
      <c r="U3573" t="s">
        <v>7256</v>
      </c>
      <c r="V3573" t="s">
        <v>7256</v>
      </c>
      <c r="W3573">
        <v>5</v>
      </c>
      <c r="X3573" t="s">
        <v>10829</v>
      </c>
      <c r="Y3573">
        <v>0.39496137236801832</v>
      </c>
      <c r="Z3573" t="str">
        <f>HYPERLINK("Melting_Curves/meltCurve_tr_M0R042_M0R042_HUMAN_.pdf", "Melting_Curves/meltCurve_tr_M0R042_M0R042_HUMAN_.pdf")</f>
        <v>Melting_Curves/meltCurve_tr_M0R042_M0R042_HUMAN_.pdf</v>
      </c>
      <c r="AA3573" t="s">
        <v>14378</v>
      </c>
      <c r="AB3573" t="s">
        <v>17974</v>
      </c>
    </row>
    <row r="3574" spans="1:28" x14ac:dyDescent="0.25">
      <c r="A3574" t="s">
        <v>3578</v>
      </c>
      <c r="B3574">
        <v>0.98018197421672304</v>
      </c>
      <c r="C3574">
        <v>0.68833721015634897</v>
      </c>
      <c r="D3574">
        <v>0.54610020708200702</v>
      </c>
      <c r="E3574">
        <v>0.319580367135886</v>
      </c>
      <c r="F3574">
        <v>0.24483697571837701</v>
      </c>
      <c r="G3574">
        <v>0.15087939031042799</v>
      </c>
      <c r="H3574">
        <v>0.10182158634949399</v>
      </c>
      <c r="I3574">
        <v>8.0612700438691703E-2</v>
      </c>
      <c r="J3574">
        <v>7.6412896942754202E-2</v>
      </c>
      <c r="K3574">
        <v>0.104607152083092</v>
      </c>
      <c r="L3574">
        <v>618.22306161892504</v>
      </c>
      <c r="M3574">
        <v>13.410432564988101</v>
      </c>
      <c r="N3574">
        <v>46.691289883516198</v>
      </c>
      <c r="O3574">
        <v>45.111236276504499</v>
      </c>
      <c r="P3574">
        <v>-6.8526916146252004E-2</v>
      </c>
      <c r="Q3574">
        <v>7.8075559085791404E-2</v>
      </c>
      <c r="R3574">
        <v>0.98460206524333804</v>
      </c>
      <c r="S3574" t="s">
        <v>7203</v>
      </c>
      <c r="T3574" t="s">
        <v>7256</v>
      </c>
      <c r="U3574" t="s">
        <v>7256</v>
      </c>
      <c r="V3574" t="s">
        <v>7256</v>
      </c>
      <c r="W3574">
        <v>3</v>
      </c>
      <c r="X3574" t="s">
        <v>10830</v>
      </c>
      <c r="Y3574">
        <v>0.29912121931450669</v>
      </c>
      <c r="Z3574" t="str">
        <f>HYPERLINK("Melting_Curves/meltCurve_tr_M0R0F0_M0R0F0_HUMAN_.pdf", "Melting_Curves/meltCurve_tr_M0R0F0_M0R0F0_HUMAN_.pdf")</f>
        <v>Melting_Curves/meltCurve_tr_M0R0F0_M0R0F0_HUMAN_.pdf</v>
      </c>
      <c r="AA3574" t="s">
        <v>14379</v>
      </c>
      <c r="AB3574" t="s">
        <v>17975</v>
      </c>
    </row>
    <row r="3575" spans="1:28" x14ac:dyDescent="0.25">
      <c r="A3575" t="s">
        <v>3579</v>
      </c>
      <c r="B3575">
        <v>0.98018197421672304</v>
      </c>
      <c r="C3575">
        <v>1.0858892103655999</v>
      </c>
      <c r="D3575">
        <v>0.86835266583915904</v>
      </c>
      <c r="E3575">
        <v>0.74974643273087405</v>
      </c>
      <c r="F3575">
        <v>0.70485179196399095</v>
      </c>
      <c r="G3575">
        <v>0.462092809459827</v>
      </c>
      <c r="H3575">
        <v>0.31436631455398001</v>
      </c>
      <c r="I3575">
        <v>0.18941274798384999</v>
      </c>
      <c r="J3575">
        <v>8.83957715486446E-2</v>
      </c>
      <c r="K3575">
        <v>9.6169820680866894E-2</v>
      </c>
      <c r="L3575">
        <v>645.44092887696104</v>
      </c>
      <c r="M3575">
        <v>11.494093765903401</v>
      </c>
      <c r="N3575">
        <v>56.154140498764001</v>
      </c>
      <c r="O3575">
        <v>54.5350651470429</v>
      </c>
      <c r="P3575">
        <v>-5.27063048246754E-2</v>
      </c>
      <c r="Q3575">
        <v>0</v>
      </c>
      <c r="R3575">
        <v>0.98073598409304996</v>
      </c>
      <c r="S3575" t="s">
        <v>7204</v>
      </c>
      <c r="T3575" t="s">
        <v>7256</v>
      </c>
      <c r="U3575" t="s">
        <v>7256</v>
      </c>
      <c r="V3575" t="s">
        <v>7256</v>
      </c>
      <c r="W3575">
        <v>3</v>
      </c>
      <c r="X3575" t="s">
        <v>10831</v>
      </c>
      <c r="Y3575">
        <v>0.55858730576656646</v>
      </c>
      <c r="Z3575" t="str">
        <f>HYPERLINK("Melting_Curves/meltCurve_tr_M0R0I0_M0R0I0_HUMAN_.pdf", "Melting_Curves/meltCurve_tr_M0R0I0_M0R0I0_HUMAN_.pdf")</f>
        <v>Melting_Curves/meltCurve_tr_M0R0I0_M0R0I0_HUMAN_.pdf</v>
      </c>
      <c r="AA3575" t="s">
        <v>14380</v>
      </c>
      <c r="AB3575" t="s">
        <v>17976</v>
      </c>
    </row>
    <row r="3576" spans="1:28" x14ac:dyDescent="0.25">
      <c r="A3576" t="s">
        <v>3580</v>
      </c>
      <c r="B3576">
        <v>0.98018197421672304</v>
      </c>
      <c r="C3576">
        <v>0.99604003165862798</v>
      </c>
      <c r="D3576">
        <v>0.93950912106995599</v>
      </c>
      <c r="E3576">
        <v>0.74851260184789903</v>
      </c>
      <c r="F3576">
        <v>0.58214126554019596</v>
      </c>
      <c r="G3576">
        <v>0.47602895565490699</v>
      </c>
      <c r="H3576">
        <v>0.22850753253925199</v>
      </c>
      <c r="I3576">
        <v>0.116749186039398</v>
      </c>
      <c r="J3576">
        <v>0.139830407994677</v>
      </c>
      <c r="K3576">
        <v>8.9103734007871194E-2</v>
      </c>
      <c r="L3576">
        <v>656.505728756498</v>
      </c>
      <c r="M3576">
        <v>11.9201706709653</v>
      </c>
      <c r="N3576">
        <v>55.157814886437897</v>
      </c>
      <c r="O3576">
        <v>53.593796304556399</v>
      </c>
      <c r="P3576">
        <v>-5.5125881936117303E-2</v>
      </c>
      <c r="Q3576">
        <v>8.8482351432022498E-3</v>
      </c>
      <c r="R3576">
        <v>0.99054779280109595</v>
      </c>
      <c r="S3576" t="s">
        <v>7205</v>
      </c>
      <c r="T3576" t="s">
        <v>7256</v>
      </c>
      <c r="U3576" t="s">
        <v>7256</v>
      </c>
      <c r="V3576" t="s">
        <v>7256</v>
      </c>
      <c r="W3576">
        <v>10</v>
      </c>
      <c r="X3576" t="s">
        <v>10832</v>
      </c>
      <c r="Y3576">
        <v>0.53004090849533414</v>
      </c>
      <c r="Z3576" t="str">
        <f>HYPERLINK("Melting_Curves/meltCurve_tr_M0R248_M0R248_HUMAN_.pdf", "Melting_Curves/meltCurve_tr_M0R248_M0R248_HUMAN_.pdf")</f>
        <v>Melting_Curves/meltCurve_tr_M0R248_M0R248_HUMAN_.pdf</v>
      </c>
      <c r="AA3576" t="s">
        <v>12284</v>
      </c>
      <c r="AB3576" t="s">
        <v>17977</v>
      </c>
    </row>
    <row r="3577" spans="1:28" x14ac:dyDescent="0.25">
      <c r="A3577" t="s">
        <v>3581</v>
      </c>
      <c r="B3577">
        <v>0.98018197421672304</v>
      </c>
      <c r="C3577">
        <v>0.69552911518614902</v>
      </c>
      <c r="D3577">
        <v>0.67895891406681297</v>
      </c>
      <c r="E3577">
        <v>0.43171723876650198</v>
      </c>
      <c r="F3577">
        <v>0.16260889451844901</v>
      </c>
      <c r="G3577">
        <v>8.67692194711117E-2</v>
      </c>
      <c r="H3577">
        <v>5.29010312581722E-2</v>
      </c>
      <c r="I3577">
        <v>4.9593987967171897E-2</v>
      </c>
      <c r="J3577">
        <v>2.74516934579269E-2</v>
      </c>
      <c r="K3577">
        <v>2.8407781793996199E-2</v>
      </c>
      <c r="L3577">
        <v>609.26388725350103</v>
      </c>
      <c r="M3577">
        <v>12.7309526966107</v>
      </c>
      <c r="N3577">
        <v>47.8568971487271</v>
      </c>
      <c r="O3577">
        <v>46.722197621646401</v>
      </c>
      <c r="P3577">
        <v>-6.8133527038012398E-2</v>
      </c>
      <c r="Q3577">
        <v>0</v>
      </c>
      <c r="R3577">
        <v>0.97390267749451398</v>
      </c>
      <c r="S3577" t="s">
        <v>7206</v>
      </c>
      <c r="T3577" t="s">
        <v>7256</v>
      </c>
      <c r="U3577" t="s">
        <v>7256</v>
      </c>
      <c r="V3577" t="s">
        <v>7256</v>
      </c>
      <c r="W3577">
        <v>10</v>
      </c>
      <c r="X3577" t="s">
        <v>10833</v>
      </c>
      <c r="Y3577">
        <v>0.29739650277331392</v>
      </c>
      <c r="Z3577" t="str">
        <f>HYPERLINK("Melting_Curves/meltCurve_tr_M0R259_M0R259_HUMAN_.pdf", "Melting_Curves/meltCurve_tr_M0R259_M0R259_HUMAN_.pdf")</f>
        <v>Melting_Curves/meltCurve_tr_M0R259_M0R259_HUMAN_.pdf</v>
      </c>
      <c r="AA3577" t="s">
        <v>14375</v>
      </c>
      <c r="AB3577" t="s">
        <v>17971</v>
      </c>
    </row>
    <row r="3578" spans="1:28" x14ac:dyDescent="0.25">
      <c r="A3578" t="s">
        <v>3582</v>
      </c>
      <c r="B3578">
        <v>0.98018197421672304</v>
      </c>
      <c r="C3578">
        <v>0.97580377948525099</v>
      </c>
      <c r="D3578">
        <v>0.92800800616691403</v>
      </c>
      <c r="E3578">
        <v>0.78750073490932004</v>
      </c>
      <c r="F3578">
        <v>0.47458361671409999</v>
      </c>
      <c r="G3578">
        <v>0.210430468411303</v>
      </c>
      <c r="H3578">
        <v>0.124322080377737</v>
      </c>
      <c r="I3578">
        <v>9.4490843556121404E-2</v>
      </c>
      <c r="J3578">
        <v>0.143081757109043</v>
      </c>
      <c r="K3578">
        <v>6.5098913928487906E-2</v>
      </c>
      <c r="L3578">
        <v>1195.13185923176</v>
      </c>
      <c r="M3578">
        <v>22.832142662446699</v>
      </c>
      <c r="N3578">
        <v>52.812272983376701</v>
      </c>
      <c r="O3578">
        <v>51.947683609761398</v>
      </c>
      <c r="P3578">
        <v>-9.9818813986802604E-2</v>
      </c>
      <c r="Q3578">
        <v>9.1586395008457097E-2</v>
      </c>
      <c r="R3578">
        <v>0.99622170013504097</v>
      </c>
      <c r="S3578" t="s">
        <v>7207</v>
      </c>
      <c r="T3578" t="s">
        <v>7256</v>
      </c>
      <c r="U3578" t="s">
        <v>7256</v>
      </c>
      <c r="V3578" t="s">
        <v>7256</v>
      </c>
      <c r="W3578">
        <v>4</v>
      </c>
      <c r="X3578" t="s">
        <v>10834</v>
      </c>
      <c r="Y3578">
        <v>0.47524772704657858</v>
      </c>
      <c r="Z3578" t="str">
        <f>HYPERLINK("Melting_Curves/meltCurve_tr_Q2TAM5_Q2TAM5_HUMAN_.pdf", "Melting_Curves/meltCurve_tr_Q2TAM5_Q2TAM5_HUMAN_.pdf")</f>
        <v>Melting_Curves/meltCurve_tr_Q2TAM5_Q2TAM5_HUMAN_.pdf</v>
      </c>
      <c r="AA3578" t="s">
        <v>14381</v>
      </c>
      <c r="AB3578" t="s">
        <v>17978</v>
      </c>
    </row>
    <row r="3579" spans="1:28" x14ac:dyDescent="0.25">
      <c r="A3579" t="s">
        <v>3583</v>
      </c>
      <c r="B3579">
        <v>0.98018197421672304</v>
      </c>
      <c r="C3579">
        <v>1.063482129741</v>
      </c>
      <c r="D3579">
        <v>0.70290126130534303</v>
      </c>
      <c r="E3579">
        <v>0.41644213803788899</v>
      </c>
      <c r="F3579">
        <v>0.236156352380573</v>
      </c>
      <c r="G3579">
        <v>0.199177116415962</v>
      </c>
      <c r="H3579">
        <v>0.10649261541893799</v>
      </c>
      <c r="I3579">
        <v>6.7451121801902603E-2</v>
      </c>
      <c r="J3579">
        <v>7.6426846323484399E-2</v>
      </c>
      <c r="K3579">
        <v>9.3543297574166698E-2</v>
      </c>
      <c r="L3579">
        <v>965.07517054591699</v>
      </c>
      <c r="M3579">
        <v>19.9169686155563</v>
      </c>
      <c r="N3579">
        <v>48.964301466589497</v>
      </c>
      <c r="O3579">
        <v>47.974379077242901</v>
      </c>
      <c r="P3579">
        <v>-9.4081078841614693E-2</v>
      </c>
      <c r="Q3579">
        <v>9.3570472508574698E-2</v>
      </c>
      <c r="R3579">
        <v>0.98058306352241098</v>
      </c>
      <c r="S3579" t="s">
        <v>7208</v>
      </c>
      <c r="T3579" t="s">
        <v>7256</v>
      </c>
      <c r="U3579" t="s">
        <v>7256</v>
      </c>
      <c r="V3579" t="s">
        <v>7256</v>
      </c>
      <c r="W3579">
        <v>2</v>
      </c>
      <c r="X3579" t="s">
        <v>10835</v>
      </c>
      <c r="Y3579">
        <v>0.36192044201761892</v>
      </c>
      <c r="Z3579" t="str">
        <f>HYPERLINK("Melting_Curves/meltCurve_tr_Q32N00_Q32N00_HUMAN_.pdf", "Melting_Curves/meltCurve_tr_Q32N00_Q32N00_HUMAN_.pdf")</f>
        <v>Melting_Curves/meltCurve_tr_Q32N00_Q32N00_HUMAN_.pdf</v>
      </c>
      <c r="AA3579" t="s">
        <v>14382</v>
      </c>
      <c r="AB3579" t="s">
        <v>17979</v>
      </c>
    </row>
    <row r="3580" spans="1:28" x14ac:dyDescent="0.25">
      <c r="A3580" t="s">
        <v>3584</v>
      </c>
      <c r="B3580">
        <v>0.98018197421672304</v>
      </c>
      <c r="C3580">
        <v>1.05839908406301</v>
      </c>
      <c r="D3580">
        <v>0.91091962515555103</v>
      </c>
      <c r="E3580">
        <v>0.61891450152692595</v>
      </c>
      <c r="F3580">
        <v>0.55875078751064999</v>
      </c>
      <c r="G3580">
        <v>0.37376207112667997</v>
      </c>
      <c r="H3580">
        <v>0.96187098005874805</v>
      </c>
      <c r="I3580">
        <v>0.16985932277934401</v>
      </c>
      <c r="J3580">
        <v>0.66602466200132404</v>
      </c>
      <c r="K3580">
        <v>1.11102164871133</v>
      </c>
      <c r="L3580">
        <v>11551.642708821901</v>
      </c>
      <c r="M3580">
        <v>250</v>
      </c>
      <c r="O3580">
        <v>46.203608484110802</v>
      </c>
      <c r="P3580">
        <v>-0.49080035833932101</v>
      </c>
      <c r="Q3580">
        <v>0.63717199604068397</v>
      </c>
      <c r="R3580">
        <v>0.29130275585491899</v>
      </c>
      <c r="S3580" t="s">
        <v>7209</v>
      </c>
      <c r="T3580" t="s">
        <v>7256</v>
      </c>
      <c r="U3580" t="s">
        <v>7256</v>
      </c>
      <c r="V3580" t="s">
        <v>7256</v>
      </c>
      <c r="W3580">
        <v>2</v>
      </c>
      <c r="X3580" t="s">
        <v>10836</v>
      </c>
      <c r="Y3580">
        <v>0.71226534200786729</v>
      </c>
      <c r="Z3580" t="str">
        <f>HYPERLINK("Melting_Curves/meltCurve_tr_Q3SYB4_Q3SYB4_HUMAN_.pdf", "Melting_Curves/meltCurve_tr_Q3SYB4_Q3SYB4_HUMAN_.pdf")</f>
        <v>Melting_Curves/meltCurve_tr_Q3SYB4_Q3SYB4_HUMAN_.pdf</v>
      </c>
      <c r="AA3580" t="s">
        <v>14383</v>
      </c>
      <c r="AB3580" t="s">
        <v>17980</v>
      </c>
    </row>
    <row r="3581" spans="1:28" x14ac:dyDescent="0.25">
      <c r="A3581" t="s">
        <v>3585</v>
      </c>
      <c r="B3581">
        <v>0.98018197421672304</v>
      </c>
      <c r="C3581">
        <v>0.84496717571377999</v>
      </c>
      <c r="D3581">
        <v>0.87599414643000795</v>
      </c>
      <c r="E3581">
        <v>0.78075648315995805</v>
      </c>
      <c r="F3581">
        <v>0.60598347875173997</v>
      </c>
      <c r="G3581">
        <v>0.52883802226912202</v>
      </c>
      <c r="H3581">
        <v>0.41885449113331902</v>
      </c>
      <c r="I3581">
        <v>0.45159073135840599</v>
      </c>
      <c r="J3581">
        <v>0.30602754511584701</v>
      </c>
      <c r="K3581">
        <v>0.13789017564306599</v>
      </c>
      <c r="L3581">
        <v>389.30616694609103</v>
      </c>
      <c r="M3581">
        <v>6.7032183479040599</v>
      </c>
      <c r="N3581">
        <v>58.077525422752799</v>
      </c>
      <c r="O3581">
        <v>53.563494079514101</v>
      </c>
      <c r="P3581">
        <v>-3.1354268323411399E-2</v>
      </c>
      <c r="Q3581">
        <v>0</v>
      </c>
      <c r="R3581">
        <v>0.95378185480578703</v>
      </c>
      <c r="S3581" t="s">
        <v>7210</v>
      </c>
      <c r="T3581" t="s">
        <v>7256</v>
      </c>
      <c r="U3581" t="s">
        <v>7256</v>
      </c>
      <c r="V3581" t="s">
        <v>7256</v>
      </c>
      <c r="W3581">
        <v>19</v>
      </c>
      <c r="X3581" t="s">
        <v>10837</v>
      </c>
      <c r="Y3581">
        <v>0.59829771691208389</v>
      </c>
      <c r="Z3581" t="str">
        <f>HYPERLINK("Melting_Curves/meltCurve_tr_Q53XA7_Q53XA7_HUMAN_.pdf", "Melting_Curves/meltCurve_tr_Q53XA7_Q53XA7_HUMAN_.pdf")</f>
        <v>Melting_Curves/meltCurve_tr_Q53XA7_Q53XA7_HUMAN_.pdf</v>
      </c>
      <c r="AA3581" t="s">
        <v>14384</v>
      </c>
      <c r="AB3581" t="s">
        <v>15072</v>
      </c>
    </row>
    <row r="3582" spans="1:28" x14ac:dyDescent="0.25">
      <c r="A3582" t="s">
        <v>3586</v>
      </c>
      <c r="B3582">
        <v>0.98018197421672304</v>
      </c>
      <c r="C3582">
        <v>0.86644301677510005</v>
      </c>
      <c r="D3582">
        <v>0.86557797487544097</v>
      </c>
      <c r="E3582">
        <v>0.91737647764559505</v>
      </c>
      <c r="F3582">
        <v>0.77999502476244897</v>
      </c>
      <c r="G3582">
        <v>0.26931027898719001</v>
      </c>
      <c r="H3582">
        <v>0.18452363967591501</v>
      </c>
      <c r="I3582">
        <v>0.190062973677809</v>
      </c>
      <c r="J3582">
        <v>0.295674548531833</v>
      </c>
      <c r="K3582">
        <v>0.29067422459932402</v>
      </c>
      <c r="L3582">
        <v>2675.1862612435698</v>
      </c>
      <c r="M3582">
        <v>49.643462605445301</v>
      </c>
      <c r="N3582">
        <v>54.592945505231903</v>
      </c>
      <c r="O3582">
        <v>53.800759071112601</v>
      </c>
      <c r="P3582">
        <v>-0.17609599376773499</v>
      </c>
      <c r="Q3582">
        <v>0.23662940940701099</v>
      </c>
      <c r="R3582">
        <v>0.94959860147557595</v>
      </c>
      <c r="S3582" t="s">
        <v>7211</v>
      </c>
      <c r="T3582" t="s">
        <v>7256</v>
      </c>
      <c r="U3582" t="s">
        <v>7256</v>
      </c>
      <c r="V3582" t="s">
        <v>7256</v>
      </c>
      <c r="W3582">
        <v>7</v>
      </c>
      <c r="X3582" t="s">
        <v>10838</v>
      </c>
      <c r="Y3582">
        <v>0.59185908778935092</v>
      </c>
      <c r="Z3582" t="str">
        <f>HYPERLINK("Melting_Curves/meltCurve_tr_Q567Q0_Q567Q0_HUMAN_.pdf", "Melting_Curves/meltCurve_tr_Q567Q0_Q567Q0_HUMAN_.pdf")</f>
        <v>Melting_Curves/meltCurve_tr_Q567Q0_Q567Q0_HUMAN_.pdf</v>
      </c>
      <c r="AA3582" t="s">
        <v>14385</v>
      </c>
      <c r="AB3582" t="s">
        <v>17981</v>
      </c>
    </row>
    <row r="3583" spans="1:28" x14ac:dyDescent="0.25">
      <c r="A3583" t="s">
        <v>3587</v>
      </c>
      <c r="B3583">
        <v>0.98018197421672304</v>
      </c>
      <c r="C3583">
        <v>0.93891341412957596</v>
      </c>
      <c r="D3583">
        <v>0.86278102525417499</v>
      </c>
      <c r="E3583">
        <v>0.73784822637480096</v>
      </c>
      <c r="F3583">
        <v>0.49393645081273402</v>
      </c>
      <c r="G3583">
        <v>0.196289558365185</v>
      </c>
      <c r="H3583">
        <v>0.114202620247691</v>
      </c>
      <c r="I3583">
        <v>9.2369943734304599E-2</v>
      </c>
      <c r="J3583">
        <v>0.100368314879131</v>
      </c>
      <c r="K3583">
        <v>0.10210535833672101</v>
      </c>
      <c r="L3583">
        <v>927.49032159771696</v>
      </c>
      <c r="M3583">
        <v>17.769525479876101</v>
      </c>
      <c r="N3583">
        <v>52.616931978138901</v>
      </c>
      <c r="O3583">
        <v>51.547998727771798</v>
      </c>
      <c r="P3583">
        <v>-8.0468206657595298E-2</v>
      </c>
      <c r="Q3583">
        <v>6.6321090771493701E-2</v>
      </c>
      <c r="R3583">
        <v>0.99245043849009695</v>
      </c>
      <c r="S3583" t="s">
        <v>7212</v>
      </c>
      <c r="T3583" t="s">
        <v>7256</v>
      </c>
      <c r="U3583" t="s">
        <v>7256</v>
      </c>
      <c r="V3583" t="s">
        <v>7256</v>
      </c>
      <c r="W3583">
        <v>38</v>
      </c>
      <c r="X3583" t="s">
        <v>10839</v>
      </c>
      <c r="Y3583">
        <v>0.4617123255219866</v>
      </c>
      <c r="Z3583" t="str">
        <f>HYPERLINK("Melting_Curves/meltCurve_tr_Q5HY54_Q5HY54_HUMAN_.pdf", "Melting_Curves/meltCurve_tr_Q5HY54_Q5HY54_HUMAN_.pdf")</f>
        <v>Melting_Curves/meltCurve_tr_Q5HY54_Q5HY54_HUMAN_.pdf</v>
      </c>
      <c r="AA3583" t="s">
        <v>14386</v>
      </c>
      <c r="AB3583" t="s">
        <v>17982</v>
      </c>
    </row>
    <row r="3584" spans="1:28" x14ac:dyDescent="0.25">
      <c r="A3584" t="s">
        <v>3588</v>
      </c>
      <c r="B3584">
        <v>0.98018197421672304</v>
      </c>
      <c r="C3584">
        <v>0.74186619021421296</v>
      </c>
      <c r="D3584">
        <v>0.44171805051163199</v>
      </c>
      <c r="E3584">
        <v>0.20660615530392501</v>
      </c>
      <c r="F3584">
        <v>9.4446732951990603E-2</v>
      </c>
      <c r="G3584">
        <v>4.5578062838925501E-2</v>
      </c>
      <c r="H3584">
        <v>3.1395020355894601E-2</v>
      </c>
      <c r="I3584">
        <v>2.14624236362881E-2</v>
      </c>
      <c r="J3584">
        <v>7.0512261975429397E-2</v>
      </c>
      <c r="K3584">
        <v>2.3548777413512301E-2</v>
      </c>
      <c r="L3584">
        <v>865.86517988839398</v>
      </c>
      <c r="M3584">
        <v>19.0809928092715</v>
      </c>
      <c r="N3584">
        <v>45.553556655860199</v>
      </c>
      <c r="O3584">
        <v>44.888805527348602</v>
      </c>
      <c r="P3584">
        <v>-0.10251360757155201</v>
      </c>
      <c r="Q3584">
        <v>3.5368220689158299E-2</v>
      </c>
      <c r="R3584">
        <v>0.99471512595203804</v>
      </c>
      <c r="S3584" t="s">
        <v>7213</v>
      </c>
      <c r="T3584" t="s">
        <v>7256</v>
      </c>
      <c r="U3584" t="s">
        <v>7256</v>
      </c>
      <c r="V3584" t="s">
        <v>7256</v>
      </c>
      <c r="W3584">
        <v>16</v>
      </c>
      <c r="X3584" t="s">
        <v>10840</v>
      </c>
      <c r="Y3584">
        <v>0.22580941803294671</v>
      </c>
      <c r="Z3584" t="str">
        <f>HYPERLINK("Melting_Curves/meltCurve_tr_Q5JP53_Q5JP53_HUMAN_.pdf", "Melting_Curves/meltCurve_tr_Q5JP53_Q5JP53_HUMAN_.pdf")</f>
        <v>Melting_Curves/meltCurve_tr_Q5JP53_Q5JP53_HUMAN_.pdf</v>
      </c>
      <c r="AA3584" t="s">
        <v>14387</v>
      </c>
      <c r="AB3584" t="s">
        <v>17983</v>
      </c>
    </row>
    <row r="3585" spans="1:28" x14ac:dyDescent="0.25">
      <c r="A3585" t="s">
        <v>3589</v>
      </c>
      <c r="B3585">
        <v>0.98018197421672304</v>
      </c>
      <c r="C3585">
        <v>0.94144566894403203</v>
      </c>
      <c r="D3585">
        <v>0.90873479287473702</v>
      </c>
      <c r="E3585">
        <v>0.70709236687319599</v>
      </c>
      <c r="F3585">
        <v>0.51746363570661202</v>
      </c>
      <c r="G3585">
        <v>0.30681913741007599</v>
      </c>
      <c r="H3585">
        <v>9.5010395851159196E-2</v>
      </c>
      <c r="I3585">
        <v>3.5397089720777597E-2</v>
      </c>
      <c r="J3585">
        <v>1.6415195556979699E-2</v>
      </c>
      <c r="K3585">
        <v>0</v>
      </c>
      <c r="L3585">
        <v>812.34390327308404</v>
      </c>
      <c r="M3585">
        <v>15.291593359191999</v>
      </c>
      <c r="N3585">
        <v>53.123566831547102</v>
      </c>
      <c r="O3585">
        <v>52.239910085858099</v>
      </c>
      <c r="P3585">
        <v>-7.3186514555882307E-2</v>
      </c>
      <c r="Q3585">
        <v>0</v>
      </c>
      <c r="R3585">
        <v>0.995552173965086</v>
      </c>
      <c r="S3585" t="s">
        <v>7214</v>
      </c>
      <c r="T3585" t="s">
        <v>7256</v>
      </c>
      <c r="U3585" t="s">
        <v>7256</v>
      </c>
      <c r="V3585" t="s">
        <v>7256</v>
      </c>
      <c r="W3585">
        <v>3</v>
      </c>
      <c r="X3585" t="s">
        <v>10841</v>
      </c>
      <c r="Y3585">
        <v>0.45829377237577879</v>
      </c>
      <c r="Z3585" t="str">
        <f>HYPERLINK("Melting_Curves/meltCurve_tr_Q5JR04_Q5JR04_HUMAN_.pdf", "Melting_Curves/meltCurve_tr_Q5JR04_Q5JR04_HUMAN_.pdf")</f>
        <v>Melting_Curves/meltCurve_tr_Q5JR04_Q5JR04_HUMAN_.pdf</v>
      </c>
      <c r="AA3585" t="s">
        <v>14388</v>
      </c>
      <c r="AB3585" t="s">
        <v>17984</v>
      </c>
    </row>
    <row r="3586" spans="1:28" x14ac:dyDescent="0.25">
      <c r="A3586" t="s">
        <v>3590</v>
      </c>
      <c r="B3586">
        <v>0.98018197421672304</v>
      </c>
      <c r="C3586">
        <v>0.70308839464853501</v>
      </c>
      <c r="D3586">
        <v>0.71228499274185197</v>
      </c>
      <c r="E3586">
        <v>0.26324548376000301</v>
      </c>
      <c r="F3586">
        <v>0.103214281955903</v>
      </c>
      <c r="G3586">
        <v>5.7835298810385197E-2</v>
      </c>
      <c r="H3586">
        <v>4.3940186839905103E-2</v>
      </c>
      <c r="I3586">
        <v>3.7072475638937098E-2</v>
      </c>
      <c r="J3586">
        <v>5.3524884399470903E-2</v>
      </c>
      <c r="K3586">
        <v>3.6743525240078297E-2</v>
      </c>
      <c r="L3586">
        <v>780.62861379613798</v>
      </c>
      <c r="M3586">
        <v>16.601763691859698</v>
      </c>
      <c r="N3586">
        <v>47.139191150701897</v>
      </c>
      <c r="O3586">
        <v>46.354454935279399</v>
      </c>
      <c r="P3586">
        <v>-8.77150050507947E-2</v>
      </c>
      <c r="Q3586">
        <v>2.0415505366144501E-2</v>
      </c>
      <c r="R3586">
        <v>0.969935546482527</v>
      </c>
      <c r="S3586" t="s">
        <v>7215</v>
      </c>
      <c r="T3586" t="s">
        <v>7256</v>
      </c>
      <c r="U3586" t="s">
        <v>7256</v>
      </c>
      <c r="V3586" t="s">
        <v>7256</v>
      </c>
      <c r="W3586">
        <v>8</v>
      </c>
      <c r="X3586" t="s">
        <v>10842</v>
      </c>
      <c r="Y3586">
        <v>0.27115485392233102</v>
      </c>
      <c r="Z3586" t="str">
        <f>HYPERLINK("Melting_Curves/meltCurve_tr_Q5JR08_Q5JR08_HUMAN_.pdf", "Melting_Curves/meltCurve_tr_Q5JR08_Q5JR08_HUMAN_.pdf")</f>
        <v>Melting_Curves/meltCurve_tr_Q5JR08_Q5JR08_HUMAN_.pdf</v>
      </c>
      <c r="AA3586" t="s">
        <v>14389</v>
      </c>
      <c r="AB3586" t="s">
        <v>17985</v>
      </c>
    </row>
    <row r="3587" spans="1:28" x14ac:dyDescent="0.25">
      <c r="A3587" t="s">
        <v>3591</v>
      </c>
      <c r="B3587">
        <v>0.98018197421672304</v>
      </c>
      <c r="C3587">
        <v>0.98464704480964804</v>
      </c>
      <c r="D3587">
        <v>1.00887778741988</v>
      </c>
      <c r="E3587">
        <v>0.84146148384630604</v>
      </c>
      <c r="F3587">
        <v>0.80069700383750797</v>
      </c>
      <c r="G3587">
        <v>0.62854718272230803</v>
      </c>
      <c r="H3587">
        <v>0.59546268097299604</v>
      </c>
      <c r="I3587">
        <v>0.55923141282861399</v>
      </c>
      <c r="J3587">
        <v>0.73113308270699395</v>
      </c>
      <c r="K3587">
        <v>0.56704909425766903</v>
      </c>
      <c r="L3587">
        <v>1152.75838911954</v>
      </c>
      <c r="M3587">
        <v>22.225411999115799</v>
      </c>
      <c r="O3587">
        <v>51.452264724781003</v>
      </c>
      <c r="P3587">
        <v>-4.2511130981995097E-2</v>
      </c>
      <c r="Q3587">
        <v>0.60635203184410202</v>
      </c>
      <c r="R3587">
        <v>0.91257654547357503</v>
      </c>
      <c r="S3587" t="s">
        <v>7216</v>
      </c>
      <c r="T3587" t="s">
        <v>7256</v>
      </c>
      <c r="U3587" t="s">
        <v>7256</v>
      </c>
      <c r="V3587" t="s">
        <v>7256</v>
      </c>
      <c r="W3587">
        <v>5</v>
      </c>
      <c r="X3587" t="s">
        <v>10843</v>
      </c>
      <c r="Y3587">
        <v>0.76655121763862577</v>
      </c>
      <c r="Z3587" t="str">
        <f>HYPERLINK("Melting_Curves/meltCurve_tr_Q5JSK8_Q5JSK8_HUMAN_.pdf", "Melting_Curves/meltCurve_tr_Q5JSK8_Q5JSK8_HUMAN_.pdf")</f>
        <v>Melting_Curves/meltCurve_tr_Q5JSK8_Q5JSK8_HUMAN_.pdf</v>
      </c>
      <c r="AA3587" t="s">
        <v>14390</v>
      </c>
      <c r="AB3587" t="s">
        <v>17986</v>
      </c>
    </row>
    <row r="3588" spans="1:28" x14ac:dyDescent="0.25">
      <c r="A3588" t="s">
        <v>3592</v>
      </c>
      <c r="B3588">
        <v>0.98018197421672304</v>
      </c>
      <c r="C3588">
        <v>0.928298700603573</v>
      </c>
      <c r="D3588">
        <v>0.73157395558550897</v>
      </c>
      <c r="E3588">
        <v>0.53321013366588799</v>
      </c>
      <c r="F3588">
        <v>0.26583118488400698</v>
      </c>
      <c r="G3588">
        <v>0.167117836010655</v>
      </c>
      <c r="H3588">
        <v>0.12005957262509601</v>
      </c>
      <c r="I3588">
        <v>8.8023111510567104E-2</v>
      </c>
      <c r="J3588">
        <v>0.122839042742777</v>
      </c>
      <c r="K3588">
        <v>4.3394382377425503E-2</v>
      </c>
      <c r="L3588">
        <v>756.05485626745099</v>
      </c>
      <c r="M3588">
        <v>15.3343608156112</v>
      </c>
      <c r="N3588">
        <v>49.761613311181101</v>
      </c>
      <c r="O3588">
        <v>48.488929981558201</v>
      </c>
      <c r="P3588">
        <v>-7.3875304402779798E-2</v>
      </c>
      <c r="Q3588">
        <v>6.5679305216959499E-2</v>
      </c>
      <c r="R3588">
        <v>0.99305720775381101</v>
      </c>
      <c r="S3588" t="s">
        <v>7217</v>
      </c>
      <c r="T3588" t="s">
        <v>7256</v>
      </c>
      <c r="U3588" t="s">
        <v>7256</v>
      </c>
      <c r="V3588" t="s">
        <v>7256</v>
      </c>
      <c r="W3588">
        <v>2</v>
      </c>
      <c r="X3588" t="s">
        <v>10844</v>
      </c>
      <c r="Y3588">
        <v>0.37735426361392937</v>
      </c>
      <c r="Z3588" t="str">
        <f>HYPERLINK("Melting_Curves/meltCurve_tr_Q5JUA8_Q5JUA8_HUMAN_.pdf", "Melting_Curves/meltCurve_tr_Q5JUA8_Q5JUA8_HUMAN_.pdf")</f>
        <v>Melting_Curves/meltCurve_tr_Q5JUA8_Q5JUA8_HUMAN_.pdf</v>
      </c>
      <c r="AA3588" t="s">
        <v>14391</v>
      </c>
      <c r="AB3588" t="s">
        <v>17987</v>
      </c>
    </row>
    <row r="3589" spans="1:28" x14ac:dyDescent="0.25">
      <c r="A3589" t="s">
        <v>3593</v>
      </c>
      <c r="B3589">
        <v>0.98018197421672304</v>
      </c>
      <c r="C3589">
        <v>1.0327953848098399</v>
      </c>
      <c r="D3589">
        <v>0.87370053135757797</v>
      </c>
      <c r="E3589">
        <v>0.71772874969390299</v>
      </c>
      <c r="F3589">
        <v>0.50611273464408002</v>
      </c>
      <c r="G3589">
        <v>0.32964644483850802</v>
      </c>
      <c r="H3589">
        <v>0.29130123297259503</v>
      </c>
      <c r="I3589">
        <v>0.35172882466138</v>
      </c>
      <c r="J3589">
        <v>0.44295067692825502</v>
      </c>
      <c r="K3589">
        <v>0.54306031519767195</v>
      </c>
      <c r="L3589">
        <v>1310.4463608420599</v>
      </c>
      <c r="M3589">
        <v>26.265428184910899</v>
      </c>
      <c r="N3589">
        <v>52.942513636581701</v>
      </c>
      <c r="O3589">
        <v>49.6059234535333</v>
      </c>
      <c r="P3589">
        <v>-8.0760698096296907E-2</v>
      </c>
      <c r="Q3589">
        <v>0.38989540159570002</v>
      </c>
      <c r="R3589">
        <v>0.92313538420188701</v>
      </c>
      <c r="S3589" t="s">
        <v>7218</v>
      </c>
      <c r="T3589" t="s">
        <v>7256</v>
      </c>
      <c r="U3589" t="s">
        <v>7256</v>
      </c>
      <c r="V3589" t="s">
        <v>7256</v>
      </c>
      <c r="W3589">
        <v>5</v>
      </c>
      <c r="X3589" t="s">
        <v>10845</v>
      </c>
      <c r="Y3589">
        <v>0.59600658735586654</v>
      </c>
      <c r="Z3589" t="str">
        <f>HYPERLINK("Melting_Curves/meltCurve_tr_Q5JW30_Q5JW30_HUMAN_.pdf", "Melting_Curves/meltCurve_tr_Q5JW30_Q5JW30_HUMAN_.pdf")</f>
        <v>Melting_Curves/meltCurve_tr_Q5JW30_Q5JW30_HUMAN_.pdf</v>
      </c>
      <c r="AA3589" t="s">
        <v>14392</v>
      </c>
      <c r="AB3589" t="s">
        <v>17988</v>
      </c>
    </row>
    <row r="3590" spans="1:28" x14ac:dyDescent="0.25">
      <c r="A3590" t="s">
        <v>3594</v>
      </c>
      <c r="B3590">
        <v>0.98018197421672304</v>
      </c>
      <c r="C3590">
        <v>0.84537158554788405</v>
      </c>
      <c r="D3590">
        <v>0.81578010419702696</v>
      </c>
      <c r="E3590">
        <v>0.687942909266125</v>
      </c>
      <c r="F3590">
        <v>0.63911916209806097</v>
      </c>
      <c r="G3590">
        <v>0.54710663543575799</v>
      </c>
      <c r="H3590">
        <v>0.36065245563006998</v>
      </c>
      <c r="I3590">
        <v>0.35180928977724302</v>
      </c>
      <c r="J3590">
        <v>0.44116308961198297</v>
      </c>
      <c r="K3590">
        <v>0.56405652627441305</v>
      </c>
      <c r="L3590">
        <v>541.87370790506498</v>
      </c>
      <c r="M3590">
        <v>11.0193233222109</v>
      </c>
      <c r="N3590">
        <v>58.115115208896199</v>
      </c>
      <c r="O3590">
        <v>47.638612849080097</v>
      </c>
      <c r="P3590">
        <v>-3.4232930080896298E-2</v>
      </c>
      <c r="Q3590">
        <v>0.40821666579229499</v>
      </c>
      <c r="R3590">
        <v>0.883244254050774</v>
      </c>
      <c r="S3590" t="s">
        <v>7219</v>
      </c>
      <c r="T3590" t="s">
        <v>7256</v>
      </c>
      <c r="U3590" t="s">
        <v>7256</v>
      </c>
      <c r="V3590" t="s">
        <v>7256</v>
      </c>
      <c r="W3590">
        <v>1</v>
      </c>
      <c r="X3590" t="s">
        <v>10846</v>
      </c>
      <c r="Y3590">
        <v>0.61387845732181556</v>
      </c>
      <c r="Z3590" t="str">
        <f>HYPERLINK("Melting_Curves/meltCurve_tr_Q5JXX6_Q5JXX6_HUMAN_.pdf", "Melting_Curves/meltCurve_tr_Q5JXX6_Q5JXX6_HUMAN_.pdf")</f>
        <v>Melting_Curves/meltCurve_tr_Q5JXX6_Q5JXX6_HUMAN_.pdf</v>
      </c>
      <c r="AA3590" t="s">
        <v>14393</v>
      </c>
      <c r="AB3590" t="s">
        <v>17989</v>
      </c>
    </row>
    <row r="3591" spans="1:28" x14ac:dyDescent="0.25">
      <c r="A3591" t="s">
        <v>3595</v>
      </c>
      <c r="B3591">
        <v>0.98018197421672304</v>
      </c>
      <c r="C3591">
        <v>0.94561199191614698</v>
      </c>
      <c r="D3591">
        <v>0.89773416909025405</v>
      </c>
      <c r="E3591">
        <v>0.79354938530055097</v>
      </c>
      <c r="F3591">
        <v>0.67163357485830799</v>
      </c>
      <c r="G3591">
        <v>0.46274421934784499</v>
      </c>
      <c r="H3591">
        <v>0.51610931316081299</v>
      </c>
      <c r="I3591">
        <v>0.53448127043483595</v>
      </c>
      <c r="J3591">
        <v>0.61066552423125298</v>
      </c>
      <c r="K3591">
        <v>0.75363216679324996</v>
      </c>
      <c r="L3591">
        <v>1127.76622631531</v>
      </c>
      <c r="M3591">
        <v>22.872368285738801</v>
      </c>
      <c r="O3591">
        <v>48.934680197426502</v>
      </c>
      <c r="P3591">
        <v>-4.93027657205279E-2</v>
      </c>
      <c r="Q3591">
        <v>0.57808166434124497</v>
      </c>
      <c r="R3591">
        <v>0.80449310519314199</v>
      </c>
      <c r="S3591" t="s">
        <v>7220</v>
      </c>
      <c r="T3591" t="s">
        <v>7256</v>
      </c>
      <c r="U3591" t="s">
        <v>7256</v>
      </c>
      <c r="V3591" t="s">
        <v>7256</v>
      </c>
      <c r="W3591">
        <v>11</v>
      </c>
      <c r="X3591" t="s">
        <v>10847</v>
      </c>
      <c r="Y3591">
        <v>0.71346684332859622</v>
      </c>
      <c r="Z3591" t="str">
        <f>HYPERLINK("Melting_Curves/meltCurve_tr_Q5QNY5_Q5QNY5_HUMAN_.pdf", "Melting_Curves/meltCurve_tr_Q5QNY5_Q5QNY5_HUMAN_.pdf")</f>
        <v>Melting_Curves/meltCurve_tr_Q5QNY5_Q5QNY5_HUMAN_.pdf</v>
      </c>
      <c r="AA3591" t="s">
        <v>14394</v>
      </c>
      <c r="AB3591" t="s">
        <v>17990</v>
      </c>
    </row>
    <row r="3592" spans="1:28" x14ac:dyDescent="0.25">
      <c r="A3592" t="s">
        <v>3596</v>
      </c>
      <c r="B3592">
        <v>0.98018197421672304</v>
      </c>
      <c r="C3592">
        <v>0.91545167541182904</v>
      </c>
      <c r="D3592">
        <v>0.88107310627168101</v>
      </c>
      <c r="E3592">
        <v>0.74042896130429203</v>
      </c>
      <c r="F3592">
        <v>0.61429962872411303</v>
      </c>
      <c r="G3592">
        <v>0.49676023781779899</v>
      </c>
      <c r="H3592">
        <v>0.39064799678853401</v>
      </c>
      <c r="I3592">
        <v>0.34660752967423802</v>
      </c>
      <c r="J3592">
        <v>0.43213038471773202</v>
      </c>
      <c r="K3592">
        <v>0.389334118381362</v>
      </c>
      <c r="L3592">
        <v>663.26840290466805</v>
      </c>
      <c r="M3592">
        <v>12.950967577917</v>
      </c>
      <c r="N3592">
        <v>56.550491676739803</v>
      </c>
      <c r="O3592">
        <v>50.0388595500376</v>
      </c>
      <c r="P3592">
        <v>-4.1890312890110998E-2</v>
      </c>
      <c r="Q3592">
        <v>0.35270671380883301</v>
      </c>
      <c r="R3592">
        <v>0.98452912027928297</v>
      </c>
      <c r="S3592" t="s">
        <v>7221</v>
      </c>
      <c r="T3592" t="s">
        <v>7256</v>
      </c>
      <c r="U3592" t="s">
        <v>7256</v>
      </c>
      <c r="V3592" t="s">
        <v>7256</v>
      </c>
      <c r="W3592">
        <v>2</v>
      </c>
      <c r="X3592" t="s">
        <v>10848</v>
      </c>
      <c r="Y3592">
        <v>0.61332810483014133</v>
      </c>
      <c r="Z3592" t="str">
        <f>HYPERLINK("Melting_Curves/meltCurve_tr_Q5QPM0_Q5QPM0_HUMAN_.pdf", "Melting_Curves/meltCurve_tr_Q5QPM0_Q5QPM0_HUMAN_.pdf")</f>
        <v>Melting_Curves/meltCurve_tr_Q5QPM0_Q5QPM0_HUMAN_.pdf</v>
      </c>
      <c r="AA3592" t="s">
        <v>14395</v>
      </c>
      <c r="AB3592" t="s">
        <v>17991</v>
      </c>
    </row>
    <row r="3593" spans="1:28" x14ac:dyDescent="0.25">
      <c r="A3593" t="s">
        <v>3597</v>
      </c>
      <c r="B3593">
        <v>0.98018197421672304</v>
      </c>
      <c r="C3593">
        <v>0.98449921152412401</v>
      </c>
      <c r="D3593">
        <v>0.90553894793219503</v>
      </c>
      <c r="E3593">
        <v>0.75616477689908002</v>
      </c>
      <c r="F3593">
        <v>0.51074422092517302</v>
      </c>
      <c r="G3593">
        <v>0.288551178591755</v>
      </c>
      <c r="H3593">
        <v>0.26853190021714901</v>
      </c>
      <c r="I3593">
        <v>0.12422523101329699</v>
      </c>
      <c r="J3593">
        <v>0.191913345195352</v>
      </c>
      <c r="K3593">
        <v>0.14901890759139999</v>
      </c>
      <c r="L3593">
        <v>911.92191498228397</v>
      </c>
      <c r="M3593">
        <v>17.453392681091799</v>
      </c>
      <c r="N3593">
        <v>53.314083871502703</v>
      </c>
      <c r="O3593">
        <v>51.577538332480103</v>
      </c>
      <c r="P3593">
        <v>-7.2149646289754996E-2</v>
      </c>
      <c r="Q3593">
        <v>0.14719300915647701</v>
      </c>
      <c r="R3593">
        <v>0.99221121348566399</v>
      </c>
      <c r="S3593" t="s">
        <v>7222</v>
      </c>
      <c r="T3593" t="s">
        <v>7256</v>
      </c>
      <c r="U3593" t="s">
        <v>7256</v>
      </c>
      <c r="V3593" t="s">
        <v>7256</v>
      </c>
      <c r="W3593">
        <v>3</v>
      </c>
      <c r="X3593" t="s">
        <v>10849</v>
      </c>
      <c r="Y3593">
        <v>0.51028003868400673</v>
      </c>
      <c r="Z3593" t="str">
        <f>HYPERLINK("Melting_Curves/meltCurve_tr_Q5QPM7_Q5QPM7_HUMAN_.pdf", "Melting_Curves/meltCurve_tr_Q5QPM7_Q5QPM7_HUMAN_.pdf")</f>
        <v>Melting_Curves/meltCurve_tr_Q5QPM7_Q5QPM7_HUMAN_.pdf</v>
      </c>
      <c r="AA3593" t="s">
        <v>14396</v>
      </c>
      <c r="AB3593" t="s">
        <v>17992</v>
      </c>
    </row>
    <row r="3594" spans="1:28" x14ac:dyDescent="0.25">
      <c r="A3594" t="s">
        <v>3598</v>
      </c>
      <c r="B3594">
        <v>0.98018197421672304</v>
      </c>
      <c r="C3594">
        <v>0.88906572293172004</v>
      </c>
      <c r="D3594">
        <v>0.94112897804066797</v>
      </c>
      <c r="E3594">
        <v>0.928367562314248</v>
      </c>
      <c r="F3594">
        <v>0.67644513386143301</v>
      </c>
      <c r="G3594">
        <v>0.64313703437408898</v>
      </c>
      <c r="H3594">
        <v>0.28736375353311799</v>
      </c>
      <c r="I3594">
        <v>0.113427631610216</v>
      </c>
      <c r="J3594">
        <v>6.3522697565369698E-2</v>
      </c>
      <c r="K3594">
        <v>2.7950891746325101E-2</v>
      </c>
      <c r="L3594">
        <v>891.51528617309498</v>
      </c>
      <c r="M3594">
        <v>15.536783469341</v>
      </c>
      <c r="N3594">
        <v>57.380943096043801</v>
      </c>
      <c r="O3594">
        <v>56.455559097550399</v>
      </c>
      <c r="P3594">
        <v>-6.8807001664867307E-2</v>
      </c>
      <c r="Q3594">
        <v>0</v>
      </c>
      <c r="R3594">
        <v>0.96880064708027303</v>
      </c>
      <c r="S3594" t="s">
        <v>7223</v>
      </c>
      <c r="T3594" t="s">
        <v>7256</v>
      </c>
      <c r="U3594" t="s">
        <v>7256</v>
      </c>
      <c r="V3594" t="s">
        <v>7256</v>
      </c>
      <c r="W3594">
        <v>1</v>
      </c>
      <c r="X3594" t="s">
        <v>10850</v>
      </c>
      <c r="Y3594">
        <v>0.59408142865963187</v>
      </c>
      <c r="Z3594" t="str">
        <f>HYPERLINK("Melting_Curves/meltCurve_tr_Q5SSZ3_Q5SSZ3_HUMAN_.pdf", "Melting_Curves/meltCurve_tr_Q5SSZ3_Q5SSZ3_HUMAN_.pdf")</f>
        <v>Melting_Curves/meltCurve_tr_Q5SSZ3_Q5SSZ3_HUMAN_.pdf</v>
      </c>
      <c r="AA3594" t="s">
        <v>14397</v>
      </c>
      <c r="AB3594" t="s">
        <v>17993</v>
      </c>
    </row>
    <row r="3595" spans="1:28" x14ac:dyDescent="0.25">
      <c r="A3595" t="s">
        <v>3599</v>
      </c>
      <c r="B3595">
        <v>0.98018197421672304</v>
      </c>
      <c r="C3595">
        <v>0.94176059399729695</v>
      </c>
      <c r="D3595">
        <v>0.86795253559832597</v>
      </c>
      <c r="E3595">
        <v>0.75723557853213497</v>
      </c>
      <c r="F3595">
        <v>0.80445442110965204</v>
      </c>
      <c r="G3595">
        <v>0.69057004463150595</v>
      </c>
      <c r="H3595">
        <v>0.54921715129744597</v>
      </c>
      <c r="I3595">
        <v>0.53143479642421998</v>
      </c>
      <c r="J3595">
        <v>0.73973470025153598</v>
      </c>
      <c r="K3595">
        <v>0.77204361441989799</v>
      </c>
      <c r="L3595">
        <v>675.93844834608103</v>
      </c>
      <c r="M3595">
        <v>14.096730960840601</v>
      </c>
      <c r="O3595">
        <v>47.015980762151202</v>
      </c>
      <c r="P3595">
        <v>-2.6002285507223399E-2</v>
      </c>
      <c r="Q3595">
        <v>0.65314905445566995</v>
      </c>
      <c r="R3595">
        <v>0.70449318157482299</v>
      </c>
      <c r="S3595" t="s">
        <v>7224</v>
      </c>
      <c r="T3595" t="s">
        <v>7256</v>
      </c>
      <c r="U3595" t="s">
        <v>7256</v>
      </c>
      <c r="V3595" t="s">
        <v>7256</v>
      </c>
      <c r="W3595">
        <v>2</v>
      </c>
      <c r="X3595" t="s">
        <v>10851</v>
      </c>
      <c r="Y3595">
        <v>0.75516862449742184</v>
      </c>
      <c r="Z3595" t="str">
        <f>HYPERLINK("Melting_Curves/meltCurve_tr_Q5T123_Q5T123_HUMAN_.pdf", "Melting_Curves/meltCurve_tr_Q5T123_Q5T123_HUMAN_.pdf")</f>
        <v>Melting_Curves/meltCurve_tr_Q5T123_Q5T123_HUMAN_.pdf</v>
      </c>
      <c r="AA3595" t="s">
        <v>14398</v>
      </c>
      <c r="AB3595" t="s">
        <v>17994</v>
      </c>
    </row>
    <row r="3596" spans="1:28" x14ac:dyDescent="0.25">
      <c r="A3596" t="s">
        <v>3600</v>
      </c>
      <c r="B3596">
        <v>0.98018197421672304</v>
      </c>
      <c r="C3596">
        <v>0.98823648919632701</v>
      </c>
      <c r="D3596">
        <v>0.91591790350737801</v>
      </c>
      <c r="E3596">
        <v>0.69728228450549501</v>
      </c>
      <c r="F3596">
        <v>0.51211803691582303</v>
      </c>
      <c r="G3596">
        <v>0.26278800868029401</v>
      </c>
      <c r="H3596">
        <v>0.23715140013470301</v>
      </c>
      <c r="I3596">
        <v>0.235786312341351</v>
      </c>
      <c r="J3596">
        <v>0.22524319613236601</v>
      </c>
      <c r="K3596">
        <v>0.23372492004113199</v>
      </c>
      <c r="L3596">
        <v>1041.61733700985</v>
      </c>
      <c r="M3596">
        <v>20.3252317926191</v>
      </c>
      <c r="N3596">
        <v>52.703849259103102</v>
      </c>
      <c r="O3596">
        <v>50.759153702929503</v>
      </c>
      <c r="P3596">
        <v>-7.8599392273912702E-2</v>
      </c>
      <c r="Q3596">
        <v>0.21486414655974501</v>
      </c>
      <c r="R3596">
        <v>0.99639975839122197</v>
      </c>
      <c r="S3596" t="s">
        <v>7225</v>
      </c>
      <c r="T3596" t="s">
        <v>7256</v>
      </c>
      <c r="U3596" t="s">
        <v>7256</v>
      </c>
      <c r="V3596" t="s">
        <v>7256</v>
      </c>
      <c r="W3596">
        <v>4</v>
      </c>
      <c r="X3596" t="s">
        <v>10852</v>
      </c>
      <c r="Y3596">
        <v>0.51979529830201543</v>
      </c>
      <c r="Z3596" t="str">
        <f>HYPERLINK("Melting_Curves/meltCurve_tr_Q5T760_Q5T760_HUMAN_.pdf", "Melting_Curves/meltCurve_tr_Q5T760_Q5T760_HUMAN_.pdf")</f>
        <v>Melting_Curves/meltCurve_tr_Q5T760_Q5T760_HUMAN_.pdf</v>
      </c>
      <c r="AA3596" t="s">
        <v>14399</v>
      </c>
      <c r="AB3596" t="s">
        <v>17995</v>
      </c>
    </row>
    <row r="3597" spans="1:28" x14ac:dyDescent="0.25">
      <c r="A3597" t="s">
        <v>3601</v>
      </c>
      <c r="B3597">
        <v>0.98018197421672304</v>
      </c>
      <c r="C3597">
        <v>0.93226512108028203</v>
      </c>
      <c r="D3597">
        <v>0.90058373239351996</v>
      </c>
      <c r="E3597">
        <v>0.705650389797424</v>
      </c>
      <c r="F3597">
        <v>0.52021103707736105</v>
      </c>
      <c r="G3597">
        <v>0.32053859778921201</v>
      </c>
      <c r="H3597">
        <v>0.19210656199441001</v>
      </c>
      <c r="I3597">
        <v>8.4559412689893504E-2</v>
      </c>
      <c r="J3597">
        <v>0.11343420606762999</v>
      </c>
      <c r="K3597">
        <v>4.5774484115125399E-2</v>
      </c>
      <c r="L3597">
        <v>669.49119656842504</v>
      </c>
      <c r="M3597">
        <v>12.5372180591266</v>
      </c>
      <c r="N3597">
        <v>53.471198321025398</v>
      </c>
      <c r="O3597">
        <v>52.096317232305502</v>
      </c>
      <c r="P3597">
        <v>-5.9679879116406202E-2</v>
      </c>
      <c r="Q3597">
        <v>8.2426190166612606E-3</v>
      </c>
      <c r="R3597">
        <v>0.99727812132563698</v>
      </c>
      <c r="S3597" t="s">
        <v>7226</v>
      </c>
      <c r="T3597" t="s">
        <v>7256</v>
      </c>
      <c r="U3597" t="s">
        <v>7256</v>
      </c>
      <c r="V3597" t="s">
        <v>7256</v>
      </c>
      <c r="W3597">
        <v>14</v>
      </c>
      <c r="X3597" t="s">
        <v>10853</v>
      </c>
      <c r="Y3597">
        <v>0.47731803587192428</v>
      </c>
      <c r="Z3597" t="str">
        <f>HYPERLINK("Melting_Curves/meltCurve_tr_Q5T985_Q5T985_HUMAN_.pdf", "Melting_Curves/meltCurve_tr_Q5T985_Q5T985_HUMAN_.pdf")</f>
        <v>Melting_Curves/meltCurve_tr_Q5T985_Q5T985_HUMAN_.pdf</v>
      </c>
      <c r="AA3597" t="s">
        <v>14400</v>
      </c>
      <c r="AB3597" t="s">
        <v>17996</v>
      </c>
    </row>
    <row r="3598" spans="1:28" x14ac:dyDescent="0.25">
      <c r="A3598" t="s">
        <v>3602</v>
      </c>
      <c r="B3598">
        <v>0.98018197421672304</v>
      </c>
      <c r="C3598">
        <v>0.91783261891435497</v>
      </c>
      <c r="D3598">
        <v>0.76859455259315601</v>
      </c>
      <c r="E3598">
        <v>0.71716923753878703</v>
      </c>
      <c r="F3598">
        <v>0.53607526531322203</v>
      </c>
      <c r="G3598">
        <v>0.403522676619332</v>
      </c>
      <c r="H3598">
        <v>0.18190518154316199</v>
      </c>
      <c r="I3598">
        <v>0.10874317199074</v>
      </c>
      <c r="J3598">
        <v>0.10939876411883399</v>
      </c>
      <c r="K3598">
        <v>5.4945800553422401E-2</v>
      </c>
      <c r="L3598">
        <v>562.92039819469699</v>
      </c>
      <c r="M3598">
        <v>10.5136936842341</v>
      </c>
      <c r="N3598">
        <v>53.541638917650999</v>
      </c>
      <c r="O3598">
        <v>51.713447076426299</v>
      </c>
      <c r="P3598">
        <v>-5.0847106312553798E-2</v>
      </c>
      <c r="Q3598">
        <v>0</v>
      </c>
      <c r="R3598">
        <v>0.98659255570065096</v>
      </c>
      <c r="S3598" t="s">
        <v>7227</v>
      </c>
      <c r="T3598" t="s">
        <v>7256</v>
      </c>
      <c r="U3598" t="s">
        <v>7256</v>
      </c>
      <c r="V3598" t="s">
        <v>7256</v>
      </c>
      <c r="W3598">
        <v>19</v>
      </c>
      <c r="X3598" t="s">
        <v>10854</v>
      </c>
      <c r="Y3598">
        <v>0.48218311327185831</v>
      </c>
      <c r="Z3598" t="str">
        <f>HYPERLINK("Melting_Curves/meltCurve_tr_Q5TA02_Q5TA02_HUMAN_.pdf", "Melting_Curves/meltCurve_tr_Q5TA02_Q5TA02_HUMAN_.pdf")</f>
        <v>Melting_Curves/meltCurve_tr_Q5TA02_Q5TA02_HUMAN_.pdf</v>
      </c>
      <c r="AA3598" t="s">
        <v>12145</v>
      </c>
      <c r="AB3598" t="s">
        <v>17997</v>
      </c>
    </row>
    <row r="3599" spans="1:28" x14ac:dyDescent="0.25">
      <c r="A3599" t="s">
        <v>3603</v>
      </c>
      <c r="B3599">
        <v>0.98018197421672304</v>
      </c>
      <c r="C3599">
        <v>0.91869345671105296</v>
      </c>
      <c r="D3599">
        <v>0.83986002690431105</v>
      </c>
      <c r="E3599">
        <v>0.75085516930183205</v>
      </c>
      <c r="F3599">
        <v>0.58267803038546895</v>
      </c>
      <c r="G3599">
        <v>0.467320355566757</v>
      </c>
      <c r="H3599">
        <v>0.37130925240370499</v>
      </c>
      <c r="I3599">
        <v>0.33236096087229999</v>
      </c>
      <c r="J3599">
        <v>0.400765630976257</v>
      </c>
      <c r="K3599">
        <v>0.22876108428876399</v>
      </c>
      <c r="L3599">
        <v>530.48149914671296</v>
      </c>
      <c r="M3599">
        <v>10.081387451589899</v>
      </c>
      <c r="N3599">
        <v>56.085951894133203</v>
      </c>
      <c r="O3599">
        <v>50.675300602496101</v>
      </c>
      <c r="P3599">
        <v>-3.8222723164975103E-2</v>
      </c>
      <c r="Q3599">
        <v>0.23183808741428899</v>
      </c>
      <c r="R3599">
        <v>0.97792387972656902</v>
      </c>
      <c r="S3599" t="s">
        <v>7228</v>
      </c>
      <c r="T3599" t="s">
        <v>7256</v>
      </c>
      <c r="U3599" t="s">
        <v>7256</v>
      </c>
      <c r="V3599" t="s">
        <v>7256</v>
      </c>
      <c r="W3599">
        <v>12</v>
      </c>
      <c r="X3599" t="s">
        <v>10855</v>
      </c>
      <c r="Y3599">
        <v>0.58215197830468912</v>
      </c>
      <c r="Z3599" t="str">
        <f>HYPERLINK("Melting_Curves/meltCurve_tr_Q5TA58_Q5TA58_HUMAN_.pdf", "Melting_Curves/meltCurve_tr_Q5TA58_Q5TA58_HUMAN_.pdf")</f>
        <v>Melting_Curves/meltCurve_tr_Q5TA58_Q5TA58_HUMAN_.pdf</v>
      </c>
      <c r="AA3599" t="s">
        <v>14401</v>
      </c>
      <c r="AB3599" t="s">
        <v>17998</v>
      </c>
    </row>
    <row r="3600" spans="1:28" x14ac:dyDescent="0.25">
      <c r="A3600" t="s">
        <v>3604</v>
      </c>
      <c r="B3600">
        <v>0.98018197421672304</v>
      </c>
      <c r="C3600">
        <v>0.86142343294205903</v>
      </c>
      <c r="D3600">
        <v>0.87984265667689798</v>
      </c>
      <c r="E3600">
        <v>0.70487290777188205</v>
      </c>
      <c r="F3600">
        <v>0.531435948438154</v>
      </c>
      <c r="G3600">
        <v>0.27356869114625898</v>
      </c>
      <c r="H3600">
        <v>0.22087802432272499</v>
      </c>
      <c r="I3600">
        <v>0.19823878545432699</v>
      </c>
      <c r="J3600">
        <v>0.26266140396527499</v>
      </c>
      <c r="K3600">
        <v>0.18663514951229099</v>
      </c>
      <c r="L3600">
        <v>759.619598155576</v>
      </c>
      <c r="M3600">
        <v>14.7546884198757</v>
      </c>
      <c r="N3600">
        <v>52.994552859774203</v>
      </c>
      <c r="O3600">
        <v>50.565307052571903</v>
      </c>
      <c r="P3600">
        <v>-6.0427749934332399E-2</v>
      </c>
      <c r="Q3600">
        <v>0.17172945108777199</v>
      </c>
      <c r="R3600">
        <v>0.97828314524427595</v>
      </c>
      <c r="S3600" t="s">
        <v>7229</v>
      </c>
      <c r="T3600" t="s">
        <v>7256</v>
      </c>
      <c r="U3600" t="s">
        <v>7256</v>
      </c>
      <c r="V3600" t="s">
        <v>7256</v>
      </c>
      <c r="W3600">
        <v>2</v>
      </c>
      <c r="X3600" t="s">
        <v>10856</v>
      </c>
      <c r="Y3600">
        <v>0.50811323976409661</v>
      </c>
      <c r="Z3600" t="str">
        <f>HYPERLINK("Melting_Curves/meltCurve_tr_Q5TAQ0_Q5TAQ0_HUMAN_.pdf", "Melting_Curves/meltCurve_tr_Q5TAQ0_Q5TAQ0_HUMAN_.pdf")</f>
        <v>Melting_Curves/meltCurve_tr_Q5TAQ0_Q5TAQ0_HUMAN_.pdf</v>
      </c>
      <c r="AA3600" t="s">
        <v>14402</v>
      </c>
      <c r="AB3600" t="s">
        <v>17999</v>
      </c>
    </row>
    <row r="3601" spans="1:28" x14ac:dyDescent="0.25">
      <c r="A3601" t="s">
        <v>3605</v>
      </c>
      <c r="B3601">
        <v>0.98018197421672304</v>
      </c>
      <c r="C3601">
        <v>0.55590369963327002</v>
      </c>
      <c r="D3601">
        <v>0.73822750746381105</v>
      </c>
      <c r="E3601">
        <v>0.81245301080185806</v>
      </c>
      <c r="F3601">
        <v>0.43486007241212599</v>
      </c>
      <c r="G3601">
        <v>0.11447008007369699</v>
      </c>
      <c r="H3601">
        <v>2.76193550678594E-2</v>
      </c>
      <c r="I3601">
        <v>2.2825196499645699E-2</v>
      </c>
      <c r="J3601">
        <v>1.7775804141708099E-2</v>
      </c>
      <c r="K3601">
        <v>1.4941047531372599E-2</v>
      </c>
      <c r="L3601">
        <v>593.60100773791805</v>
      </c>
      <c r="M3601">
        <v>11.6569106987616</v>
      </c>
      <c r="N3601">
        <v>50.922647588870703</v>
      </c>
      <c r="O3601">
        <v>49.4932956636301</v>
      </c>
      <c r="P3601">
        <v>-5.8897156403915102E-2</v>
      </c>
      <c r="Q3601">
        <v>0</v>
      </c>
      <c r="R3601">
        <v>0.83298483937993795</v>
      </c>
      <c r="S3601" t="s">
        <v>7230</v>
      </c>
      <c r="T3601" t="s">
        <v>7256</v>
      </c>
      <c r="U3601" t="s">
        <v>7256</v>
      </c>
      <c r="V3601" t="s">
        <v>7256</v>
      </c>
      <c r="W3601">
        <v>1</v>
      </c>
      <c r="X3601" t="s">
        <v>10857</v>
      </c>
      <c r="Y3601">
        <v>0.39824125369062813</v>
      </c>
      <c r="Z3601" t="str">
        <f>HYPERLINK("Melting_Curves/meltCurve_tr_Q5TBP5_Q5TBP5_HUMAN_.pdf", "Melting_Curves/meltCurve_tr_Q5TBP5_Q5TBP5_HUMAN_.pdf")</f>
        <v>Melting_Curves/meltCurve_tr_Q5TBP5_Q5TBP5_HUMAN_.pdf</v>
      </c>
      <c r="AA3601" t="s">
        <v>14403</v>
      </c>
      <c r="AB3601" t="s">
        <v>18000</v>
      </c>
    </row>
    <row r="3602" spans="1:28" x14ac:dyDescent="0.25">
      <c r="A3602" t="s">
        <v>3606</v>
      </c>
      <c r="B3602">
        <v>0.98018197421672304</v>
      </c>
      <c r="C3602">
        <v>0.77923878553625003</v>
      </c>
      <c r="D3602">
        <v>0.96567480177167897</v>
      </c>
      <c r="E3602">
        <v>0.81557883980248003</v>
      </c>
      <c r="F3602">
        <v>0.91642504521924195</v>
      </c>
      <c r="G3602">
        <v>0.69137603257712499</v>
      </c>
      <c r="H3602">
        <v>0.70545043076344705</v>
      </c>
      <c r="I3602">
        <v>0.83160107535776395</v>
      </c>
      <c r="J3602">
        <v>1.08381407627876</v>
      </c>
      <c r="K3602">
        <v>0.689952333379657</v>
      </c>
      <c r="L3602">
        <v>491.45571408835798</v>
      </c>
      <c r="M3602">
        <v>11.7235788705151</v>
      </c>
      <c r="O3602">
        <v>40.756323902729598</v>
      </c>
      <c r="P3602">
        <v>-1.33065319631559E-2</v>
      </c>
      <c r="Q3602">
        <v>0.81501133316665098</v>
      </c>
      <c r="R3602">
        <v>9.3016811592515097E-2</v>
      </c>
      <c r="S3602" t="s">
        <v>7231</v>
      </c>
      <c r="T3602" t="s">
        <v>7256</v>
      </c>
      <c r="U3602" t="s">
        <v>7256</v>
      </c>
      <c r="V3602" t="s">
        <v>7256</v>
      </c>
      <c r="W3602">
        <v>3</v>
      </c>
      <c r="X3602" t="s">
        <v>10858</v>
      </c>
      <c r="Y3602">
        <v>0.84076003394422705</v>
      </c>
      <c r="Z3602" t="str">
        <f>HYPERLINK("Melting_Curves/meltCurve_tr_Q5TBU2_Q5TBU2_HUMAN_.pdf", "Melting_Curves/meltCurve_tr_Q5TBU2_Q5TBU2_HUMAN_.pdf")</f>
        <v>Melting_Curves/meltCurve_tr_Q5TBU2_Q5TBU2_HUMAN_.pdf</v>
      </c>
      <c r="AA3602" t="s">
        <v>12483</v>
      </c>
      <c r="AB3602" t="s">
        <v>18001</v>
      </c>
    </row>
    <row r="3603" spans="1:28" x14ac:dyDescent="0.25">
      <c r="A3603" t="s">
        <v>3607</v>
      </c>
      <c r="B3603">
        <v>0.98018197421672304</v>
      </c>
      <c r="C3603">
        <v>0.94347182288685605</v>
      </c>
      <c r="D3603">
        <v>0.92239174445779903</v>
      </c>
      <c r="E3603">
        <v>0.66200148394856095</v>
      </c>
      <c r="F3603">
        <v>0.48482028325090998</v>
      </c>
      <c r="G3603">
        <v>0.25627369250586002</v>
      </c>
      <c r="H3603">
        <v>5.1825711853876098E-2</v>
      </c>
      <c r="I3603">
        <v>0</v>
      </c>
      <c r="J3603">
        <v>0</v>
      </c>
      <c r="K3603">
        <v>0</v>
      </c>
      <c r="L3603">
        <v>868.59405044830703</v>
      </c>
      <c r="M3603">
        <v>16.547508495282599</v>
      </c>
      <c r="N3603">
        <v>52.490930052653198</v>
      </c>
      <c r="O3603">
        <v>51.742292863514699</v>
      </c>
      <c r="P3603">
        <v>-7.9957056418193506E-2</v>
      </c>
      <c r="Q3603">
        <v>0</v>
      </c>
      <c r="R3603">
        <v>0.99385775824848899</v>
      </c>
      <c r="S3603" t="s">
        <v>7232</v>
      </c>
      <c r="T3603" t="s">
        <v>7256</v>
      </c>
      <c r="U3603" t="s">
        <v>7256</v>
      </c>
      <c r="V3603" t="s">
        <v>7256</v>
      </c>
      <c r="W3603">
        <v>3</v>
      </c>
      <c r="X3603" t="s">
        <v>10859</v>
      </c>
      <c r="Y3603">
        <v>0.43528624861167431</v>
      </c>
      <c r="Z3603" t="str">
        <f>HYPERLINK("Melting_Curves/meltCurve_tr_Q5TCZ7_Q5TCZ7_HUMAN_.pdf", "Melting_Curves/meltCurve_tr_Q5TCZ7_Q5TCZ7_HUMAN_.pdf")</f>
        <v>Melting_Curves/meltCurve_tr_Q5TCZ7_Q5TCZ7_HUMAN_.pdf</v>
      </c>
      <c r="AA3603" t="s">
        <v>14404</v>
      </c>
      <c r="AB3603" t="s">
        <v>18002</v>
      </c>
    </row>
    <row r="3604" spans="1:28" x14ac:dyDescent="0.25">
      <c r="A3604" t="s">
        <v>3608</v>
      </c>
      <c r="B3604">
        <v>0.98018197421672304</v>
      </c>
      <c r="C3604">
        <v>0.89621058687472999</v>
      </c>
      <c r="D3604">
        <v>0.89352613879040899</v>
      </c>
      <c r="E3604">
        <v>0.53821465829918702</v>
      </c>
      <c r="F3604">
        <v>0.25576717475789901</v>
      </c>
      <c r="G3604">
        <v>0.18885728740948499</v>
      </c>
      <c r="H3604">
        <v>0.105566555924542</v>
      </c>
      <c r="I3604">
        <v>7.1269094917709094E-2</v>
      </c>
      <c r="J3604">
        <v>7.6327745920343804E-2</v>
      </c>
      <c r="K3604">
        <v>3.93565309635725E-2</v>
      </c>
      <c r="L3604">
        <v>971.42530755490895</v>
      </c>
      <c r="M3604">
        <v>19.4299926027109</v>
      </c>
      <c r="N3604">
        <v>50.354452492098403</v>
      </c>
      <c r="O3604">
        <v>49.475634059721699</v>
      </c>
      <c r="P3604">
        <v>-9.1844709989758994E-2</v>
      </c>
      <c r="Q3604">
        <v>6.4557985041557506E-2</v>
      </c>
      <c r="R3604">
        <v>0.99158507278070596</v>
      </c>
      <c r="S3604" t="s">
        <v>7233</v>
      </c>
      <c r="T3604" t="s">
        <v>7256</v>
      </c>
      <c r="U3604" t="s">
        <v>7256</v>
      </c>
      <c r="V3604" t="s">
        <v>7256</v>
      </c>
      <c r="W3604">
        <v>1</v>
      </c>
      <c r="X3604" t="s">
        <v>10860</v>
      </c>
      <c r="Y3604">
        <v>0.39002878115992923</v>
      </c>
      <c r="Z3604" t="str">
        <f>HYPERLINK("Melting_Curves/meltCurve_tr_Q5VTU3_Q5VTU3_HUMAN_.pdf", "Melting_Curves/meltCurve_tr_Q5VTU3_Q5VTU3_HUMAN_.pdf")</f>
        <v>Melting_Curves/meltCurve_tr_Q5VTU3_Q5VTU3_HUMAN_.pdf</v>
      </c>
      <c r="AA3604" t="s">
        <v>14405</v>
      </c>
      <c r="AB3604" t="s">
        <v>18003</v>
      </c>
    </row>
    <row r="3605" spans="1:28" x14ac:dyDescent="0.25">
      <c r="A3605" t="s">
        <v>3609</v>
      </c>
      <c r="B3605">
        <v>0.98018197421672304</v>
      </c>
      <c r="C3605">
        <v>0.74665805041675304</v>
      </c>
      <c r="D3605">
        <v>0.83286942835759803</v>
      </c>
      <c r="E3605">
        <v>0.88570911193609103</v>
      </c>
      <c r="F3605">
        <v>0.86264957215480398</v>
      </c>
      <c r="G3605">
        <v>0.81289249488904802</v>
      </c>
      <c r="H3605">
        <v>0.82746182640869703</v>
      </c>
      <c r="I3605">
        <v>0.69142547992901804</v>
      </c>
      <c r="J3605">
        <v>0.33017404948170898</v>
      </c>
      <c r="K3605">
        <v>8.4703014092623402E-2</v>
      </c>
      <c r="L3605">
        <v>1677.9411918245601</v>
      </c>
      <c r="M3605">
        <v>25.7270157924128</v>
      </c>
      <c r="N3605">
        <v>65.220979250364906</v>
      </c>
      <c r="O3605">
        <v>64.830748454098995</v>
      </c>
      <c r="P3605">
        <v>-9.9209576723111301E-2</v>
      </c>
      <c r="Q3605">
        <v>0</v>
      </c>
      <c r="R3605">
        <v>0.77245237408141298</v>
      </c>
      <c r="S3605" t="s">
        <v>7234</v>
      </c>
      <c r="T3605" t="s">
        <v>7256</v>
      </c>
      <c r="U3605" t="s">
        <v>7256</v>
      </c>
      <c r="V3605" t="s">
        <v>7256</v>
      </c>
      <c r="W3605">
        <v>1</v>
      </c>
      <c r="X3605" t="s">
        <v>10861</v>
      </c>
      <c r="Y3605">
        <v>0.83468338669665987</v>
      </c>
      <c r="Z3605" t="str">
        <f>HYPERLINK("Melting_Curves/meltCurve_tr_Q5VTW1_Q5VTW1_HUMAN_.pdf", "Melting_Curves/meltCurve_tr_Q5VTW1_Q5VTW1_HUMAN_.pdf")</f>
        <v>Melting_Curves/meltCurve_tr_Q5VTW1_Q5VTW1_HUMAN_.pdf</v>
      </c>
      <c r="AA3605" t="s">
        <v>14406</v>
      </c>
      <c r="AB3605" t="s">
        <v>18004</v>
      </c>
    </row>
    <row r="3606" spans="1:28" x14ac:dyDescent="0.25">
      <c r="A3606" t="s">
        <v>3610</v>
      </c>
      <c r="B3606">
        <v>0.98018197421672304</v>
      </c>
      <c r="C3606">
        <v>1.02724305436358</v>
      </c>
      <c r="D3606">
        <v>0.89717598261115294</v>
      </c>
      <c r="E3606">
        <v>0.70248487620970002</v>
      </c>
      <c r="F3606">
        <v>0.55003205862171101</v>
      </c>
      <c r="G3606">
        <v>0.40783040052185698</v>
      </c>
      <c r="H3606">
        <v>0.24971682525703101</v>
      </c>
      <c r="I3606">
        <v>0.18818764538463101</v>
      </c>
      <c r="J3606">
        <v>0.103936381287333</v>
      </c>
      <c r="K3606">
        <v>8.7518627728224205E-2</v>
      </c>
      <c r="L3606">
        <v>620.28131374061195</v>
      </c>
      <c r="M3606">
        <v>11.443700902869301</v>
      </c>
      <c r="N3606">
        <v>54.463857947649302</v>
      </c>
      <c r="O3606">
        <v>52.626911826971899</v>
      </c>
      <c r="P3606">
        <v>-5.2927247721473399E-2</v>
      </c>
      <c r="Q3606">
        <v>2.6681649389476501E-2</v>
      </c>
      <c r="R3606">
        <v>0.99287169853324797</v>
      </c>
      <c r="S3606" t="s">
        <v>7235</v>
      </c>
      <c r="T3606" t="s">
        <v>7256</v>
      </c>
      <c r="U3606" t="s">
        <v>7256</v>
      </c>
      <c r="V3606" t="s">
        <v>7256</v>
      </c>
      <c r="W3606">
        <v>3</v>
      </c>
      <c r="X3606" t="s">
        <v>10862</v>
      </c>
      <c r="Y3606">
        <v>0.51342087423188254</v>
      </c>
      <c r="Z3606" t="str">
        <f>HYPERLINK("Melting_Curves/meltCurve_tr_Q5VU10_Q5VU10_HUMAN_.pdf", "Melting_Curves/meltCurve_tr_Q5VU10_Q5VU10_HUMAN_.pdf")</f>
        <v>Melting_Curves/meltCurve_tr_Q5VU10_Q5VU10_HUMAN_.pdf</v>
      </c>
      <c r="AA3606" t="s">
        <v>14407</v>
      </c>
      <c r="AB3606" t="s">
        <v>18005</v>
      </c>
    </row>
    <row r="3607" spans="1:28" x14ac:dyDescent="0.25">
      <c r="A3607" t="s">
        <v>3611</v>
      </c>
      <c r="B3607">
        <v>0.98018197421672304</v>
      </c>
      <c r="C3607">
        <v>0.98369634876247103</v>
      </c>
      <c r="D3607">
        <v>0.97589585532100998</v>
      </c>
      <c r="E3607">
        <v>1.02843491167609</v>
      </c>
      <c r="F3607">
        <v>0.88052143035570296</v>
      </c>
      <c r="G3607">
        <v>0.74283531757693899</v>
      </c>
      <c r="H3607">
        <v>0.56242595730562495</v>
      </c>
      <c r="I3607">
        <v>0.490175837300936</v>
      </c>
      <c r="J3607">
        <v>0.31330279453382098</v>
      </c>
      <c r="K3607">
        <v>0.15076200709159299</v>
      </c>
      <c r="L3607">
        <v>791.25081895742198</v>
      </c>
      <c r="M3607">
        <v>12.654658760462199</v>
      </c>
      <c r="N3607">
        <v>62.526444546682598</v>
      </c>
      <c r="O3607">
        <v>61.026689202052403</v>
      </c>
      <c r="P3607">
        <v>-5.1850829872999202E-2</v>
      </c>
      <c r="Q3607">
        <v>0</v>
      </c>
      <c r="R3607">
        <v>0.98381705434232503</v>
      </c>
      <c r="S3607" t="s">
        <v>7236</v>
      </c>
      <c r="T3607" t="s">
        <v>7256</v>
      </c>
      <c r="U3607" t="s">
        <v>7256</v>
      </c>
      <c r="V3607" t="s">
        <v>7256</v>
      </c>
      <c r="W3607">
        <v>4</v>
      </c>
      <c r="X3607" t="s">
        <v>10863</v>
      </c>
      <c r="Y3607">
        <v>0.73790315592870082</v>
      </c>
      <c r="Z3607" t="str">
        <f>HYPERLINK("Melting_Curves/meltCurve_tr_Q64EX5_Q64EX5_HUMAN_.pdf", "Melting_Curves/meltCurve_tr_Q64EX5_Q64EX5_HUMAN_.pdf")</f>
        <v>Melting_Curves/meltCurve_tr_Q64EX5_Q64EX5_HUMAN_.pdf</v>
      </c>
      <c r="AA3607" t="s">
        <v>14408</v>
      </c>
      <c r="AB3607" t="s">
        <v>18006</v>
      </c>
    </row>
    <row r="3608" spans="1:28" x14ac:dyDescent="0.25">
      <c r="A3608" t="s">
        <v>3612</v>
      </c>
      <c r="B3608">
        <v>0.98018197421672304</v>
      </c>
      <c r="C3608">
        <v>0.94311486902378605</v>
      </c>
      <c r="D3608">
        <v>0.90752186215974096</v>
      </c>
      <c r="E3608">
        <v>0.66100483163830204</v>
      </c>
      <c r="F3608">
        <v>0.77252331225736104</v>
      </c>
      <c r="G3608">
        <v>0.58311433999054396</v>
      </c>
      <c r="H3608">
        <v>0.53116276841512899</v>
      </c>
      <c r="I3608">
        <v>0.31219399991576602</v>
      </c>
      <c r="J3608">
        <v>0.239796738711713</v>
      </c>
      <c r="K3608">
        <v>0.76090123987097402</v>
      </c>
      <c r="L3608">
        <v>636.00885298580499</v>
      </c>
      <c r="M3608">
        <v>12.430529614391901</v>
      </c>
      <c r="N3608">
        <v>61.336055822962997</v>
      </c>
      <c r="O3608">
        <v>49.895006549784803</v>
      </c>
      <c r="P3608">
        <v>-3.5113160338789598E-2</v>
      </c>
      <c r="Q3608">
        <v>0.436354490683447</v>
      </c>
      <c r="R3608">
        <v>0.66528545968863095</v>
      </c>
      <c r="S3608" t="s">
        <v>7237</v>
      </c>
      <c r="T3608" t="s">
        <v>7256</v>
      </c>
      <c r="U3608" t="s">
        <v>7256</v>
      </c>
      <c r="V3608" t="s">
        <v>7256</v>
      </c>
      <c r="W3608">
        <v>2</v>
      </c>
      <c r="X3608" t="s">
        <v>10864</v>
      </c>
      <c r="Y3608">
        <v>0.66343149669503132</v>
      </c>
      <c r="Z3608" t="str">
        <f>HYPERLINK("Melting_Curves/meltCurve_tr_Q658Y7_Q658Y7_HUMAN_.pdf", "Melting_Curves/meltCurve_tr_Q658Y7_Q658Y7_HUMAN_.pdf")</f>
        <v>Melting_Curves/meltCurve_tr_Q658Y7_Q658Y7_HUMAN_.pdf</v>
      </c>
      <c r="AA3608" t="s">
        <v>14409</v>
      </c>
      <c r="AB3608" t="s">
        <v>18007</v>
      </c>
    </row>
    <row r="3609" spans="1:28" x14ac:dyDescent="0.25">
      <c r="A3609" t="s">
        <v>3613</v>
      </c>
      <c r="B3609">
        <v>0.98018197421672304</v>
      </c>
      <c r="C3609">
        <v>0.90960507953049496</v>
      </c>
      <c r="D3609">
        <v>0.83462481835550495</v>
      </c>
      <c r="E3609">
        <v>0.68305646585566704</v>
      </c>
      <c r="F3609">
        <v>0.56420313930465305</v>
      </c>
      <c r="G3609">
        <v>0.40976414840127401</v>
      </c>
      <c r="H3609">
        <v>0.252724403724155</v>
      </c>
      <c r="I3609">
        <v>0.206310081276942</v>
      </c>
      <c r="J3609">
        <v>0.18956789918523201</v>
      </c>
      <c r="K3609">
        <v>0.144136929980415</v>
      </c>
      <c r="L3609">
        <v>514.980822530355</v>
      </c>
      <c r="M3609">
        <v>9.5962519805442295</v>
      </c>
      <c r="N3609">
        <v>54.267860216767097</v>
      </c>
      <c r="O3609">
        <v>51.489594482862302</v>
      </c>
      <c r="P3609">
        <v>-4.42618232362052E-2</v>
      </c>
      <c r="Q3609">
        <v>5.0576488943468598E-2</v>
      </c>
      <c r="R3609">
        <v>0.99810264291930495</v>
      </c>
      <c r="S3609" t="s">
        <v>7238</v>
      </c>
      <c r="T3609" t="s">
        <v>7256</v>
      </c>
      <c r="U3609" t="s">
        <v>7256</v>
      </c>
      <c r="V3609" t="s">
        <v>7256</v>
      </c>
      <c r="W3609">
        <v>10</v>
      </c>
      <c r="X3609" t="s">
        <v>10865</v>
      </c>
      <c r="Y3609">
        <v>0.51393895983097704</v>
      </c>
      <c r="Z3609" t="str">
        <f>HYPERLINK("Melting_Curves/meltCurve_tr_Q6ICJ4_Q6ICJ4_HUMAN_.pdf", "Melting_Curves/meltCurve_tr_Q6ICJ4_Q6ICJ4_HUMAN_.pdf")</f>
        <v>Melting_Curves/meltCurve_tr_Q6ICJ4_Q6ICJ4_HUMAN_.pdf</v>
      </c>
      <c r="AA3609" t="s">
        <v>14410</v>
      </c>
      <c r="AB3609" t="s">
        <v>18008</v>
      </c>
    </row>
    <row r="3610" spans="1:28" x14ac:dyDescent="0.25">
      <c r="A3610" t="s">
        <v>3614</v>
      </c>
      <c r="B3610">
        <v>0.98018197421672304</v>
      </c>
      <c r="C3610">
        <v>1.0099816070254299</v>
      </c>
      <c r="D3610">
        <v>0.87919710345684998</v>
      </c>
      <c r="E3610">
        <v>0.64606209462641795</v>
      </c>
      <c r="F3610">
        <v>0.304468822417723</v>
      </c>
      <c r="G3610">
        <v>7.09610396598606E-2</v>
      </c>
      <c r="H3610">
        <v>2.54536191566774E-2</v>
      </c>
      <c r="I3610">
        <v>1.9704606050034702E-2</v>
      </c>
      <c r="J3610">
        <v>2.0228915558578899E-2</v>
      </c>
      <c r="K3610">
        <v>1.9740866684040001E-2</v>
      </c>
      <c r="L3610">
        <v>1168.67074876737</v>
      </c>
      <c r="M3610">
        <v>22.883086993125598</v>
      </c>
      <c r="N3610">
        <v>51.1049480271014</v>
      </c>
      <c r="O3610">
        <v>50.686122720656101</v>
      </c>
      <c r="P3610">
        <v>-0.11202676333398</v>
      </c>
      <c r="Q3610">
        <v>7.4597821763423304E-3</v>
      </c>
      <c r="R3610">
        <v>0.99749615150689297</v>
      </c>
      <c r="S3610" t="s">
        <v>7239</v>
      </c>
      <c r="T3610" t="s">
        <v>7256</v>
      </c>
      <c r="U3610" t="s">
        <v>7256</v>
      </c>
      <c r="V3610" t="s">
        <v>7256</v>
      </c>
      <c r="W3610">
        <v>1</v>
      </c>
      <c r="X3610" t="s">
        <v>10866</v>
      </c>
      <c r="Y3610">
        <v>0.38441575394045913</v>
      </c>
      <c r="Z3610" t="str">
        <f>HYPERLINK("Melting_Curves/meltCurve_tr_Q7Z721_Q7Z721_HUMAN_.pdf", "Melting_Curves/meltCurve_tr_Q7Z721_Q7Z721_HUMAN_.pdf")</f>
        <v>Melting_Curves/meltCurve_tr_Q7Z721_Q7Z721_HUMAN_.pdf</v>
      </c>
      <c r="AA3610" t="s">
        <v>14411</v>
      </c>
      <c r="AB3610" t="s">
        <v>18009</v>
      </c>
    </row>
    <row r="3611" spans="1:28" x14ac:dyDescent="0.25">
      <c r="A3611" t="s">
        <v>3615</v>
      </c>
      <c r="B3611">
        <v>0.98018197421672304</v>
      </c>
      <c r="C3611">
        <v>0.87115341252830103</v>
      </c>
      <c r="D3611">
        <v>0.70673751327062195</v>
      </c>
      <c r="E3611">
        <v>0.44061598156952902</v>
      </c>
      <c r="F3611">
        <v>0.23717853920236801</v>
      </c>
      <c r="G3611">
        <v>0.131880334468362</v>
      </c>
      <c r="H3611">
        <v>8.9003361127491604E-2</v>
      </c>
      <c r="I3611">
        <v>9.1153758063725596E-2</v>
      </c>
      <c r="J3611">
        <v>7.9437582049643005E-2</v>
      </c>
      <c r="K3611">
        <v>0.103980602107486</v>
      </c>
      <c r="L3611">
        <v>769.65839981749104</v>
      </c>
      <c r="M3611">
        <v>15.9334638893363</v>
      </c>
      <c r="N3611">
        <v>48.773315626966401</v>
      </c>
      <c r="O3611">
        <v>47.5628381564077</v>
      </c>
      <c r="P3611">
        <v>-7.7809719115569095E-2</v>
      </c>
      <c r="Q3611">
        <v>7.0997502164019996E-2</v>
      </c>
      <c r="R3611">
        <v>0.99762353162032602</v>
      </c>
      <c r="S3611" t="s">
        <v>7240</v>
      </c>
      <c r="T3611" t="s">
        <v>7256</v>
      </c>
      <c r="U3611" t="s">
        <v>7256</v>
      </c>
      <c r="V3611" t="s">
        <v>7256</v>
      </c>
      <c r="W3611">
        <v>5</v>
      </c>
      <c r="X3611" t="s">
        <v>10867</v>
      </c>
      <c r="Y3611">
        <v>0.34909261947532477</v>
      </c>
      <c r="Z3611" t="str">
        <f>HYPERLINK("Melting_Curves/meltCurve_tr_Q86TV2_Q86TV2_HUMAN_.pdf", "Melting_Curves/meltCurve_tr_Q86TV2_Q86TV2_HUMAN_.pdf")</f>
        <v>Melting_Curves/meltCurve_tr_Q86TV2_Q86TV2_HUMAN_.pdf</v>
      </c>
      <c r="AA3611" t="s">
        <v>14412</v>
      </c>
      <c r="AB3611" t="s">
        <v>18010</v>
      </c>
    </row>
    <row r="3612" spans="1:28" x14ac:dyDescent="0.25">
      <c r="A3612" t="s">
        <v>3616</v>
      </c>
      <c r="B3612">
        <v>0.98018197421672304</v>
      </c>
      <c r="C3612">
        <v>1.0389269659324201</v>
      </c>
      <c r="D3612">
        <v>0.96400692913059804</v>
      </c>
      <c r="E3612">
        <v>0.80714779239552703</v>
      </c>
      <c r="F3612">
        <v>0.790608003993028</v>
      </c>
      <c r="G3612">
        <v>0.66846014356150896</v>
      </c>
      <c r="H3612">
        <v>0.44253060951147899</v>
      </c>
      <c r="I3612">
        <v>0.34189692312083497</v>
      </c>
      <c r="J3612">
        <v>0.227143414618035</v>
      </c>
      <c r="K3612">
        <v>0.20964577288410599</v>
      </c>
      <c r="L3612">
        <v>596.71583061459398</v>
      </c>
      <c r="M3612">
        <v>9.9691886052904106</v>
      </c>
      <c r="N3612">
        <v>59.8559916246803</v>
      </c>
      <c r="O3612">
        <v>57.5969865071852</v>
      </c>
      <c r="P3612">
        <v>-4.3292593027022097E-2</v>
      </c>
      <c r="Q3612">
        <v>0</v>
      </c>
      <c r="R3612">
        <v>0.98680035203515604</v>
      </c>
      <c r="S3612" t="s">
        <v>7241</v>
      </c>
      <c r="T3612" t="s">
        <v>7256</v>
      </c>
      <c r="U3612" t="s">
        <v>7256</v>
      </c>
      <c r="V3612" t="s">
        <v>7256</v>
      </c>
      <c r="W3612">
        <v>15</v>
      </c>
      <c r="X3612" t="s">
        <v>10868</v>
      </c>
      <c r="Y3612">
        <v>0.65885545451268834</v>
      </c>
      <c r="Z3612" t="str">
        <f>HYPERLINK("Melting_Curves/meltCurve_tr_Q86UY0_Q86UY0_HUMAN_.pdf", "Melting_Curves/meltCurve_tr_Q86UY0_Q86UY0_HUMAN_.pdf")</f>
        <v>Melting_Curves/meltCurve_tr_Q86UY0_Q86UY0_HUMAN_.pdf</v>
      </c>
      <c r="AA3612" t="s">
        <v>14413</v>
      </c>
      <c r="AB3612" t="s">
        <v>18011</v>
      </c>
    </row>
    <row r="3613" spans="1:28" x14ac:dyDescent="0.25">
      <c r="A3613" t="s">
        <v>3617</v>
      </c>
      <c r="B3613">
        <v>0.98018197421672304</v>
      </c>
      <c r="C3613">
        <v>0.91961802822609295</v>
      </c>
      <c r="D3613">
        <v>0.89269271844416198</v>
      </c>
      <c r="E3613">
        <v>0.80969391521872403</v>
      </c>
      <c r="F3613">
        <v>0.84976306558796499</v>
      </c>
      <c r="G3613">
        <v>0.767948020887816</v>
      </c>
      <c r="H3613">
        <v>0.48478436394985602</v>
      </c>
      <c r="I3613">
        <v>0.35188032668768798</v>
      </c>
      <c r="J3613">
        <v>0.29062924907849302</v>
      </c>
      <c r="K3613">
        <v>0.31613259352766698</v>
      </c>
      <c r="L3613">
        <v>526.17778867335699</v>
      </c>
      <c r="M3613">
        <v>8.5623615020221209</v>
      </c>
      <c r="N3613">
        <v>61.452410614972798</v>
      </c>
      <c r="O3613">
        <v>58.375714609729997</v>
      </c>
      <c r="P3613">
        <v>-3.6701326858978797E-2</v>
      </c>
      <c r="Q3613">
        <v>0</v>
      </c>
      <c r="R3613">
        <v>0.94870159185653402</v>
      </c>
      <c r="S3613" t="s">
        <v>7242</v>
      </c>
      <c r="T3613" t="s">
        <v>7256</v>
      </c>
      <c r="U3613" t="s">
        <v>7256</v>
      </c>
      <c r="V3613" t="s">
        <v>7256</v>
      </c>
      <c r="W3613">
        <v>1</v>
      </c>
      <c r="X3613" t="s">
        <v>10869</v>
      </c>
      <c r="Y3613">
        <v>0.68931941221277349</v>
      </c>
      <c r="Z3613" t="str">
        <f>HYPERLINK("Melting_Curves/meltCurve_tr_Q86VQ2_Q86VQ2_HUMAN_.pdf", "Melting_Curves/meltCurve_tr_Q86VQ2_Q86VQ2_HUMAN_.pdf")</f>
        <v>Melting_Curves/meltCurve_tr_Q86VQ2_Q86VQ2_HUMAN_.pdf</v>
      </c>
      <c r="AA3613" t="s">
        <v>14414</v>
      </c>
      <c r="AB3613" t="s">
        <v>18012</v>
      </c>
    </row>
    <row r="3614" spans="1:28" x14ac:dyDescent="0.25">
      <c r="A3614" t="s">
        <v>3618</v>
      </c>
      <c r="B3614">
        <v>0.98018197421672304</v>
      </c>
      <c r="C3614">
        <v>0.940383944439112</v>
      </c>
      <c r="D3614">
        <v>0.88176510953401899</v>
      </c>
      <c r="E3614">
        <v>0.73990949693964503</v>
      </c>
      <c r="F3614">
        <v>0.49246876799588202</v>
      </c>
      <c r="G3614">
        <v>0.29166041280179</v>
      </c>
      <c r="H3614">
        <v>0.22547082941239599</v>
      </c>
      <c r="I3614">
        <v>0.189186827909304</v>
      </c>
      <c r="J3614">
        <v>0.157002869198761</v>
      </c>
      <c r="K3614">
        <v>0.11662879030531199</v>
      </c>
      <c r="L3614">
        <v>780.37499496857595</v>
      </c>
      <c r="M3614">
        <v>14.942930432091201</v>
      </c>
      <c r="N3614">
        <v>53.183164476755699</v>
      </c>
      <c r="O3614">
        <v>51.315171734795101</v>
      </c>
      <c r="P3614">
        <v>-6.4204988003167499E-2</v>
      </c>
      <c r="Q3614">
        <v>0.118150999909507</v>
      </c>
      <c r="R3614">
        <v>0.99592435604465901</v>
      </c>
      <c r="S3614" t="s">
        <v>7243</v>
      </c>
      <c r="T3614" t="s">
        <v>7256</v>
      </c>
      <c r="U3614" t="s">
        <v>7256</v>
      </c>
      <c r="V3614" t="s">
        <v>7256</v>
      </c>
      <c r="W3614">
        <v>8</v>
      </c>
      <c r="X3614" t="s">
        <v>10870</v>
      </c>
      <c r="Y3614">
        <v>0.49713702167550372</v>
      </c>
      <c r="Z3614" t="str">
        <f>HYPERLINK("Melting_Curves/meltCurve_tr_Q8IYN9_Q8IYN9_HUMAN_.pdf", "Melting_Curves/meltCurve_tr_Q8IYN9_Q8IYN9_HUMAN_.pdf")</f>
        <v>Melting_Curves/meltCurve_tr_Q8IYN9_Q8IYN9_HUMAN_.pdf</v>
      </c>
      <c r="AA3614" t="s">
        <v>14415</v>
      </c>
      <c r="AB3614" t="s">
        <v>18013</v>
      </c>
    </row>
    <row r="3615" spans="1:28" x14ac:dyDescent="0.25">
      <c r="A3615" t="s">
        <v>3619</v>
      </c>
      <c r="B3615">
        <v>0.98018197421672304</v>
      </c>
      <c r="C3615">
        <v>0.94290492416079397</v>
      </c>
      <c r="D3615">
        <v>0.70849226289877698</v>
      </c>
      <c r="E3615">
        <v>0.46818654200838</v>
      </c>
      <c r="F3615">
        <v>0.31318158025457199</v>
      </c>
      <c r="G3615">
        <v>0.25380184804521799</v>
      </c>
      <c r="H3615">
        <v>0.16090739670170201</v>
      </c>
      <c r="I3615">
        <v>0.138800598022814</v>
      </c>
      <c r="J3615">
        <v>0.14125905522006599</v>
      </c>
      <c r="K3615">
        <v>0.11924603508506799</v>
      </c>
      <c r="L3615">
        <v>742.99389190798297</v>
      </c>
      <c r="M3615">
        <v>15.2936559981452</v>
      </c>
      <c r="N3615">
        <v>49.538217913547797</v>
      </c>
      <c r="O3615">
        <v>47.7739376198248</v>
      </c>
      <c r="P3615">
        <v>-6.9807474438438405E-2</v>
      </c>
      <c r="Q3615">
        <v>0.12783034133486801</v>
      </c>
      <c r="R3615">
        <v>0.99467611999036998</v>
      </c>
      <c r="S3615" t="s">
        <v>7244</v>
      </c>
      <c r="T3615" t="s">
        <v>7256</v>
      </c>
      <c r="U3615" t="s">
        <v>7256</v>
      </c>
      <c r="V3615" t="s">
        <v>7256</v>
      </c>
      <c r="W3615">
        <v>6</v>
      </c>
      <c r="X3615" t="s">
        <v>10871</v>
      </c>
      <c r="Y3615">
        <v>0.39839926680134968</v>
      </c>
      <c r="Z3615" t="str">
        <f>HYPERLINK("Melting_Curves/meltCurve_tr_Q8NBY1_Q8NBY1_HUMAN_.pdf", "Melting_Curves/meltCurve_tr_Q8NBY1_Q8NBY1_HUMAN_.pdf")</f>
        <v>Melting_Curves/meltCurve_tr_Q8NBY1_Q8NBY1_HUMAN_.pdf</v>
      </c>
      <c r="AA3615" t="s">
        <v>14416</v>
      </c>
      <c r="AB3615" t="s">
        <v>18014</v>
      </c>
    </row>
    <row r="3616" spans="1:28" x14ac:dyDescent="0.25">
      <c r="A3616" t="s">
        <v>3620</v>
      </c>
      <c r="B3616">
        <v>0.98018197421672304</v>
      </c>
      <c r="C3616">
        <v>1.14924611972903</v>
      </c>
      <c r="D3616">
        <v>1.1070317773466201</v>
      </c>
      <c r="E3616">
        <v>0.87035230614877401</v>
      </c>
      <c r="F3616">
        <v>0.38247094832700101</v>
      </c>
      <c r="G3616">
        <v>0.115469987430739</v>
      </c>
      <c r="H3616">
        <v>6.8163983181101201E-2</v>
      </c>
      <c r="I3616">
        <v>5.0880681780138402E-2</v>
      </c>
      <c r="J3616">
        <v>5.3352301086047001E-2</v>
      </c>
      <c r="K3616">
        <v>6.0929047977556702E-2</v>
      </c>
      <c r="L3616">
        <v>2196.0073532798001</v>
      </c>
      <c r="M3616">
        <v>42.075621625933799</v>
      </c>
      <c r="N3616">
        <v>52.3605476731369</v>
      </c>
      <c r="O3616">
        <v>52.074435231982598</v>
      </c>
      <c r="P3616">
        <v>-0.189198546785734</v>
      </c>
      <c r="Q3616">
        <v>6.3363495623261698E-2</v>
      </c>
      <c r="R3616">
        <v>0.98291606571569001</v>
      </c>
      <c r="S3616" t="s">
        <v>7245</v>
      </c>
      <c r="T3616" t="s">
        <v>7256</v>
      </c>
      <c r="U3616" t="s">
        <v>7256</v>
      </c>
      <c r="V3616" t="s">
        <v>7256</v>
      </c>
      <c r="W3616">
        <v>6</v>
      </c>
      <c r="X3616" t="s">
        <v>10872</v>
      </c>
      <c r="Y3616">
        <v>0.44706053188181211</v>
      </c>
      <c r="Z3616" t="str">
        <f>HYPERLINK("Melting_Curves/meltCurve_tr_Q96CG1_Q96CG1_HUMAN_.pdf", "Melting_Curves/meltCurve_tr_Q96CG1_Q96CG1_HUMAN_.pdf")</f>
        <v>Melting_Curves/meltCurve_tr_Q96CG1_Q96CG1_HUMAN_.pdf</v>
      </c>
      <c r="AA3616" t="s">
        <v>14417</v>
      </c>
      <c r="AB3616" t="s">
        <v>18015</v>
      </c>
    </row>
    <row r="3617" spans="1:28" x14ac:dyDescent="0.25">
      <c r="A3617" t="s">
        <v>3621</v>
      </c>
      <c r="B3617">
        <v>0.98018197421672304</v>
      </c>
      <c r="C3617">
        <v>1.02635957018706</v>
      </c>
      <c r="D3617">
        <v>1.00297680900135</v>
      </c>
      <c r="E3617">
        <v>0.69825735887468499</v>
      </c>
      <c r="F3617">
        <v>0.68122174218207099</v>
      </c>
      <c r="G3617">
        <v>0.40647782924498599</v>
      </c>
      <c r="H3617">
        <v>0.29112251330171601</v>
      </c>
      <c r="I3617">
        <v>0.36598182574212701</v>
      </c>
      <c r="J3617">
        <v>0.393911860587568</v>
      </c>
      <c r="K3617">
        <v>0.57179473922767099</v>
      </c>
      <c r="L3617">
        <v>1196.92681612089</v>
      </c>
      <c r="M3617">
        <v>23.427746263069398</v>
      </c>
      <c r="N3617">
        <v>54.907462167040897</v>
      </c>
      <c r="O3617">
        <v>50.722247285072299</v>
      </c>
      <c r="P3617">
        <v>-6.90626065180827E-2</v>
      </c>
      <c r="Q3617">
        <v>0.40191418079605201</v>
      </c>
      <c r="R3617">
        <v>0.90687549875166096</v>
      </c>
      <c r="S3617" t="s">
        <v>7246</v>
      </c>
      <c r="T3617" t="s">
        <v>7256</v>
      </c>
      <c r="U3617" t="s">
        <v>7256</v>
      </c>
      <c r="V3617" t="s">
        <v>7256</v>
      </c>
      <c r="W3617">
        <v>2</v>
      </c>
      <c r="X3617" t="s">
        <v>10873</v>
      </c>
      <c r="Y3617">
        <v>0.62914928120695779</v>
      </c>
      <c r="Z3617" t="str">
        <f>HYPERLINK("Melting_Curves/meltCurve_tr_Q96G53_Q96G53_HUMAN_.pdf", "Melting_Curves/meltCurve_tr_Q96G53_Q96G53_HUMAN_.pdf")</f>
        <v>Melting_Curves/meltCurve_tr_Q96G53_Q96G53_HUMAN_.pdf</v>
      </c>
      <c r="AA3617" t="s">
        <v>14418</v>
      </c>
      <c r="AB3617" t="s">
        <v>18016</v>
      </c>
    </row>
    <row r="3618" spans="1:28" x14ac:dyDescent="0.25">
      <c r="A3618" t="s">
        <v>3622</v>
      </c>
      <c r="B3618">
        <v>0.98018197421672304</v>
      </c>
      <c r="C3618">
        <v>0.92449649666880596</v>
      </c>
      <c r="D3618">
        <v>0.76973740055592599</v>
      </c>
      <c r="E3618">
        <v>0.71790431564173296</v>
      </c>
      <c r="F3618">
        <v>0.54413425903410295</v>
      </c>
      <c r="G3618">
        <v>0.38591030501099899</v>
      </c>
      <c r="H3618">
        <v>0.25697792598365099</v>
      </c>
      <c r="I3618">
        <v>0.164973741388005</v>
      </c>
      <c r="J3618">
        <v>0.120029844194231</v>
      </c>
      <c r="K3618">
        <v>0.141143386122662</v>
      </c>
      <c r="L3618">
        <v>498.19490435399899</v>
      </c>
      <c r="M3618">
        <v>9.2289579981133603</v>
      </c>
      <c r="N3618">
        <v>53.981706546030601</v>
      </c>
      <c r="O3618">
        <v>51.628674517652698</v>
      </c>
      <c r="P3618">
        <v>-4.4718615664021598E-2</v>
      </c>
      <c r="Q3618">
        <v>0</v>
      </c>
      <c r="R3618">
        <v>0.99151546050350803</v>
      </c>
      <c r="S3618" t="s">
        <v>7247</v>
      </c>
      <c r="T3618" t="s">
        <v>7256</v>
      </c>
      <c r="U3618" t="s">
        <v>7256</v>
      </c>
      <c r="V3618" t="s">
        <v>7256</v>
      </c>
      <c r="W3618">
        <v>1</v>
      </c>
      <c r="X3618" t="s">
        <v>10874</v>
      </c>
      <c r="Y3618">
        <v>0.4979187429679619</v>
      </c>
      <c r="Z3618" t="str">
        <f>HYPERLINK("Melting_Curves/meltCurve_tr_Q9BVB1_Q9BVB1_HUMAN_.pdf", "Melting_Curves/meltCurve_tr_Q9BVB1_Q9BVB1_HUMAN_.pdf")</f>
        <v>Melting_Curves/meltCurve_tr_Q9BVB1_Q9BVB1_HUMAN_.pdf</v>
      </c>
      <c r="AA3618" t="s">
        <v>14419</v>
      </c>
      <c r="AB3618" t="s">
        <v>18017</v>
      </c>
    </row>
    <row r="3619" spans="1:28" x14ac:dyDescent="0.25">
      <c r="A3619" t="s">
        <v>3623</v>
      </c>
      <c r="B3619">
        <v>0.98018197421672304</v>
      </c>
      <c r="C3619">
        <v>1.1049120605246701</v>
      </c>
      <c r="D3619">
        <v>0.90646123714817906</v>
      </c>
      <c r="E3619">
        <v>0.66707311485484899</v>
      </c>
      <c r="F3619">
        <v>0.50838777648159295</v>
      </c>
      <c r="G3619">
        <v>0.22896728233443001</v>
      </c>
      <c r="H3619">
        <v>0.117904687079981</v>
      </c>
      <c r="I3619">
        <v>6.9223089208544406E-2</v>
      </c>
      <c r="J3619">
        <v>4.5820669074778601E-2</v>
      </c>
      <c r="K3619">
        <v>6.17260338075361E-2</v>
      </c>
      <c r="L3619">
        <v>896.70563279054397</v>
      </c>
      <c r="M3619">
        <v>17.092110784547899</v>
      </c>
      <c r="N3619">
        <v>52.686177497205001</v>
      </c>
      <c r="O3619">
        <v>51.760776171220499</v>
      </c>
      <c r="P3619">
        <v>-7.9676642983789903E-2</v>
      </c>
      <c r="Q3619">
        <v>3.4905547566872697E-2</v>
      </c>
      <c r="R3619">
        <v>0.98768103306874</v>
      </c>
      <c r="S3619" t="s">
        <v>7248</v>
      </c>
      <c r="T3619" t="s">
        <v>7256</v>
      </c>
      <c r="U3619" t="s">
        <v>7256</v>
      </c>
      <c r="V3619" t="s">
        <v>7256</v>
      </c>
      <c r="W3619">
        <v>1</v>
      </c>
      <c r="X3619" t="s">
        <v>10875</v>
      </c>
      <c r="Y3619">
        <v>0.45319934007853302</v>
      </c>
      <c r="Z3619" t="str">
        <f>HYPERLINK("Melting_Curves/meltCurve_tr_Q9UQL0_Q9UQL0_HUMAN_.pdf", "Melting_Curves/meltCurve_tr_Q9UQL0_Q9UQL0_HUMAN_.pdf")</f>
        <v>Melting_Curves/meltCurve_tr_Q9UQL0_Q9UQL0_HUMAN_.pdf</v>
      </c>
      <c r="AA3619" t="s">
        <v>14420</v>
      </c>
      <c r="AB3619" t="s">
        <v>18018</v>
      </c>
    </row>
    <row r="3620" spans="1:28" x14ac:dyDescent="0.25">
      <c r="A3620" t="s">
        <v>3624</v>
      </c>
      <c r="B3620">
        <v>0.98018197421672304</v>
      </c>
      <c r="C3620">
        <v>0.93453234265744001</v>
      </c>
      <c r="D3620">
        <v>0.65768668744918002</v>
      </c>
      <c r="E3620">
        <v>0.317543946803102</v>
      </c>
      <c r="F3620">
        <v>0.153988716471603</v>
      </c>
      <c r="G3620">
        <v>8.2537902451230605E-2</v>
      </c>
      <c r="H3620">
        <v>5.4309327916341001E-2</v>
      </c>
      <c r="I3620">
        <v>4.2772958826012702E-2</v>
      </c>
      <c r="J3620">
        <v>4.34066867900815E-2</v>
      </c>
      <c r="K3620">
        <v>2.9923689884908799E-2</v>
      </c>
      <c r="L3620">
        <v>944.76017581591498</v>
      </c>
      <c r="M3620">
        <v>19.8396081597011</v>
      </c>
      <c r="N3620">
        <v>47.818402954420399</v>
      </c>
      <c r="O3620">
        <v>47.1440234376443</v>
      </c>
      <c r="P3620">
        <v>-0.101052151355649</v>
      </c>
      <c r="Q3620">
        <v>3.9528681069803603E-2</v>
      </c>
      <c r="R3620">
        <v>0.99860044744156395</v>
      </c>
      <c r="S3620" t="s">
        <v>7249</v>
      </c>
      <c r="T3620" t="s">
        <v>7256</v>
      </c>
      <c r="U3620" t="s">
        <v>7256</v>
      </c>
      <c r="V3620" t="s">
        <v>7256</v>
      </c>
      <c r="W3620">
        <v>4</v>
      </c>
      <c r="X3620" t="s">
        <v>10876</v>
      </c>
      <c r="Y3620">
        <v>0.29749953088629749</v>
      </c>
      <c r="Z3620" t="str">
        <f>HYPERLINK("Melting_Curves/meltCurve_tr_R4GMR5_R4GMR5_HUMAN_.pdf", "Melting_Curves/meltCurve_tr_R4GMR5_R4GMR5_HUMAN_.pdf")</f>
        <v>Melting_Curves/meltCurve_tr_R4GMR5_R4GMR5_HUMAN_.pdf</v>
      </c>
      <c r="AA3620" t="s">
        <v>14421</v>
      </c>
      <c r="AB3620" t="s">
        <v>18019</v>
      </c>
    </row>
    <row r="3621" spans="1:28" x14ac:dyDescent="0.25">
      <c r="A3621" t="s">
        <v>3625</v>
      </c>
      <c r="B3621">
        <v>0.98018197421672304</v>
      </c>
      <c r="C3621">
        <v>0.96963516608190603</v>
      </c>
      <c r="D3621">
        <v>0.90371549688502795</v>
      </c>
      <c r="E3621">
        <v>0.69084990264186497</v>
      </c>
      <c r="F3621">
        <v>0.440474813417912</v>
      </c>
      <c r="G3621">
        <v>0.25373364150412803</v>
      </c>
      <c r="H3621">
        <v>0.13759378279621501</v>
      </c>
      <c r="I3621">
        <v>9.8224576332050104E-2</v>
      </c>
      <c r="J3621">
        <v>9.6698651153631507E-2</v>
      </c>
      <c r="K3621">
        <v>5.2865890560892297E-2</v>
      </c>
      <c r="L3621">
        <v>845.63698908804702</v>
      </c>
      <c r="M3621">
        <v>16.247065533269701</v>
      </c>
      <c r="N3621">
        <v>52.435747325471603</v>
      </c>
      <c r="O3621">
        <v>51.2792425134474</v>
      </c>
      <c r="P3621">
        <v>-7.4737369082405303E-2</v>
      </c>
      <c r="Q3621">
        <v>5.6520660811135201E-2</v>
      </c>
      <c r="R3621">
        <v>0.99896054003508805</v>
      </c>
      <c r="S3621" t="s">
        <v>7250</v>
      </c>
      <c r="T3621" t="s">
        <v>7256</v>
      </c>
      <c r="U3621" t="s">
        <v>7256</v>
      </c>
      <c r="V3621" t="s">
        <v>7256</v>
      </c>
      <c r="W3621">
        <v>4</v>
      </c>
      <c r="X3621" t="s">
        <v>10877</v>
      </c>
      <c r="Y3621">
        <v>0.4540265590919611</v>
      </c>
      <c r="Z3621" t="str">
        <f>HYPERLINK("Melting_Curves/meltCurve_tr_R4GMX3_R4GMX3_HUMAN_.pdf", "Melting_Curves/meltCurve_tr_R4GMX3_R4GMX3_HUMAN_.pdf")</f>
        <v>Melting_Curves/meltCurve_tr_R4GMX3_R4GMX3_HUMAN_.pdf</v>
      </c>
      <c r="AA3621" t="s">
        <v>14422</v>
      </c>
      <c r="AB3621" t="s">
        <v>18020</v>
      </c>
    </row>
    <row r="3622" spans="1:28" x14ac:dyDescent="0.25">
      <c r="A3622" t="s">
        <v>3626</v>
      </c>
      <c r="B3622">
        <v>0.98018197421672304</v>
      </c>
      <c r="C3622">
        <v>0.94403293437559799</v>
      </c>
      <c r="D3622">
        <v>0.89761604237881598</v>
      </c>
      <c r="E3622">
        <v>0.72545833716889796</v>
      </c>
      <c r="F3622">
        <v>0.55275928137989205</v>
      </c>
      <c r="G3622">
        <v>0.161352914584935</v>
      </c>
      <c r="H3622">
        <v>0.107678836340229</v>
      </c>
      <c r="I3622">
        <v>8.9157820029746995E-2</v>
      </c>
      <c r="J3622">
        <v>0.10407597356191201</v>
      </c>
      <c r="K3622">
        <v>0.121369680671161</v>
      </c>
      <c r="L3622">
        <v>1042.69616782004</v>
      </c>
      <c r="M3622">
        <v>19.904987584554799</v>
      </c>
      <c r="N3622">
        <v>52.818015535592401</v>
      </c>
      <c r="O3622">
        <v>51.8635433848549</v>
      </c>
      <c r="P3622">
        <v>-8.8707908496458002E-2</v>
      </c>
      <c r="Q3622">
        <v>7.5497265271470701E-2</v>
      </c>
      <c r="R3622">
        <v>0.98792904529481895</v>
      </c>
      <c r="S3622" t="s">
        <v>7251</v>
      </c>
      <c r="T3622" t="s">
        <v>7256</v>
      </c>
      <c r="U3622" t="s">
        <v>7256</v>
      </c>
      <c r="V3622" t="s">
        <v>7256</v>
      </c>
      <c r="W3622">
        <v>7</v>
      </c>
      <c r="X3622" t="s">
        <v>10878</v>
      </c>
      <c r="Y3622">
        <v>0.46999924209950078</v>
      </c>
      <c r="Z3622" t="str">
        <f>HYPERLINK("Melting_Curves/meltCurve_tr_R4GN55_R4GN55_HUMAN_.pdf", "Melting_Curves/meltCurve_tr_R4GN55_R4GN55_HUMAN_.pdf")</f>
        <v>Melting_Curves/meltCurve_tr_R4GN55_R4GN55_HUMAN_.pdf</v>
      </c>
      <c r="AA3622" t="s">
        <v>14423</v>
      </c>
      <c r="AB3622" t="s">
        <v>18021</v>
      </c>
    </row>
    <row r="3623" spans="1:28" x14ac:dyDescent="0.25">
      <c r="A3623" t="s">
        <v>3627</v>
      </c>
      <c r="B3623">
        <v>0.98018197421672304</v>
      </c>
      <c r="C3623">
        <v>1.0347846650299499</v>
      </c>
      <c r="D3623">
        <v>0.73196906949561902</v>
      </c>
      <c r="E3623">
        <v>0.62530278862620203</v>
      </c>
      <c r="F3623">
        <v>0.90477957025030697</v>
      </c>
      <c r="G3623">
        <v>0.69059507148436305</v>
      </c>
      <c r="H3623">
        <v>0.37976418291478797</v>
      </c>
      <c r="I3623">
        <v>0.34614158849761401</v>
      </c>
      <c r="J3623">
        <v>0.60361946510869602</v>
      </c>
      <c r="K3623">
        <v>0.50933342715640095</v>
      </c>
      <c r="L3623">
        <v>454.63864588436701</v>
      </c>
      <c r="M3623">
        <v>8.6822367439989598</v>
      </c>
      <c r="N3623">
        <v>64.567148142907101</v>
      </c>
      <c r="O3623">
        <v>49.808750011182099</v>
      </c>
      <c r="P3623">
        <v>-2.6033363669118501E-2</v>
      </c>
      <c r="Q3623">
        <v>0.40309781057852601</v>
      </c>
      <c r="R3623">
        <v>0.66225319404204896</v>
      </c>
      <c r="S3623" t="s">
        <v>7252</v>
      </c>
      <c r="T3623" t="s">
        <v>7256</v>
      </c>
      <c r="U3623" t="s">
        <v>7256</v>
      </c>
      <c r="V3623" t="s">
        <v>7256</v>
      </c>
      <c r="W3623">
        <v>2</v>
      </c>
      <c r="X3623" t="s">
        <v>10879</v>
      </c>
      <c r="Y3623">
        <v>0.67408765417501482</v>
      </c>
      <c r="Z3623" t="str">
        <f>HYPERLINK("Melting_Curves/meltCurve_tr_R4GN98_R4GN98_HUMAN_.pdf", "Melting_Curves/meltCurve_tr_R4GN98_R4GN98_HUMAN_.pdf")</f>
        <v>Melting_Curves/meltCurve_tr_R4GN98_R4GN98_HUMAN_.pdf</v>
      </c>
      <c r="AA3623" t="s">
        <v>14424</v>
      </c>
      <c r="AB3623" t="s">
        <v>18022</v>
      </c>
    </row>
    <row r="3624" spans="1:28" x14ac:dyDescent="0.25">
      <c r="A3624" t="s">
        <v>3628</v>
      </c>
      <c r="B3624">
        <v>0.98018197421672304</v>
      </c>
      <c r="C3624">
        <v>0.85114168042793903</v>
      </c>
      <c r="D3624">
        <v>0.81939631615845998</v>
      </c>
      <c r="E3624">
        <v>0.61285143892548699</v>
      </c>
      <c r="F3624">
        <v>0.23444155631476299</v>
      </c>
      <c r="G3624">
        <v>0.242458892043838</v>
      </c>
      <c r="H3624">
        <v>0.151187626541891</v>
      </c>
      <c r="I3624">
        <v>7.02313198826333E-2</v>
      </c>
      <c r="J3624">
        <v>0</v>
      </c>
      <c r="K3624">
        <v>0</v>
      </c>
      <c r="L3624">
        <v>659.40039157656702</v>
      </c>
      <c r="M3624">
        <v>13.017465628098</v>
      </c>
      <c r="N3624">
        <v>50.6550509509946</v>
      </c>
      <c r="O3624">
        <v>49.504338652378202</v>
      </c>
      <c r="P3624">
        <v>-6.5750567123294607E-2</v>
      </c>
      <c r="Q3624">
        <v>0</v>
      </c>
      <c r="R3624">
        <v>0.97437976342711496</v>
      </c>
      <c r="S3624" t="s">
        <v>7253</v>
      </c>
      <c r="T3624" t="s">
        <v>7256</v>
      </c>
      <c r="U3624" t="s">
        <v>7256</v>
      </c>
      <c r="V3624" t="s">
        <v>7256</v>
      </c>
      <c r="W3624">
        <v>1</v>
      </c>
      <c r="X3624" t="s">
        <v>10880</v>
      </c>
      <c r="Y3624">
        <v>0.38459433285635097</v>
      </c>
      <c r="Z3624" t="str">
        <f>HYPERLINK("Melting_Curves/meltCurve_tr_R4GNB2_R4GNB2_HUMAN_.pdf", "Melting_Curves/meltCurve_tr_R4GNB2_R4GNB2_HUMAN_.pdf")</f>
        <v>Melting_Curves/meltCurve_tr_R4GNB2_R4GNB2_HUMAN_.pdf</v>
      </c>
      <c r="AA3624" t="s">
        <v>14425</v>
      </c>
      <c r="AB3624" t="s">
        <v>18023</v>
      </c>
    </row>
    <row r="3625" spans="1:28" x14ac:dyDescent="0.25">
      <c r="A3625" t="s">
        <v>3629</v>
      </c>
      <c r="B3625">
        <v>0.98018197421672304</v>
      </c>
      <c r="C3625">
        <v>0.67916016207650198</v>
      </c>
      <c r="D3625">
        <v>0.74202952337750105</v>
      </c>
      <c r="E3625">
        <v>0.63318460238313801</v>
      </c>
      <c r="F3625">
        <v>0.46481063517219101</v>
      </c>
      <c r="G3625">
        <v>0.344519281803016</v>
      </c>
      <c r="H3625">
        <v>0.31460027354555598</v>
      </c>
      <c r="I3625">
        <v>0.34244063946763698</v>
      </c>
      <c r="J3625">
        <v>0.42475557404802899</v>
      </c>
      <c r="K3625">
        <v>0.46391606666136798</v>
      </c>
      <c r="L3625">
        <v>534.07836255353197</v>
      </c>
      <c r="M3625">
        <v>11.5506421712599</v>
      </c>
      <c r="N3625">
        <v>51.898852148128697</v>
      </c>
      <c r="O3625">
        <v>44.9172465971386</v>
      </c>
      <c r="P3625">
        <v>-4.1274644608343299E-2</v>
      </c>
      <c r="Q3625">
        <v>0.358157012043956</v>
      </c>
      <c r="R3625">
        <v>0.85772435026848504</v>
      </c>
      <c r="S3625" t="s">
        <v>7254</v>
      </c>
      <c r="T3625" t="s">
        <v>7256</v>
      </c>
      <c r="U3625" t="s">
        <v>7256</v>
      </c>
      <c r="V3625" t="s">
        <v>7256</v>
      </c>
      <c r="W3625">
        <v>1</v>
      </c>
      <c r="X3625" t="s">
        <v>10881</v>
      </c>
      <c r="Y3625">
        <v>0.52231271044133321</v>
      </c>
      <c r="Z3625" t="str">
        <f>HYPERLINK("Melting_Curves/meltCurve_tr_R4GNG2_R4GNG2_HUMAN_.pdf", "Melting_Curves/meltCurve_tr_R4GNG2_R4GNG2_HUMAN_.pdf")</f>
        <v>Melting_Curves/meltCurve_tr_R4GNG2_R4GNG2_HUMAN_.pdf</v>
      </c>
      <c r="AA3625" t="s">
        <v>14426</v>
      </c>
      <c r="AB3625" t="s">
        <v>18024</v>
      </c>
    </row>
    <row r="3626" spans="1:28" x14ac:dyDescent="0.25">
      <c r="A3626" t="s">
        <v>3630</v>
      </c>
      <c r="B3626">
        <v>0.98018197421672304</v>
      </c>
      <c r="C3626">
        <v>0.82297574293423004</v>
      </c>
      <c r="D3626">
        <v>0.58065833800379596</v>
      </c>
      <c r="E3626">
        <v>0.30487972476537101</v>
      </c>
      <c r="F3626">
        <v>0.13763580068477599</v>
      </c>
      <c r="G3626">
        <v>8.0885486356389896E-2</v>
      </c>
      <c r="H3626">
        <v>5.3633879040162001E-2</v>
      </c>
      <c r="I3626">
        <v>4.3634317376658099E-2</v>
      </c>
      <c r="J3626">
        <v>4.2894410001959003E-2</v>
      </c>
      <c r="K3626">
        <v>3.1026581894355101E-2</v>
      </c>
      <c r="L3626">
        <v>789.42922005666901</v>
      </c>
      <c r="M3626">
        <v>16.8433000627378</v>
      </c>
      <c r="N3626">
        <v>47.058602637138698</v>
      </c>
      <c r="O3626">
        <v>46.223338890597901</v>
      </c>
      <c r="P3626">
        <v>-8.8115074510183994E-2</v>
      </c>
      <c r="Q3626">
        <v>3.27998736356402E-2</v>
      </c>
      <c r="R3626">
        <v>0.99828380309850995</v>
      </c>
      <c r="S3626" t="s">
        <v>7255</v>
      </c>
      <c r="T3626" t="s">
        <v>7256</v>
      </c>
      <c r="U3626" t="s">
        <v>7256</v>
      </c>
      <c r="V3626" t="s">
        <v>7256</v>
      </c>
      <c r="W3626">
        <v>13</v>
      </c>
      <c r="X3626" t="s">
        <v>10882</v>
      </c>
      <c r="Y3626">
        <v>0.27500514617479399</v>
      </c>
      <c r="Z3626" t="str">
        <f>HYPERLINK("Melting_Curves/meltCurve_tr_R4GNH3_R4GNH3_HUMAN_.pdf", "Melting_Curves/meltCurve_tr_R4GNH3_R4GNH3_HUMAN_.pdf")</f>
        <v>Melting_Curves/meltCurve_tr_R4GNH3_R4GNH3_HUMAN_.pdf</v>
      </c>
      <c r="AA3626" t="s">
        <v>14427</v>
      </c>
      <c r="AB3626" t="s">
        <v>18025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Anna Jarzab</cp:lastModifiedBy>
  <dcterms:created xsi:type="dcterms:W3CDTF">2017-09-28T11:26:29Z</dcterms:created>
  <dcterms:modified xsi:type="dcterms:W3CDTF">2018-08-21T09:13:41Z</dcterms:modified>
</cp:coreProperties>
</file>